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x WA Reg\RPS Filings\2024 - 5.29.24\1. 2024 WUTC - RPS Report\Workpapers\WORKPAPERS 1 PacifiCorp Resource Cost Analysis\"/>
    </mc:Choice>
  </mc:AlternateContent>
  <xr:revisionPtr revIDLastSave="0" documentId="13_ncr:1_{E93D5E12-2A51-4D9F-96CF-CE9C0BE34E3B}" xr6:coauthVersionLast="47" xr6:coauthVersionMax="47" xr10:uidLastSave="{00000000-0000-0000-0000-000000000000}"/>
  <bookViews>
    <workbookView xWindow="-120" yWindow="-120" windowWidth="29040" windowHeight="15840" tabRatio="766" xr2:uid="{00000000-000D-0000-FFFF-FFFF00000000}"/>
  </bookViews>
  <sheets>
    <sheet name="Workpaper Index" sheetId="10" r:id="rId1"/>
    <sheet name="(1.1)_Summary" sheetId="23" r:id="rId2"/>
    <sheet name="(1.2)_Lvl_Resource_" sheetId="32" r:id="rId3"/>
    <sheet name="(2.1)_Proxy Resources" sheetId="4" r:id="rId4"/>
    <sheet name="(2.2)_Forward_Price_Curve" sheetId="5" r:id="rId5"/>
    <sheet name="Big Fork (2003IRP)" sheetId="75" r:id="rId6"/>
    <sheet name="Blundell 2" sheetId="69" r:id="rId7"/>
    <sheet name="Cambell Hill (PPA)" sheetId="40" r:id="rId8"/>
    <sheet name="Cedar Creek (PPA)" sheetId="89" r:id="rId9"/>
    <sheet name="Cedar Springs I (PPA)" sheetId="42" r:id="rId10"/>
    <sheet name="Cedar Springs II" sheetId="70" r:id="rId11"/>
    <sheet name="Cedar Springs III (PPA)" sheetId="43" r:id="rId12"/>
    <sheet name="Dunlap - Repower" sheetId="65" r:id="rId13"/>
    <sheet name="Ekola Flats Wind" sheetId="66" r:id="rId14"/>
    <sheet name="Foote Creek I - Repower" sheetId="76" r:id="rId15"/>
    <sheet name="Foote Creek II" sheetId="84" r:id="rId16"/>
    <sheet name="Foote Creek III" sheetId="85" r:id="rId17"/>
    <sheet name="Foote Creek IV" sheetId="86" r:id="rId18"/>
    <sheet name="Glenrock I - Repower" sheetId="62" r:id="rId19"/>
    <sheet name="Glenrock III - Repower" sheetId="63" r:id="rId20"/>
    <sheet name="Goodnoe_Hills - Repower" sheetId="24" r:id="rId21"/>
    <sheet name="High Plains - Repower" sheetId="60" r:id="rId22"/>
    <sheet name="JC Boyle (2004 IRP)" sheetId="21" r:id="rId23"/>
    <sheet name="Latigo (PPA)" sheetId="54" r:id="rId24"/>
    <sheet name="Leaning Juniper -Repower" sheetId="30" r:id="rId25"/>
    <sheet name="Lemolo 1 (2003IRP)" sheetId="19" r:id="rId26"/>
    <sheet name="Lemolo 2 (2008 IRP)" sheetId="14" r:id="rId27"/>
    <sheet name="Marengo - Repower" sheetId="31" r:id="rId28"/>
    <sheet name="Marengo 2 - Repower" sheetId="57" r:id="rId29"/>
    <sheet name="McFadden Ridge - Repower" sheetId="61" r:id="rId30"/>
    <sheet name="Mountain Wind I (PPA)" sheetId="44" r:id="rId31"/>
    <sheet name="Mountain Wind II (PPA)" sheetId="45" r:id="rId32"/>
    <sheet name="Pavant II (PPA)" sheetId="55" r:id="rId33"/>
    <sheet name="Pioneer Wind (PPA)" sheetId="56" r:id="rId34"/>
    <sheet name="Prospect 2 (2003 IRP)" sheetId="20" r:id="rId35"/>
    <sheet name="Rock River I (PPA)" sheetId="73" r:id="rId36"/>
    <sheet name="Rock River I - Repower" sheetId="87" r:id="rId37"/>
    <sheet name="Rolling Hills - Repower" sheetId="74" r:id="rId38"/>
    <sheet name="Sage Solar I (PPA)" sheetId="47" r:id="rId39"/>
    <sheet name="Sage Solar II (PPA)" sheetId="48" r:id="rId40"/>
    <sheet name="Sage Solar III (PPA)" sheetId="49" r:id="rId41"/>
    <sheet name="Seven Mile Hill I- Repower" sheetId="58" r:id="rId42"/>
    <sheet name="Seven Mile Hill II- Repower" sheetId="59" r:id="rId43"/>
    <sheet name="Sweetwater (PPA)" sheetId="50" r:id="rId44"/>
    <sheet name="Top of World (PPA)" sheetId="51" r:id="rId45"/>
    <sheet name="TB Flats I Wind" sheetId="67" r:id="rId46"/>
    <sheet name="TB Flats II Wind" sheetId="68" r:id="rId47"/>
    <sheet name="Wolverine Creek PPA" sheetId="72" r:id="rId48"/>
  </sheets>
  <definedNames>
    <definedName name="____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" localSheetId="20" hidden="1">{#N/A,#N/A,FALSE,"Summary";#N/A,#N/A,FALSE,"SmPlants";#N/A,#N/A,FALSE,"Utah";#N/A,#N/A,FALSE,"Idaho";#N/A,#N/A,FALSE,"Lewis River";#N/A,#N/A,FALSE,"NrthUmpq";#N/A,#N/A,FALSE,"KlamRog"}</definedName>
    <definedName name="________________________OM1" localSheetId="21" hidden="1">{#N/A,#N/A,FALSE,"Summary";#N/A,#N/A,FALSE,"SmPlants";#N/A,#N/A,FALSE,"Utah";#N/A,#N/A,FALSE,"Idaho";#N/A,#N/A,FALSE,"Lewis River";#N/A,#N/A,FALSE,"NrthUmpq";#N/A,#N/A,FALSE,"KlamRog"}</definedName>
    <definedName name="____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" localSheetId="27" hidden="1">{#N/A,#N/A,FALSE,"Summary";#N/A,#N/A,FALSE,"SmPlants";#N/A,#N/A,FALSE,"Utah";#N/A,#N/A,FALSE,"Idaho";#N/A,#N/A,FALSE,"Lewis River";#N/A,#N/A,FALSE,"NrthUmpq";#N/A,#N/A,FALSE,"KlamRog"}</definedName>
    <definedName name="________________________OM1" localSheetId="28" hidden="1">{#N/A,#N/A,FALSE,"Summary";#N/A,#N/A,FALSE,"SmPlants";#N/A,#N/A,FALSE,"Utah";#N/A,#N/A,FALSE,"Idaho";#N/A,#N/A,FALSE,"Lewis River";#N/A,#N/A,FALSE,"NrthUmpq";#N/A,#N/A,FALSE,"KlamRog"}</definedName>
    <definedName name="________________________OM1" localSheetId="29" hidden="1">{#N/A,#N/A,FALSE,"Summary";#N/A,#N/A,FALSE,"SmPlants";#N/A,#N/A,FALSE,"Utah";#N/A,#N/A,FALSE,"Idaho";#N/A,#N/A,FALSE,"Lewis River";#N/A,#N/A,FALSE,"NrthUmpq";#N/A,#N/A,FALSE,"KlamRog"}</definedName>
    <definedName name="________________________OM1" localSheetId="30" hidden="1">{#N/A,#N/A,FALSE,"Summary";#N/A,#N/A,FALSE,"SmPlants";#N/A,#N/A,FALSE,"Utah";#N/A,#N/A,FALSE,"Idaho";#N/A,#N/A,FALSE,"Lewis River";#N/A,#N/A,FALSE,"NrthUmpq";#N/A,#N/A,FALSE,"KlamRog"}</definedName>
    <definedName name="____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" localSheetId="37" hidden="1">{#N/A,#N/A,FALSE,"Summary";#N/A,#N/A,FALSE,"SmPlants";#N/A,#N/A,FALSE,"Utah";#N/A,#N/A,FALSE,"Idaho";#N/A,#N/A,FALSE,"Lewis River";#N/A,#N/A,FALSE,"NrthUmpq";#N/A,#N/A,FALSE,"KlamRog"}</definedName>
    <definedName name="________________________OM1" localSheetId="41" hidden="1">{#N/A,#N/A,FALSE,"Summary";#N/A,#N/A,FALSE,"SmPlants";#N/A,#N/A,FALSE,"Utah";#N/A,#N/A,FALSE,"Idaho";#N/A,#N/A,FALSE,"Lewis River";#N/A,#N/A,FALSE,"NrthUmpq";#N/A,#N/A,FALSE,"KlamRog"}</definedName>
    <definedName name="__________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8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0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7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8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29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0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37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41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8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0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7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8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29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0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37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41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8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0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1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7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8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29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0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37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41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8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0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1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7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8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29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0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37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41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8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0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1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7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8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29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0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37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41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____OM1_5" hidden="1">{#N/A,#N/A,FALSE,"Summary";#N/A,#N/A,FALSE,"SmPlants";#N/A,#N/A,FALSE,"Utah";#N/A,#N/A,FALSE,"Idaho";#N/A,#N/A,FALSE,"Lewis River";#N/A,#N/A,FALSE,"NrthUmpq";#N/A,#N/A,FALSE,"KlamRog"}</definedName>
    <definedName name="__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OM1" localSheetId="20" hidden="1">{#N/A,#N/A,FALSE,"Summary";#N/A,#N/A,FALSE,"SmPlants";#N/A,#N/A,FALSE,"Utah";#N/A,#N/A,FALSE,"Idaho";#N/A,#N/A,FALSE,"Lewis River";#N/A,#N/A,FALSE,"NrthUmpq";#N/A,#N/A,FALSE,"KlamRog"}</definedName>
    <definedName name="______________________OM1" localSheetId="21" hidden="1">{#N/A,#N/A,FALSE,"Summary";#N/A,#N/A,FALSE,"SmPlants";#N/A,#N/A,FALSE,"Utah";#N/A,#N/A,FALSE,"Idaho";#N/A,#N/A,FALSE,"Lewis River";#N/A,#N/A,FALSE,"NrthUmpq";#N/A,#N/A,FALSE,"KlamRog"}</definedName>
    <definedName name="__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__OM1" localSheetId="27" hidden="1">{#N/A,#N/A,FALSE,"Summary";#N/A,#N/A,FALSE,"SmPlants";#N/A,#N/A,FALSE,"Utah";#N/A,#N/A,FALSE,"Idaho";#N/A,#N/A,FALSE,"Lewis River";#N/A,#N/A,FALSE,"NrthUmpq";#N/A,#N/A,FALSE,"KlamRog"}</definedName>
    <definedName name="______________________OM1" localSheetId="28" hidden="1">{#N/A,#N/A,FALSE,"Summary";#N/A,#N/A,FALSE,"SmPlants";#N/A,#N/A,FALSE,"Utah";#N/A,#N/A,FALSE,"Idaho";#N/A,#N/A,FALSE,"Lewis River";#N/A,#N/A,FALSE,"NrthUmpq";#N/A,#N/A,FALSE,"KlamRog"}</definedName>
    <definedName name="______________________OM1" localSheetId="29" hidden="1">{#N/A,#N/A,FALSE,"Summary";#N/A,#N/A,FALSE,"SmPlants";#N/A,#N/A,FALSE,"Utah";#N/A,#N/A,FALSE,"Idaho";#N/A,#N/A,FALSE,"Lewis River";#N/A,#N/A,FALSE,"NrthUmpq";#N/A,#N/A,FALSE,"KlamRog"}</definedName>
    <definedName name="______________________OM1" localSheetId="30" hidden="1">{#N/A,#N/A,FALSE,"Summary";#N/A,#N/A,FALSE,"SmPlants";#N/A,#N/A,FALSE,"Utah";#N/A,#N/A,FALSE,"Idaho";#N/A,#N/A,FALSE,"Lewis River";#N/A,#N/A,FALSE,"NrthUmpq";#N/A,#N/A,FALSE,"KlamRog"}</definedName>
    <definedName name="__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__OM1" localSheetId="37" hidden="1">{#N/A,#N/A,FALSE,"Summary";#N/A,#N/A,FALSE,"SmPlants";#N/A,#N/A,FALSE,"Utah";#N/A,#N/A,FALSE,"Idaho";#N/A,#N/A,FALSE,"Lewis River";#N/A,#N/A,FALSE,"NrthUmpq";#N/A,#N/A,FALSE,"KlamRog"}</definedName>
    <definedName name="______________________OM1" localSheetId="41" hidden="1">{#N/A,#N/A,FALSE,"Summary";#N/A,#N/A,FALSE,"SmPlants";#N/A,#N/A,FALSE,"Utah";#N/A,#N/A,FALSE,"Idaho";#N/A,#N/A,FALSE,"Lewis River";#N/A,#N/A,FALSE,"NrthUmpq";#N/A,#N/A,FALSE,"KlamRog"}</definedName>
    <definedName name="________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__OM1_1" localSheetId="18" hidden="1">{#N/A,#N/A,FALSE,"Summary";#N/A,#N/A,FALSE,"SmPlants";#N/A,#N/A,FALSE,"Utah";#N/A,#N/A,FALSE,"Idaho";#N/A,#N/A,FALSE,"Lewis River";#N/A,#N/A,FALSE,"NrthUmpq";#N/A,#N/A,FALSE,"KlamRog"}</definedName>
    <definedName name="__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__OM1_1" localSheetId="20" hidden="1">{#N/A,#N/A,FALSE,"Summary";#N/A,#N/A,FALSE,"SmPlants";#N/A,#N/A,FALSE,"Utah";#N/A,#N/A,FALSE,"Idaho";#N/A,#N/A,FALSE,"Lewis River";#N/A,#N/A,FALSE,"NrthUmpq";#N/A,#N/A,FALSE,"KlamRog"}</definedName>
    <definedName name="______________________OM1_1" localSheetId="21" hidden="1">{#N/A,#N/A,FALSE,"Summary";#N/A,#N/A,FALSE,"SmPlants";#N/A,#N/A,FALSE,"Utah";#N/A,#N/A,FALSE,"Idaho";#N/A,#N/A,FALSE,"Lewis River";#N/A,#N/A,FALSE,"NrthUmpq";#N/A,#N/A,FALSE,"KlamRog"}</definedName>
    <definedName name="__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__OM1_1" localSheetId="27" hidden="1">{#N/A,#N/A,FALSE,"Summary";#N/A,#N/A,FALSE,"SmPlants";#N/A,#N/A,FALSE,"Utah";#N/A,#N/A,FALSE,"Idaho";#N/A,#N/A,FALSE,"Lewis River";#N/A,#N/A,FALSE,"NrthUmpq";#N/A,#N/A,FALSE,"KlamRog"}</definedName>
    <definedName name="______________________OM1_1" localSheetId="28" hidden="1">{#N/A,#N/A,FALSE,"Summary";#N/A,#N/A,FALSE,"SmPlants";#N/A,#N/A,FALSE,"Utah";#N/A,#N/A,FALSE,"Idaho";#N/A,#N/A,FALSE,"Lewis River";#N/A,#N/A,FALSE,"NrthUmpq";#N/A,#N/A,FALSE,"KlamRog"}</definedName>
    <definedName name="______________________OM1_1" localSheetId="29" hidden="1">{#N/A,#N/A,FALSE,"Summary";#N/A,#N/A,FALSE,"SmPlants";#N/A,#N/A,FALSE,"Utah";#N/A,#N/A,FALSE,"Idaho";#N/A,#N/A,FALSE,"Lewis River";#N/A,#N/A,FALSE,"NrthUmpq";#N/A,#N/A,FALSE,"KlamRog"}</definedName>
    <definedName name="______________________OM1_1" localSheetId="30" hidden="1">{#N/A,#N/A,FALSE,"Summary";#N/A,#N/A,FALSE,"SmPlants";#N/A,#N/A,FALSE,"Utah";#N/A,#N/A,FALSE,"Idaho";#N/A,#N/A,FALSE,"Lewis River";#N/A,#N/A,FALSE,"NrthUmpq";#N/A,#N/A,FALSE,"KlamRog"}</definedName>
    <definedName name="__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__OM1_1" localSheetId="37" hidden="1">{#N/A,#N/A,FALSE,"Summary";#N/A,#N/A,FALSE,"SmPlants";#N/A,#N/A,FALSE,"Utah";#N/A,#N/A,FALSE,"Idaho";#N/A,#N/A,FALSE,"Lewis River";#N/A,#N/A,FALSE,"NrthUmpq";#N/A,#N/A,FALSE,"KlamRog"}</definedName>
    <definedName name="______________________OM1_1" localSheetId="41" hidden="1">{#N/A,#N/A,FALSE,"Summary";#N/A,#N/A,FALSE,"SmPlants";#N/A,#N/A,FALSE,"Utah";#N/A,#N/A,FALSE,"Idaho";#N/A,#N/A,FALSE,"Lewis River";#N/A,#N/A,FALSE,"NrthUmpq";#N/A,#N/A,FALSE,"KlamRog"}</definedName>
    <definedName name="________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__OM1_2" localSheetId="18" hidden="1">{#N/A,#N/A,FALSE,"Summary";#N/A,#N/A,FALSE,"SmPlants";#N/A,#N/A,FALSE,"Utah";#N/A,#N/A,FALSE,"Idaho";#N/A,#N/A,FALSE,"Lewis River";#N/A,#N/A,FALSE,"NrthUmpq";#N/A,#N/A,FALSE,"KlamRog"}</definedName>
    <definedName name="__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__OM1_2" localSheetId="20" hidden="1">{#N/A,#N/A,FALSE,"Summary";#N/A,#N/A,FALSE,"SmPlants";#N/A,#N/A,FALSE,"Utah";#N/A,#N/A,FALSE,"Idaho";#N/A,#N/A,FALSE,"Lewis River";#N/A,#N/A,FALSE,"NrthUmpq";#N/A,#N/A,FALSE,"KlamRog"}</definedName>
    <definedName name="______________________OM1_2" localSheetId="21" hidden="1">{#N/A,#N/A,FALSE,"Summary";#N/A,#N/A,FALSE,"SmPlants";#N/A,#N/A,FALSE,"Utah";#N/A,#N/A,FALSE,"Idaho";#N/A,#N/A,FALSE,"Lewis River";#N/A,#N/A,FALSE,"NrthUmpq";#N/A,#N/A,FALSE,"KlamRog"}</definedName>
    <definedName name="__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__OM1_2" localSheetId="27" hidden="1">{#N/A,#N/A,FALSE,"Summary";#N/A,#N/A,FALSE,"SmPlants";#N/A,#N/A,FALSE,"Utah";#N/A,#N/A,FALSE,"Idaho";#N/A,#N/A,FALSE,"Lewis River";#N/A,#N/A,FALSE,"NrthUmpq";#N/A,#N/A,FALSE,"KlamRog"}</definedName>
    <definedName name="______________________OM1_2" localSheetId="28" hidden="1">{#N/A,#N/A,FALSE,"Summary";#N/A,#N/A,FALSE,"SmPlants";#N/A,#N/A,FALSE,"Utah";#N/A,#N/A,FALSE,"Idaho";#N/A,#N/A,FALSE,"Lewis River";#N/A,#N/A,FALSE,"NrthUmpq";#N/A,#N/A,FALSE,"KlamRog"}</definedName>
    <definedName name="______________________OM1_2" localSheetId="29" hidden="1">{#N/A,#N/A,FALSE,"Summary";#N/A,#N/A,FALSE,"SmPlants";#N/A,#N/A,FALSE,"Utah";#N/A,#N/A,FALSE,"Idaho";#N/A,#N/A,FALSE,"Lewis River";#N/A,#N/A,FALSE,"NrthUmpq";#N/A,#N/A,FALSE,"KlamRog"}</definedName>
    <definedName name="______________________OM1_2" localSheetId="30" hidden="1">{#N/A,#N/A,FALSE,"Summary";#N/A,#N/A,FALSE,"SmPlants";#N/A,#N/A,FALSE,"Utah";#N/A,#N/A,FALSE,"Idaho";#N/A,#N/A,FALSE,"Lewis River";#N/A,#N/A,FALSE,"NrthUmpq";#N/A,#N/A,FALSE,"KlamRog"}</definedName>
    <definedName name="__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__OM1_2" localSheetId="37" hidden="1">{#N/A,#N/A,FALSE,"Summary";#N/A,#N/A,FALSE,"SmPlants";#N/A,#N/A,FALSE,"Utah";#N/A,#N/A,FALSE,"Idaho";#N/A,#N/A,FALSE,"Lewis River";#N/A,#N/A,FALSE,"NrthUmpq";#N/A,#N/A,FALSE,"KlamRog"}</definedName>
    <definedName name="______________________OM1_2" localSheetId="41" hidden="1">{#N/A,#N/A,FALSE,"Summary";#N/A,#N/A,FALSE,"SmPlants";#N/A,#N/A,FALSE,"Utah";#N/A,#N/A,FALSE,"Idaho";#N/A,#N/A,FALSE,"Lewis River";#N/A,#N/A,FALSE,"NrthUmpq";#N/A,#N/A,FALSE,"KlamRog"}</definedName>
    <definedName name="________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__OM1_3" localSheetId="18" hidden="1">{#N/A,#N/A,FALSE,"Summary";#N/A,#N/A,FALSE,"SmPlants";#N/A,#N/A,FALSE,"Utah";#N/A,#N/A,FALSE,"Idaho";#N/A,#N/A,FALSE,"Lewis River";#N/A,#N/A,FALSE,"NrthUmpq";#N/A,#N/A,FALSE,"KlamRog"}</definedName>
    <definedName name="__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__OM1_3" localSheetId="20" hidden="1">{#N/A,#N/A,FALSE,"Summary";#N/A,#N/A,FALSE,"SmPlants";#N/A,#N/A,FALSE,"Utah";#N/A,#N/A,FALSE,"Idaho";#N/A,#N/A,FALSE,"Lewis River";#N/A,#N/A,FALSE,"NrthUmpq";#N/A,#N/A,FALSE,"KlamRog"}</definedName>
    <definedName name="______________________OM1_3" localSheetId="21" hidden="1">{#N/A,#N/A,FALSE,"Summary";#N/A,#N/A,FALSE,"SmPlants";#N/A,#N/A,FALSE,"Utah";#N/A,#N/A,FALSE,"Idaho";#N/A,#N/A,FALSE,"Lewis River";#N/A,#N/A,FALSE,"NrthUmpq";#N/A,#N/A,FALSE,"KlamRog"}</definedName>
    <definedName name="__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__OM1_3" localSheetId="27" hidden="1">{#N/A,#N/A,FALSE,"Summary";#N/A,#N/A,FALSE,"SmPlants";#N/A,#N/A,FALSE,"Utah";#N/A,#N/A,FALSE,"Idaho";#N/A,#N/A,FALSE,"Lewis River";#N/A,#N/A,FALSE,"NrthUmpq";#N/A,#N/A,FALSE,"KlamRog"}</definedName>
    <definedName name="______________________OM1_3" localSheetId="28" hidden="1">{#N/A,#N/A,FALSE,"Summary";#N/A,#N/A,FALSE,"SmPlants";#N/A,#N/A,FALSE,"Utah";#N/A,#N/A,FALSE,"Idaho";#N/A,#N/A,FALSE,"Lewis River";#N/A,#N/A,FALSE,"NrthUmpq";#N/A,#N/A,FALSE,"KlamRog"}</definedName>
    <definedName name="______________________OM1_3" localSheetId="29" hidden="1">{#N/A,#N/A,FALSE,"Summary";#N/A,#N/A,FALSE,"SmPlants";#N/A,#N/A,FALSE,"Utah";#N/A,#N/A,FALSE,"Idaho";#N/A,#N/A,FALSE,"Lewis River";#N/A,#N/A,FALSE,"NrthUmpq";#N/A,#N/A,FALSE,"KlamRog"}</definedName>
    <definedName name="______________________OM1_3" localSheetId="30" hidden="1">{#N/A,#N/A,FALSE,"Summary";#N/A,#N/A,FALSE,"SmPlants";#N/A,#N/A,FALSE,"Utah";#N/A,#N/A,FALSE,"Idaho";#N/A,#N/A,FALSE,"Lewis River";#N/A,#N/A,FALSE,"NrthUmpq";#N/A,#N/A,FALSE,"KlamRog"}</definedName>
    <definedName name="__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__OM1_3" localSheetId="37" hidden="1">{#N/A,#N/A,FALSE,"Summary";#N/A,#N/A,FALSE,"SmPlants";#N/A,#N/A,FALSE,"Utah";#N/A,#N/A,FALSE,"Idaho";#N/A,#N/A,FALSE,"Lewis River";#N/A,#N/A,FALSE,"NrthUmpq";#N/A,#N/A,FALSE,"KlamRog"}</definedName>
    <definedName name="______________________OM1_3" localSheetId="41" hidden="1">{#N/A,#N/A,FALSE,"Summary";#N/A,#N/A,FALSE,"SmPlants";#N/A,#N/A,FALSE,"Utah";#N/A,#N/A,FALSE,"Idaho";#N/A,#N/A,FALSE,"Lewis River";#N/A,#N/A,FALSE,"NrthUmpq";#N/A,#N/A,FALSE,"KlamRog"}</definedName>
    <definedName name="________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__OM1_4" localSheetId="18" hidden="1">{#N/A,#N/A,FALSE,"Summary";#N/A,#N/A,FALSE,"SmPlants";#N/A,#N/A,FALSE,"Utah";#N/A,#N/A,FALSE,"Idaho";#N/A,#N/A,FALSE,"Lewis River";#N/A,#N/A,FALSE,"NrthUmpq";#N/A,#N/A,FALSE,"KlamRog"}</definedName>
    <definedName name="__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__OM1_4" localSheetId="20" hidden="1">{#N/A,#N/A,FALSE,"Summary";#N/A,#N/A,FALSE,"SmPlants";#N/A,#N/A,FALSE,"Utah";#N/A,#N/A,FALSE,"Idaho";#N/A,#N/A,FALSE,"Lewis River";#N/A,#N/A,FALSE,"NrthUmpq";#N/A,#N/A,FALSE,"KlamRog"}</definedName>
    <definedName name="______________________OM1_4" localSheetId="21" hidden="1">{#N/A,#N/A,FALSE,"Summary";#N/A,#N/A,FALSE,"SmPlants";#N/A,#N/A,FALSE,"Utah";#N/A,#N/A,FALSE,"Idaho";#N/A,#N/A,FALSE,"Lewis River";#N/A,#N/A,FALSE,"NrthUmpq";#N/A,#N/A,FALSE,"KlamRog"}</definedName>
    <definedName name="__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__OM1_4" localSheetId="27" hidden="1">{#N/A,#N/A,FALSE,"Summary";#N/A,#N/A,FALSE,"SmPlants";#N/A,#N/A,FALSE,"Utah";#N/A,#N/A,FALSE,"Idaho";#N/A,#N/A,FALSE,"Lewis River";#N/A,#N/A,FALSE,"NrthUmpq";#N/A,#N/A,FALSE,"KlamRog"}</definedName>
    <definedName name="______________________OM1_4" localSheetId="28" hidden="1">{#N/A,#N/A,FALSE,"Summary";#N/A,#N/A,FALSE,"SmPlants";#N/A,#N/A,FALSE,"Utah";#N/A,#N/A,FALSE,"Idaho";#N/A,#N/A,FALSE,"Lewis River";#N/A,#N/A,FALSE,"NrthUmpq";#N/A,#N/A,FALSE,"KlamRog"}</definedName>
    <definedName name="______________________OM1_4" localSheetId="29" hidden="1">{#N/A,#N/A,FALSE,"Summary";#N/A,#N/A,FALSE,"SmPlants";#N/A,#N/A,FALSE,"Utah";#N/A,#N/A,FALSE,"Idaho";#N/A,#N/A,FALSE,"Lewis River";#N/A,#N/A,FALSE,"NrthUmpq";#N/A,#N/A,FALSE,"KlamRog"}</definedName>
    <definedName name="______________________OM1_4" localSheetId="30" hidden="1">{#N/A,#N/A,FALSE,"Summary";#N/A,#N/A,FALSE,"SmPlants";#N/A,#N/A,FALSE,"Utah";#N/A,#N/A,FALSE,"Idaho";#N/A,#N/A,FALSE,"Lewis River";#N/A,#N/A,FALSE,"NrthUmpq";#N/A,#N/A,FALSE,"KlamRog"}</definedName>
    <definedName name="__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__OM1_4" localSheetId="37" hidden="1">{#N/A,#N/A,FALSE,"Summary";#N/A,#N/A,FALSE,"SmPlants";#N/A,#N/A,FALSE,"Utah";#N/A,#N/A,FALSE,"Idaho";#N/A,#N/A,FALSE,"Lewis River";#N/A,#N/A,FALSE,"NrthUmpq";#N/A,#N/A,FALSE,"KlamRog"}</definedName>
    <definedName name="______________________OM1_4" localSheetId="41" hidden="1">{#N/A,#N/A,FALSE,"Summary";#N/A,#N/A,FALSE,"SmPlants";#N/A,#N/A,FALSE,"Utah";#N/A,#N/A,FALSE,"Idaho";#N/A,#N/A,FALSE,"Lewis River";#N/A,#N/A,FALSE,"NrthUmpq";#N/A,#N/A,FALSE,"KlamRog"}</definedName>
    <definedName name="________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__OM1_5" localSheetId="18" hidden="1">{#N/A,#N/A,FALSE,"Summary";#N/A,#N/A,FALSE,"SmPlants";#N/A,#N/A,FALSE,"Utah";#N/A,#N/A,FALSE,"Idaho";#N/A,#N/A,FALSE,"Lewis River";#N/A,#N/A,FALSE,"NrthUmpq";#N/A,#N/A,FALSE,"KlamRog"}</definedName>
    <definedName name="__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__OM1_5" localSheetId="20" hidden="1">{#N/A,#N/A,FALSE,"Summary";#N/A,#N/A,FALSE,"SmPlants";#N/A,#N/A,FALSE,"Utah";#N/A,#N/A,FALSE,"Idaho";#N/A,#N/A,FALSE,"Lewis River";#N/A,#N/A,FALSE,"NrthUmpq";#N/A,#N/A,FALSE,"KlamRog"}</definedName>
    <definedName name="______________________OM1_5" localSheetId="21" hidden="1">{#N/A,#N/A,FALSE,"Summary";#N/A,#N/A,FALSE,"SmPlants";#N/A,#N/A,FALSE,"Utah";#N/A,#N/A,FALSE,"Idaho";#N/A,#N/A,FALSE,"Lewis River";#N/A,#N/A,FALSE,"NrthUmpq";#N/A,#N/A,FALSE,"KlamRog"}</definedName>
    <definedName name="__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__OM1_5" localSheetId="27" hidden="1">{#N/A,#N/A,FALSE,"Summary";#N/A,#N/A,FALSE,"SmPlants";#N/A,#N/A,FALSE,"Utah";#N/A,#N/A,FALSE,"Idaho";#N/A,#N/A,FALSE,"Lewis River";#N/A,#N/A,FALSE,"NrthUmpq";#N/A,#N/A,FALSE,"KlamRog"}</definedName>
    <definedName name="______________________OM1_5" localSheetId="28" hidden="1">{#N/A,#N/A,FALSE,"Summary";#N/A,#N/A,FALSE,"SmPlants";#N/A,#N/A,FALSE,"Utah";#N/A,#N/A,FALSE,"Idaho";#N/A,#N/A,FALSE,"Lewis River";#N/A,#N/A,FALSE,"NrthUmpq";#N/A,#N/A,FALSE,"KlamRog"}</definedName>
    <definedName name="______________________OM1_5" localSheetId="29" hidden="1">{#N/A,#N/A,FALSE,"Summary";#N/A,#N/A,FALSE,"SmPlants";#N/A,#N/A,FALSE,"Utah";#N/A,#N/A,FALSE,"Idaho";#N/A,#N/A,FALSE,"Lewis River";#N/A,#N/A,FALSE,"NrthUmpq";#N/A,#N/A,FALSE,"KlamRog"}</definedName>
    <definedName name="______________________OM1_5" localSheetId="30" hidden="1">{#N/A,#N/A,FALSE,"Summary";#N/A,#N/A,FALSE,"SmPlants";#N/A,#N/A,FALSE,"Utah";#N/A,#N/A,FALSE,"Idaho";#N/A,#N/A,FALSE,"Lewis River";#N/A,#N/A,FALSE,"NrthUmpq";#N/A,#N/A,FALSE,"KlamRog"}</definedName>
    <definedName name="__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__OM1_5" localSheetId="37" hidden="1">{#N/A,#N/A,FALSE,"Summary";#N/A,#N/A,FALSE,"SmPlants";#N/A,#N/A,FALSE,"Utah";#N/A,#N/A,FALSE,"Idaho";#N/A,#N/A,FALSE,"Lewis River";#N/A,#N/A,FALSE,"NrthUmpq";#N/A,#N/A,FALSE,"KlamRog"}</definedName>
    <definedName name="______________________OM1_5" localSheetId="41" hidden="1">{#N/A,#N/A,FALSE,"Summary";#N/A,#N/A,FALSE,"SmPlants";#N/A,#N/A,FALSE,"Utah";#N/A,#N/A,FALSE,"Idaho";#N/A,#N/A,FALSE,"Lewis River";#N/A,#N/A,FALSE,"NrthUmpq";#N/A,#N/A,FALSE,"KlamRog"}</definedName>
    <definedName name="________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__OM1_5" hidden="1">{#N/A,#N/A,FALSE,"Summary";#N/A,#N/A,FALSE,"SmPlants";#N/A,#N/A,FALSE,"Utah";#N/A,#N/A,FALSE,"Idaho";#N/A,#N/A,FALSE,"Lewis River";#N/A,#N/A,FALSE,"NrthUmpq";#N/A,#N/A,FALSE,"KlamRog"}</definedName>
    <definedName name="_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OM1" localSheetId="20" hidden="1">{#N/A,#N/A,FALSE,"Summary";#N/A,#N/A,FALSE,"SmPlants";#N/A,#N/A,FALSE,"Utah";#N/A,#N/A,FALSE,"Idaho";#N/A,#N/A,FALSE,"Lewis River";#N/A,#N/A,FALSE,"NrthUmpq";#N/A,#N/A,FALSE,"KlamRog"}</definedName>
    <definedName name="____________________OM1" localSheetId="21" hidden="1">{#N/A,#N/A,FALSE,"Summary";#N/A,#N/A,FALSE,"SmPlants";#N/A,#N/A,FALSE,"Utah";#N/A,#N/A,FALSE,"Idaho";#N/A,#N/A,FALSE,"Lewis River";#N/A,#N/A,FALSE,"NrthUmpq";#N/A,#N/A,FALSE,"KlamRog"}</definedName>
    <definedName name="_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_OM1" localSheetId="27" hidden="1">{#N/A,#N/A,FALSE,"Summary";#N/A,#N/A,FALSE,"SmPlants";#N/A,#N/A,FALSE,"Utah";#N/A,#N/A,FALSE,"Idaho";#N/A,#N/A,FALSE,"Lewis River";#N/A,#N/A,FALSE,"NrthUmpq";#N/A,#N/A,FALSE,"KlamRog"}</definedName>
    <definedName name="____________________OM1" localSheetId="28" hidden="1">{#N/A,#N/A,FALSE,"Summary";#N/A,#N/A,FALSE,"SmPlants";#N/A,#N/A,FALSE,"Utah";#N/A,#N/A,FALSE,"Idaho";#N/A,#N/A,FALSE,"Lewis River";#N/A,#N/A,FALSE,"NrthUmpq";#N/A,#N/A,FALSE,"KlamRog"}</definedName>
    <definedName name="____________________OM1" localSheetId="29" hidden="1">{#N/A,#N/A,FALSE,"Summary";#N/A,#N/A,FALSE,"SmPlants";#N/A,#N/A,FALSE,"Utah";#N/A,#N/A,FALSE,"Idaho";#N/A,#N/A,FALSE,"Lewis River";#N/A,#N/A,FALSE,"NrthUmpq";#N/A,#N/A,FALSE,"KlamRog"}</definedName>
    <definedName name="____________________OM1" localSheetId="30" hidden="1">{#N/A,#N/A,FALSE,"Summary";#N/A,#N/A,FALSE,"SmPlants";#N/A,#N/A,FALSE,"Utah";#N/A,#N/A,FALSE,"Idaho";#N/A,#N/A,FALSE,"Lewis River";#N/A,#N/A,FALSE,"NrthUmpq";#N/A,#N/A,FALSE,"KlamRog"}</definedName>
    <definedName name="_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_OM1" localSheetId="37" hidden="1">{#N/A,#N/A,FALSE,"Summary";#N/A,#N/A,FALSE,"SmPlants";#N/A,#N/A,FALSE,"Utah";#N/A,#N/A,FALSE,"Idaho";#N/A,#N/A,FALSE,"Lewis River";#N/A,#N/A,FALSE,"NrthUmpq";#N/A,#N/A,FALSE,"KlamRog"}</definedName>
    <definedName name="____________________OM1" localSheetId="41" hidden="1">{#N/A,#N/A,FALSE,"Summary";#N/A,#N/A,FALSE,"SmPlants";#N/A,#N/A,FALSE,"Utah";#N/A,#N/A,FALSE,"Idaho";#N/A,#N/A,FALSE,"Lewis River";#N/A,#N/A,FALSE,"NrthUmpq";#N/A,#N/A,FALSE,"KlamRog"}</definedName>
    <definedName name="______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_OM1_1" localSheetId="18" hidden="1">{#N/A,#N/A,FALSE,"Summary";#N/A,#N/A,FALSE,"SmPlants";#N/A,#N/A,FALSE,"Utah";#N/A,#N/A,FALSE,"Idaho";#N/A,#N/A,FALSE,"Lewis River";#N/A,#N/A,FALSE,"NrthUmpq";#N/A,#N/A,FALSE,"KlamRog"}</definedName>
    <definedName name="_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_OM1_1" localSheetId="20" hidden="1">{#N/A,#N/A,FALSE,"Summary";#N/A,#N/A,FALSE,"SmPlants";#N/A,#N/A,FALSE,"Utah";#N/A,#N/A,FALSE,"Idaho";#N/A,#N/A,FALSE,"Lewis River";#N/A,#N/A,FALSE,"NrthUmpq";#N/A,#N/A,FALSE,"KlamRog"}</definedName>
    <definedName name="____________________OM1_1" localSheetId="21" hidden="1">{#N/A,#N/A,FALSE,"Summary";#N/A,#N/A,FALSE,"SmPlants";#N/A,#N/A,FALSE,"Utah";#N/A,#N/A,FALSE,"Idaho";#N/A,#N/A,FALSE,"Lewis River";#N/A,#N/A,FALSE,"NrthUmpq";#N/A,#N/A,FALSE,"KlamRog"}</definedName>
    <definedName name="_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_OM1_1" localSheetId="27" hidden="1">{#N/A,#N/A,FALSE,"Summary";#N/A,#N/A,FALSE,"SmPlants";#N/A,#N/A,FALSE,"Utah";#N/A,#N/A,FALSE,"Idaho";#N/A,#N/A,FALSE,"Lewis River";#N/A,#N/A,FALSE,"NrthUmpq";#N/A,#N/A,FALSE,"KlamRog"}</definedName>
    <definedName name="____________________OM1_1" localSheetId="28" hidden="1">{#N/A,#N/A,FALSE,"Summary";#N/A,#N/A,FALSE,"SmPlants";#N/A,#N/A,FALSE,"Utah";#N/A,#N/A,FALSE,"Idaho";#N/A,#N/A,FALSE,"Lewis River";#N/A,#N/A,FALSE,"NrthUmpq";#N/A,#N/A,FALSE,"KlamRog"}</definedName>
    <definedName name="____________________OM1_1" localSheetId="29" hidden="1">{#N/A,#N/A,FALSE,"Summary";#N/A,#N/A,FALSE,"SmPlants";#N/A,#N/A,FALSE,"Utah";#N/A,#N/A,FALSE,"Idaho";#N/A,#N/A,FALSE,"Lewis River";#N/A,#N/A,FALSE,"NrthUmpq";#N/A,#N/A,FALSE,"KlamRog"}</definedName>
    <definedName name="____________________OM1_1" localSheetId="30" hidden="1">{#N/A,#N/A,FALSE,"Summary";#N/A,#N/A,FALSE,"SmPlants";#N/A,#N/A,FALSE,"Utah";#N/A,#N/A,FALSE,"Idaho";#N/A,#N/A,FALSE,"Lewis River";#N/A,#N/A,FALSE,"NrthUmpq";#N/A,#N/A,FALSE,"KlamRog"}</definedName>
    <definedName name="_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_OM1_1" localSheetId="37" hidden="1">{#N/A,#N/A,FALSE,"Summary";#N/A,#N/A,FALSE,"SmPlants";#N/A,#N/A,FALSE,"Utah";#N/A,#N/A,FALSE,"Idaho";#N/A,#N/A,FALSE,"Lewis River";#N/A,#N/A,FALSE,"NrthUmpq";#N/A,#N/A,FALSE,"KlamRog"}</definedName>
    <definedName name="____________________OM1_1" localSheetId="41" hidden="1">{#N/A,#N/A,FALSE,"Summary";#N/A,#N/A,FALSE,"SmPlants";#N/A,#N/A,FALSE,"Utah";#N/A,#N/A,FALSE,"Idaho";#N/A,#N/A,FALSE,"Lewis River";#N/A,#N/A,FALSE,"NrthUmpq";#N/A,#N/A,FALSE,"KlamRog"}</definedName>
    <definedName name="______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_OM1_1" hidden="1">{#N/A,#N/A,FALSE,"Summary";#N/A,#N/A,FALSE,"SmPlants";#N/A,#N/A,FALSE,"Utah";#N/A,#N/A,FALSE,"Idaho";#N/A,#N/A,FALSE,"Lewis River";#N/A,#N/A,FALSE,"NrthUmpq";#N/A,#N/A,FALSE,"KlamRog"}</definedName>
    <definedName name="_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_OM1_2" localSheetId="18" hidden="1">{#N/A,#N/A,FALSE,"Summary";#N/A,#N/A,FALSE,"SmPlants";#N/A,#N/A,FALSE,"Utah";#N/A,#N/A,FALSE,"Idaho";#N/A,#N/A,FALSE,"Lewis River";#N/A,#N/A,FALSE,"NrthUmpq";#N/A,#N/A,FALSE,"KlamRog"}</definedName>
    <definedName name="_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_OM1_2" localSheetId="20" hidden="1">{#N/A,#N/A,FALSE,"Summary";#N/A,#N/A,FALSE,"SmPlants";#N/A,#N/A,FALSE,"Utah";#N/A,#N/A,FALSE,"Idaho";#N/A,#N/A,FALSE,"Lewis River";#N/A,#N/A,FALSE,"NrthUmpq";#N/A,#N/A,FALSE,"KlamRog"}</definedName>
    <definedName name="____________________OM1_2" localSheetId="21" hidden="1">{#N/A,#N/A,FALSE,"Summary";#N/A,#N/A,FALSE,"SmPlants";#N/A,#N/A,FALSE,"Utah";#N/A,#N/A,FALSE,"Idaho";#N/A,#N/A,FALSE,"Lewis River";#N/A,#N/A,FALSE,"NrthUmpq";#N/A,#N/A,FALSE,"KlamRog"}</definedName>
    <definedName name="_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_OM1_2" localSheetId="27" hidden="1">{#N/A,#N/A,FALSE,"Summary";#N/A,#N/A,FALSE,"SmPlants";#N/A,#N/A,FALSE,"Utah";#N/A,#N/A,FALSE,"Idaho";#N/A,#N/A,FALSE,"Lewis River";#N/A,#N/A,FALSE,"NrthUmpq";#N/A,#N/A,FALSE,"KlamRog"}</definedName>
    <definedName name="____________________OM1_2" localSheetId="28" hidden="1">{#N/A,#N/A,FALSE,"Summary";#N/A,#N/A,FALSE,"SmPlants";#N/A,#N/A,FALSE,"Utah";#N/A,#N/A,FALSE,"Idaho";#N/A,#N/A,FALSE,"Lewis River";#N/A,#N/A,FALSE,"NrthUmpq";#N/A,#N/A,FALSE,"KlamRog"}</definedName>
    <definedName name="____________________OM1_2" localSheetId="29" hidden="1">{#N/A,#N/A,FALSE,"Summary";#N/A,#N/A,FALSE,"SmPlants";#N/A,#N/A,FALSE,"Utah";#N/A,#N/A,FALSE,"Idaho";#N/A,#N/A,FALSE,"Lewis River";#N/A,#N/A,FALSE,"NrthUmpq";#N/A,#N/A,FALSE,"KlamRog"}</definedName>
    <definedName name="____________________OM1_2" localSheetId="30" hidden="1">{#N/A,#N/A,FALSE,"Summary";#N/A,#N/A,FALSE,"SmPlants";#N/A,#N/A,FALSE,"Utah";#N/A,#N/A,FALSE,"Idaho";#N/A,#N/A,FALSE,"Lewis River";#N/A,#N/A,FALSE,"NrthUmpq";#N/A,#N/A,FALSE,"KlamRog"}</definedName>
    <definedName name="_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_OM1_2" localSheetId="37" hidden="1">{#N/A,#N/A,FALSE,"Summary";#N/A,#N/A,FALSE,"SmPlants";#N/A,#N/A,FALSE,"Utah";#N/A,#N/A,FALSE,"Idaho";#N/A,#N/A,FALSE,"Lewis River";#N/A,#N/A,FALSE,"NrthUmpq";#N/A,#N/A,FALSE,"KlamRog"}</definedName>
    <definedName name="____________________OM1_2" localSheetId="41" hidden="1">{#N/A,#N/A,FALSE,"Summary";#N/A,#N/A,FALSE,"SmPlants";#N/A,#N/A,FALSE,"Utah";#N/A,#N/A,FALSE,"Idaho";#N/A,#N/A,FALSE,"Lewis River";#N/A,#N/A,FALSE,"NrthUmpq";#N/A,#N/A,FALSE,"KlamRog"}</definedName>
    <definedName name="______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_OM1_2" hidden="1">{#N/A,#N/A,FALSE,"Summary";#N/A,#N/A,FALSE,"SmPlants";#N/A,#N/A,FALSE,"Utah";#N/A,#N/A,FALSE,"Idaho";#N/A,#N/A,FALSE,"Lewis River";#N/A,#N/A,FALSE,"NrthUmpq";#N/A,#N/A,FALSE,"KlamRog"}</definedName>
    <definedName name="_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_OM1_3" localSheetId="18" hidden="1">{#N/A,#N/A,FALSE,"Summary";#N/A,#N/A,FALSE,"SmPlants";#N/A,#N/A,FALSE,"Utah";#N/A,#N/A,FALSE,"Idaho";#N/A,#N/A,FALSE,"Lewis River";#N/A,#N/A,FALSE,"NrthUmpq";#N/A,#N/A,FALSE,"KlamRog"}</definedName>
    <definedName name="_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_OM1_3" localSheetId="20" hidden="1">{#N/A,#N/A,FALSE,"Summary";#N/A,#N/A,FALSE,"SmPlants";#N/A,#N/A,FALSE,"Utah";#N/A,#N/A,FALSE,"Idaho";#N/A,#N/A,FALSE,"Lewis River";#N/A,#N/A,FALSE,"NrthUmpq";#N/A,#N/A,FALSE,"KlamRog"}</definedName>
    <definedName name="____________________OM1_3" localSheetId="21" hidden="1">{#N/A,#N/A,FALSE,"Summary";#N/A,#N/A,FALSE,"SmPlants";#N/A,#N/A,FALSE,"Utah";#N/A,#N/A,FALSE,"Idaho";#N/A,#N/A,FALSE,"Lewis River";#N/A,#N/A,FALSE,"NrthUmpq";#N/A,#N/A,FALSE,"KlamRog"}</definedName>
    <definedName name="_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_OM1_3" localSheetId="27" hidden="1">{#N/A,#N/A,FALSE,"Summary";#N/A,#N/A,FALSE,"SmPlants";#N/A,#N/A,FALSE,"Utah";#N/A,#N/A,FALSE,"Idaho";#N/A,#N/A,FALSE,"Lewis River";#N/A,#N/A,FALSE,"NrthUmpq";#N/A,#N/A,FALSE,"KlamRog"}</definedName>
    <definedName name="____________________OM1_3" localSheetId="28" hidden="1">{#N/A,#N/A,FALSE,"Summary";#N/A,#N/A,FALSE,"SmPlants";#N/A,#N/A,FALSE,"Utah";#N/A,#N/A,FALSE,"Idaho";#N/A,#N/A,FALSE,"Lewis River";#N/A,#N/A,FALSE,"NrthUmpq";#N/A,#N/A,FALSE,"KlamRog"}</definedName>
    <definedName name="____________________OM1_3" localSheetId="29" hidden="1">{#N/A,#N/A,FALSE,"Summary";#N/A,#N/A,FALSE,"SmPlants";#N/A,#N/A,FALSE,"Utah";#N/A,#N/A,FALSE,"Idaho";#N/A,#N/A,FALSE,"Lewis River";#N/A,#N/A,FALSE,"NrthUmpq";#N/A,#N/A,FALSE,"KlamRog"}</definedName>
    <definedName name="____________________OM1_3" localSheetId="30" hidden="1">{#N/A,#N/A,FALSE,"Summary";#N/A,#N/A,FALSE,"SmPlants";#N/A,#N/A,FALSE,"Utah";#N/A,#N/A,FALSE,"Idaho";#N/A,#N/A,FALSE,"Lewis River";#N/A,#N/A,FALSE,"NrthUmpq";#N/A,#N/A,FALSE,"KlamRog"}</definedName>
    <definedName name="_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_OM1_3" localSheetId="37" hidden="1">{#N/A,#N/A,FALSE,"Summary";#N/A,#N/A,FALSE,"SmPlants";#N/A,#N/A,FALSE,"Utah";#N/A,#N/A,FALSE,"Idaho";#N/A,#N/A,FALSE,"Lewis River";#N/A,#N/A,FALSE,"NrthUmpq";#N/A,#N/A,FALSE,"KlamRog"}</definedName>
    <definedName name="____________________OM1_3" localSheetId="41" hidden="1">{#N/A,#N/A,FALSE,"Summary";#N/A,#N/A,FALSE,"SmPlants";#N/A,#N/A,FALSE,"Utah";#N/A,#N/A,FALSE,"Idaho";#N/A,#N/A,FALSE,"Lewis River";#N/A,#N/A,FALSE,"NrthUmpq";#N/A,#N/A,FALSE,"KlamRog"}</definedName>
    <definedName name="______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_OM1_3" hidden="1">{#N/A,#N/A,FALSE,"Summary";#N/A,#N/A,FALSE,"SmPlants";#N/A,#N/A,FALSE,"Utah";#N/A,#N/A,FALSE,"Idaho";#N/A,#N/A,FALSE,"Lewis River";#N/A,#N/A,FALSE,"NrthUmpq";#N/A,#N/A,FALSE,"KlamRog"}</definedName>
    <definedName name="_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_OM1_4" localSheetId="18" hidden="1">{#N/A,#N/A,FALSE,"Summary";#N/A,#N/A,FALSE,"SmPlants";#N/A,#N/A,FALSE,"Utah";#N/A,#N/A,FALSE,"Idaho";#N/A,#N/A,FALSE,"Lewis River";#N/A,#N/A,FALSE,"NrthUmpq";#N/A,#N/A,FALSE,"KlamRog"}</definedName>
    <definedName name="_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_OM1_4" localSheetId="20" hidden="1">{#N/A,#N/A,FALSE,"Summary";#N/A,#N/A,FALSE,"SmPlants";#N/A,#N/A,FALSE,"Utah";#N/A,#N/A,FALSE,"Idaho";#N/A,#N/A,FALSE,"Lewis River";#N/A,#N/A,FALSE,"NrthUmpq";#N/A,#N/A,FALSE,"KlamRog"}</definedName>
    <definedName name="____________________OM1_4" localSheetId="21" hidden="1">{#N/A,#N/A,FALSE,"Summary";#N/A,#N/A,FALSE,"SmPlants";#N/A,#N/A,FALSE,"Utah";#N/A,#N/A,FALSE,"Idaho";#N/A,#N/A,FALSE,"Lewis River";#N/A,#N/A,FALSE,"NrthUmpq";#N/A,#N/A,FALSE,"KlamRog"}</definedName>
    <definedName name="_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_OM1_4" localSheetId="27" hidden="1">{#N/A,#N/A,FALSE,"Summary";#N/A,#N/A,FALSE,"SmPlants";#N/A,#N/A,FALSE,"Utah";#N/A,#N/A,FALSE,"Idaho";#N/A,#N/A,FALSE,"Lewis River";#N/A,#N/A,FALSE,"NrthUmpq";#N/A,#N/A,FALSE,"KlamRog"}</definedName>
    <definedName name="____________________OM1_4" localSheetId="28" hidden="1">{#N/A,#N/A,FALSE,"Summary";#N/A,#N/A,FALSE,"SmPlants";#N/A,#N/A,FALSE,"Utah";#N/A,#N/A,FALSE,"Idaho";#N/A,#N/A,FALSE,"Lewis River";#N/A,#N/A,FALSE,"NrthUmpq";#N/A,#N/A,FALSE,"KlamRog"}</definedName>
    <definedName name="____________________OM1_4" localSheetId="29" hidden="1">{#N/A,#N/A,FALSE,"Summary";#N/A,#N/A,FALSE,"SmPlants";#N/A,#N/A,FALSE,"Utah";#N/A,#N/A,FALSE,"Idaho";#N/A,#N/A,FALSE,"Lewis River";#N/A,#N/A,FALSE,"NrthUmpq";#N/A,#N/A,FALSE,"KlamRog"}</definedName>
    <definedName name="____________________OM1_4" localSheetId="30" hidden="1">{#N/A,#N/A,FALSE,"Summary";#N/A,#N/A,FALSE,"SmPlants";#N/A,#N/A,FALSE,"Utah";#N/A,#N/A,FALSE,"Idaho";#N/A,#N/A,FALSE,"Lewis River";#N/A,#N/A,FALSE,"NrthUmpq";#N/A,#N/A,FALSE,"KlamRog"}</definedName>
    <definedName name="_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_OM1_4" localSheetId="37" hidden="1">{#N/A,#N/A,FALSE,"Summary";#N/A,#N/A,FALSE,"SmPlants";#N/A,#N/A,FALSE,"Utah";#N/A,#N/A,FALSE,"Idaho";#N/A,#N/A,FALSE,"Lewis River";#N/A,#N/A,FALSE,"NrthUmpq";#N/A,#N/A,FALSE,"KlamRog"}</definedName>
    <definedName name="____________________OM1_4" localSheetId="41" hidden="1">{#N/A,#N/A,FALSE,"Summary";#N/A,#N/A,FALSE,"SmPlants";#N/A,#N/A,FALSE,"Utah";#N/A,#N/A,FALSE,"Idaho";#N/A,#N/A,FALSE,"Lewis River";#N/A,#N/A,FALSE,"NrthUmpq";#N/A,#N/A,FALSE,"KlamRog"}</definedName>
    <definedName name="______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_OM1_4" hidden="1">{#N/A,#N/A,FALSE,"Summary";#N/A,#N/A,FALSE,"SmPlants";#N/A,#N/A,FALSE,"Utah";#N/A,#N/A,FALSE,"Idaho";#N/A,#N/A,FALSE,"Lewis River";#N/A,#N/A,FALSE,"NrthUmpq";#N/A,#N/A,FALSE,"KlamRog"}</definedName>
    <definedName name="_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_OM1_5" localSheetId="18" hidden="1">{#N/A,#N/A,FALSE,"Summary";#N/A,#N/A,FALSE,"SmPlants";#N/A,#N/A,FALSE,"Utah";#N/A,#N/A,FALSE,"Idaho";#N/A,#N/A,FALSE,"Lewis River";#N/A,#N/A,FALSE,"NrthUmpq";#N/A,#N/A,FALSE,"KlamRog"}</definedName>
    <definedName name="_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_OM1_5" localSheetId="20" hidden="1">{#N/A,#N/A,FALSE,"Summary";#N/A,#N/A,FALSE,"SmPlants";#N/A,#N/A,FALSE,"Utah";#N/A,#N/A,FALSE,"Idaho";#N/A,#N/A,FALSE,"Lewis River";#N/A,#N/A,FALSE,"NrthUmpq";#N/A,#N/A,FALSE,"KlamRog"}</definedName>
    <definedName name="____________________OM1_5" localSheetId="21" hidden="1">{#N/A,#N/A,FALSE,"Summary";#N/A,#N/A,FALSE,"SmPlants";#N/A,#N/A,FALSE,"Utah";#N/A,#N/A,FALSE,"Idaho";#N/A,#N/A,FALSE,"Lewis River";#N/A,#N/A,FALSE,"NrthUmpq";#N/A,#N/A,FALSE,"KlamRog"}</definedName>
    <definedName name="_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_OM1_5" localSheetId="27" hidden="1">{#N/A,#N/A,FALSE,"Summary";#N/A,#N/A,FALSE,"SmPlants";#N/A,#N/A,FALSE,"Utah";#N/A,#N/A,FALSE,"Idaho";#N/A,#N/A,FALSE,"Lewis River";#N/A,#N/A,FALSE,"NrthUmpq";#N/A,#N/A,FALSE,"KlamRog"}</definedName>
    <definedName name="____________________OM1_5" localSheetId="28" hidden="1">{#N/A,#N/A,FALSE,"Summary";#N/A,#N/A,FALSE,"SmPlants";#N/A,#N/A,FALSE,"Utah";#N/A,#N/A,FALSE,"Idaho";#N/A,#N/A,FALSE,"Lewis River";#N/A,#N/A,FALSE,"NrthUmpq";#N/A,#N/A,FALSE,"KlamRog"}</definedName>
    <definedName name="____________________OM1_5" localSheetId="29" hidden="1">{#N/A,#N/A,FALSE,"Summary";#N/A,#N/A,FALSE,"SmPlants";#N/A,#N/A,FALSE,"Utah";#N/A,#N/A,FALSE,"Idaho";#N/A,#N/A,FALSE,"Lewis River";#N/A,#N/A,FALSE,"NrthUmpq";#N/A,#N/A,FALSE,"KlamRog"}</definedName>
    <definedName name="____________________OM1_5" localSheetId="30" hidden="1">{#N/A,#N/A,FALSE,"Summary";#N/A,#N/A,FALSE,"SmPlants";#N/A,#N/A,FALSE,"Utah";#N/A,#N/A,FALSE,"Idaho";#N/A,#N/A,FALSE,"Lewis River";#N/A,#N/A,FALSE,"NrthUmpq";#N/A,#N/A,FALSE,"KlamRog"}</definedName>
    <definedName name="_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_OM1_5" localSheetId="37" hidden="1">{#N/A,#N/A,FALSE,"Summary";#N/A,#N/A,FALSE,"SmPlants";#N/A,#N/A,FALSE,"Utah";#N/A,#N/A,FALSE,"Idaho";#N/A,#N/A,FALSE,"Lewis River";#N/A,#N/A,FALSE,"NrthUmpq";#N/A,#N/A,FALSE,"KlamRog"}</definedName>
    <definedName name="____________________OM1_5" localSheetId="41" hidden="1">{#N/A,#N/A,FALSE,"Summary";#N/A,#N/A,FALSE,"SmPlants";#N/A,#N/A,FALSE,"Utah";#N/A,#N/A,FALSE,"Idaho";#N/A,#N/A,FALSE,"Lewis River";#N/A,#N/A,FALSE,"NrthUmpq";#N/A,#N/A,FALSE,"KlamRog"}</definedName>
    <definedName name="______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_OM1_5" hidden="1">{#N/A,#N/A,FALSE,"Summary";#N/A,#N/A,FALSE,"SmPlants";#N/A,#N/A,FALSE,"Utah";#N/A,#N/A,FALSE,"Idaho";#N/A,#N/A,FALSE,"Lewis River";#N/A,#N/A,FALSE,"NrthUmpq";#N/A,#N/A,FALSE,"KlamRog"}</definedName>
    <definedName name="__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OM1" localSheetId="20" hidden="1">{#N/A,#N/A,FALSE,"Summary";#N/A,#N/A,FALSE,"SmPlants";#N/A,#N/A,FALSE,"Utah";#N/A,#N/A,FALSE,"Idaho";#N/A,#N/A,FALSE,"Lewis River";#N/A,#N/A,FALSE,"NrthUmpq";#N/A,#N/A,FALSE,"KlamRog"}</definedName>
    <definedName name="___________________OM1" localSheetId="21" hidden="1">{#N/A,#N/A,FALSE,"Summary";#N/A,#N/A,FALSE,"SmPlants";#N/A,#N/A,FALSE,"Utah";#N/A,#N/A,FALSE,"Idaho";#N/A,#N/A,FALSE,"Lewis River";#N/A,#N/A,FALSE,"NrthUmpq";#N/A,#N/A,FALSE,"KlamRog"}</definedName>
    <definedName name="__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__OM1" localSheetId="27" hidden="1">{#N/A,#N/A,FALSE,"Summary";#N/A,#N/A,FALSE,"SmPlants";#N/A,#N/A,FALSE,"Utah";#N/A,#N/A,FALSE,"Idaho";#N/A,#N/A,FALSE,"Lewis River";#N/A,#N/A,FALSE,"NrthUmpq";#N/A,#N/A,FALSE,"KlamRog"}</definedName>
    <definedName name="___________________OM1" localSheetId="28" hidden="1">{#N/A,#N/A,FALSE,"Summary";#N/A,#N/A,FALSE,"SmPlants";#N/A,#N/A,FALSE,"Utah";#N/A,#N/A,FALSE,"Idaho";#N/A,#N/A,FALSE,"Lewis River";#N/A,#N/A,FALSE,"NrthUmpq";#N/A,#N/A,FALSE,"KlamRog"}</definedName>
    <definedName name="___________________OM1" localSheetId="29" hidden="1">{#N/A,#N/A,FALSE,"Summary";#N/A,#N/A,FALSE,"SmPlants";#N/A,#N/A,FALSE,"Utah";#N/A,#N/A,FALSE,"Idaho";#N/A,#N/A,FALSE,"Lewis River";#N/A,#N/A,FALSE,"NrthUmpq";#N/A,#N/A,FALSE,"KlamRog"}</definedName>
    <definedName name="___________________OM1" localSheetId="30" hidden="1">{#N/A,#N/A,FALSE,"Summary";#N/A,#N/A,FALSE,"SmPlants";#N/A,#N/A,FALSE,"Utah";#N/A,#N/A,FALSE,"Idaho";#N/A,#N/A,FALSE,"Lewis River";#N/A,#N/A,FALSE,"NrthUmpq";#N/A,#N/A,FALSE,"KlamRog"}</definedName>
    <definedName name="__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__OM1" localSheetId="37" hidden="1">{#N/A,#N/A,FALSE,"Summary";#N/A,#N/A,FALSE,"SmPlants";#N/A,#N/A,FALSE,"Utah";#N/A,#N/A,FALSE,"Idaho";#N/A,#N/A,FALSE,"Lewis River";#N/A,#N/A,FALSE,"NrthUmpq";#N/A,#N/A,FALSE,"KlamRog"}</definedName>
    <definedName name="___________________OM1" localSheetId="41" hidden="1">{#N/A,#N/A,FALSE,"Summary";#N/A,#N/A,FALSE,"SmPlants";#N/A,#N/A,FALSE,"Utah";#N/A,#N/A,FALSE,"Idaho";#N/A,#N/A,FALSE,"Lewis River";#N/A,#N/A,FALSE,"NrthUmpq";#N/A,#N/A,FALSE,"KlamRog"}</definedName>
    <definedName name="_____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__OM1_1" localSheetId="18" hidden="1">{#N/A,#N/A,FALSE,"Summary";#N/A,#N/A,FALSE,"SmPlants";#N/A,#N/A,FALSE,"Utah";#N/A,#N/A,FALSE,"Idaho";#N/A,#N/A,FALSE,"Lewis River";#N/A,#N/A,FALSE,"NrthUmpq";#N/A,#N/A,FALSE,"KlamRog"}</definedName>
    <definedName name="__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__OM1_1" localSheetId="20" hidden="1">{#N/A,#N/A,FALSE,"Summary";#N/A,#N/A,FALSE,"SmPlants";#N/A,#N/A,FALSE,"Utah";#N/A,#N/A,FALSE,"Idaho";#N/A,#N/A,FALSE,"Lewis River";#N/A,#N/A,FALSE,"NrthUmpq";#N/A,#N/A,FALSE,"KlamRog"}</definedName>
    <definedName name="___________________OM1_1" localSheetId="21" hidden="1">{#N/A,#N/A,FALSE,"Summary";#N/A,#N/A,FALSE,"SmPlants";#N/A,#N/A,FALSE,"Utah";#N/A,#N/A,FALSE,"Idaho";#N/A,#N/A,FALSE,"Lewis River";#N/A,#N/A,FALSE,"NrthUmpq";#N/A,#N/A,FALSE,"KlamRog"}</definedName>
    <definedName name="__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__OM1_1" localSheetId="27" hidden="1">{#N/A,#N/A,FALSE,"Summary";#N/A,#N/A,FALSE,"SmPlants";#N/A,#N/A,FALSE,"Utah";#N/A,#N/A,FALSE,"Idaho";#N/A,#N/A,FALSE,"Lewis River";#N/A,#N/A,FALSE,"NrthUmpq";#N/A,#N/A,FALSE,"KlamRog"}</definedName>
    <definedName name="___________________OM1_1" localSheetId="28" hidden="1">{#N/A,#N/A,FALSE,"Summary";#N/A,#N/A,FALSE,"SmPlants";#N/A,#N/A,FALSE,"Utah";#N/A,#N/A,FALSE,"Idaho";#N/A,#N/A,FALSE,"Lewis River";#N/A,#N/A,FALSE,"NrthUmpq";#N/A,#N/A,FALSE,"KlamRog"}</definedName>
    <definedName name="___________________OM1_1" localSheetId="29" hidden="1">{#N/A,#N/A,FALSE,"Summary";#N/A,#N/A,FALSE,"SmPlants";#N/A,#N/A,FALSE,"Utah";#N/A,#N/A,FALSE,"Idaho";#N/A,#N/A,FALSE,"Lewis River";#N/A,#N/A,FALSE,"NrthUmpq";#N/A,#N/A,FALSE,"KlamRog"}</definedName>
    <definedName name="___________________OM1_1" localSheetId="30" hidden="1">{#N/A,#N/A,FALSE,"Summary";#N/A,#N/A,FALSE,"SmPlants";#N/A,#N/A,FALSE,"Utah";#N/A,#N/A,FALSE,"Idaho";#N/A,#N/A,FALSE,"Lewis River";#N/A,#N/A,FALSE,"NrthUmpq";#N/A,#N/A,FALSE,"KlamRog"}</definedName>
    <definedName name="__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__OM1_1" localSheetId="37" hidden="1">{#N/A,#N/A,FALSE,"Summary";#N/A,#N/A,FALSE,"SmPlants";#N/A,#N/A,FALSE,"Utah";#N/A,#N/A,FALSE,"Idaho";#N/A,#N/A,FALSE,"Lewis River";#N/A,#N/A,FALSE,"NrthUmpq";#N/A,#N/A,FALSE,"KlamRog"}</definedName>
    <definedName name="___________________OM1_1" localSheetId="41" hidden="1">{#N/A,#N/A,FALSE,"Summary";#N/A,#N/A,FALSE,"SmPlants";#N/A,#N/A,FALSE,"Utah";#N/A,#N/A,FALSE,"Idaho";#N/A,#N/A,FALSE,"Lewis River";#N/A,#N/A,FALSE,"NrthUmpq";#N/A,#N/A,FALSE,"KlamRog"}</definedName>
    <definedName name="_____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__OM1_1" hidden="1">{#N/A,#N/A,FALSE,"Summary";#N/A,#N/A,FALSE,"SmPlants";#N/A,#N/A,FALSE,"Utah";#N/A,#N/A,FALSE,"Idaho";#N/A,#N/A,FALSE,"Lewis River";#N/A,#N/A,FALSE,"NrthUmpq";#N/A,#N/A,FALSE,"KlamRog"}</definedName>
    <definedName name="__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__OM1_2" localSheetId="18" hidden="1">{#N/A,#N/A,FALSE,"Summary";#N/A,#N/A,FALSE,"SmPlants";#N/A,#N/A,FALSE,"Utah";#N/A,#N/A,FALSE,"Idaho";#N/A,#N/A,FALSE,"Lewis River";#N/A,#N/A,FALSE,"NrthUmpq";#N/A,#N/A,FALSE,"KlamRog"}</definedName>
    <definedName name="__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__OM1_2" localSheetId="20" hidden="1">{#N/A,#N/A,FALSE,"Summary";#N/A,#N/A,FALSE,"SmPlants";#N/A,#N/A,FALSE,"Utah";#N/A,#N/A,FALSE,"Idaho";#N/A,#N/A,FALSE,"Lewis River";#N/A,#N/A,FALSE,"NrthUmpq";#N/A,#N/A,FALSE,"KlamRog"}</definedName>
    <definedName name="___________________OM1_2" localSheetId="21" hidden="1">{#N/A,#N/A,FALSE,"Summary";#N/A,#N/A,FALSE,"SmPlants";#N/A,#N/A,FALSE,"Utah";#N/A,#N/A,FALSE,"Idaho";#N/A,#N/A,FALSE,"Lewis River";#N/A,#N/A,FALSE,"NrthUmpq";#N/A,#N/A,FALSE,"KlamRog"}</definedName>
    <definedName name="__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__OM1_2" localSheetId="27" hidden="1">{#N/A,#N/A,FALSE,"Summary";#N/A,#N/A,FALSE,"SmPlants";#N/A,#N/A,FALSE,"Utah";#N/A,#N/A,FALSE,"Idaho";#N/A,#N/A,FALSE,"Lewis River";#N/A,#N/A,FALSE,"NrthUmpq";#N/A,#N/A,FALSE,"KlamRog"}</definedName>
    <definedName name="___________________OM1_2" localSheetId="28" hidden="1">{#N/A,#N/A,FALSE,"Summary";#N/A,#N/A,FALSE,"SmPlants";#N/A,#N/A,FALSE,"Utah";#N/A,#N/A,FALSE,"Idaho";#N/A,#N/A,FALSE,"Lewis River";#N/A,#N/A,FALSE,"NrthUmpq";#N/A,#N/A,FALSE,"KlamRog"}</definedName>
    <definedName name="___________________OM1_2" localSheetId="29" hidden="1">{#N/A,#N/A,FALSE,"Summary";#N/A,#N/A,FALSE,"SmPlants";#N/A,#N/A,FALSE,"Utah";#N/A,#N/A,FALSE,"Idaho";#N/A,#N/A,FALSE,"Lewis River";#N/A,#N/A,FALSE,"NrthUmpq";#N/A,#N/A,FALSE,"KlamRog"}</definedName>
    <definedName name="___________________OM1_2" localSheetId="30" hidden="1">{#N/A,#N/A,FALSE,"Summary";#N/A,#N/A,FALSE,"SmPlants";#N/A,#N/A,FALSE,"Utah";#N/A,#N/A,FALSE,"Idaho";#N/A,#N/A,FALSE,"Lewis River";#N/A,#N/A,FALSE,"NrthUmpq";#N/A,#N/A,FALSE,"KlamRog"}</definedName>
    <definedName name="__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__OM1_2" localSheetId="37" hidden="1">{#N/A,#N/A,FALSE,"Summary";#N/A,#N/A,FALSE,"SmPlants";#N/A,#N/A,FALSE,"Utah";#N/A,#N/A,FALSE,"Idaho";#N/A,#N/A,FALSE,"Lewis River";#N/A,#N/A,FALSE,"NrthUmpq";#N/A,#N/A,FALSE,"KlamRog"}</definedName>
    <definedName name="___________________OM1_2" localSheetId="41" hidden="1">{#N/A,#N/A,FALSE,"Summary";#N/A,#N/A,FALSE,"SmPlants";#N/A,#N/A,FALSE,"Utah";#N/A,#N/A,FALSE,"Idaho";#N/A,#N/A,FALSE,"Lewis River";#N/A,#N/A,FALSE,"NrthUmpq";#N/A,#N/A,FALSE,"KlamRog"}</definedName>
    <definedName name="_____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__OM1_2" hidden="1">{#N/A,#N/A,FALSE,"Summary";#N/A,#N/A,FALSE,"SmPlants";#N/A,#N/A,FALSE,"Utah";#N/A,#N/A,FALSE,"Idaho";#N/A,#N/A,FALSE,"Lewis River";#N/A,#N/A,FALSE,"NrthUmpq";#N/A,#N/A,FALSE,"KlamRog"}</definedName>
    <definedName name="__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__OM1_3" localSheetId="18" hidden="1">{#N/A,#N/A,FALSE,"Summary";#N/A,#N/A,FALSE,"SmPlants";#N/A,#N/A,FALSE,"Utah";#N/A,#N/A,FALSE,"Idaho";#N/A,#N/A,FALSE,"Lewis River";#N/A,#N/A,FALSE,"NrthUmpq";#N/A,#N/A,FALSE,"KlamRog"}</definedName>
    <definedName name="__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__OM1_3" localSheetId="20" hidden="1">{#N/A,#N/A,FALSE,"Summary";#N/A,#N/A,FALSE,"SmPlants";#N/A,#N/A,FALSE,"Utah";#N/A,#N/A,FALSE,"Idaho";#N/A,#N/A,FALSE,"Lewis River";#N/A,#N/A,FALSE,"NrthUmpq";#N/A,#N/A,FALSE,"KlamRog"}</definedName>
    <definedName name="___________________OM1_3" localSheetId="21" hidden="1">{#N/A,#N/A,FALSE,"Summary";#N/A,#N/A,FALSE,"SmPlants";#N/A,#N/A,FALSE,"Utah";#N/A,#N/A,FALSE,"Idaho";#N/A,#N/A,FALSE,"Lewis River";#N/A,#N/A,FALSE,"NrthUmpq";#N/A,#N/A,FALSE,"KlamRog"}</definedName>
    <definedName name="__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__OM1_3" localSheetId="27" hidden="1">{#N/A,#N/A,FALSE,"Summary";#N/A,#N/A,FALSE,"SmPlants";#N/A,#N/A,FALSE,"Utah";#N/A,#N/A,FALSE,"Idaho";#N/A,#N/A,FALSE,"Lewis River";#N/A,#N/A,FALSE,"NrthUmpq";#N/A,#N/A,FALSE,"KlamRog"}</definedName>
    <definedName name="___________________OM1_3" localSheetId="28" hidden="1">{#N/A,#N/A,FALSE,"Summary";#N/A,#N/A,FALSE,"SmPlants";#N/A,#N/A,FALSE,"Utah";#N/A,#N/A,FALSE,"Idaho";#N/A,#N/A,FALSE,"Lewis River";#N/A,#N/A,FALSE,"NrthUmpq";#N/A,#N/A,FALSE,"KlamRog"}</definedName>
    <definedName name="___________________OM1_3" localSheetId="29" hidden="1">{#N/A,#N/A,FALSE,"Summary";#N/A,#N/A,FALSE,"SmPlants";#N/A,#N/A,FALSE,"Utah";#N/A,#N/A,FALSE,"Idaho";#N/A,#N/A,FALSE,"Lewis River";#N/A,#N/A,FALSE,"NrthUmpq";#N/A,#N/A,FALSE,"KlamRog"}</definedName>
    <definedName name="___________________OM1_3" localSheetId="30" hidden="1">{#N/A,#N/A,FALSE,"Summary";#N/A,#N/A,FALSE,"SmPlants";#N/A,#N/A,FALSE,"Utah";#N/A,#N/A,FALSE,"Idaho";#N/A,#N/A,FALSE,"Lewis River";#N/A,#N/A,FALSE,"NrthUmpq";#N/A,#N/A,FALSE,"KlamRog"}</definedName>
    <definedName name="__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__OM1_3" localSheetId="37" hidden="1">{#N/A,#N/A,FALSE,"Summary";#N/A,#N/A,FALSE,"SmPlants";#N/A,#N/A,FALSE,"Utah";#N/A,#N/A,FALSE,"Idaho";#N/A,#N/A,FALSE,"Lewis River";#N/A,#N/A,FALSE,"NrthUmpq";#N/A,#N/A,FALSE,"KlamRog"}</definedName>
    <definedName name="___________________OM1_3" localSheetId="41" hidden="1">{#N/A,#N/A,FALSE,"Summary";#N/A,#N/A,FALSE,"SmPlants";#N/A,#N/A,FALSE,"Utah";#N/A,#N/A,FALSE,"Idaho";#N/A,#N/A,FALSE,"Lewis River";#N/A,#N/A,FALSE,"NrthUmpq";#N/A,#N/A,FALSE,"KlamRog"}</definedName>
    <definedName name="_____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__OM1_3" hidden="1">{#N/A,#N/A,FALSE,"Summary";#N/A,#N/A,FALSE,"SmPlants";#N/A,#N/A,FALSE,"Utah";#N/A,#N/A,FALSE,"Idaho";#N/A,#N/A,FALSE,"Lewis River";#N/A,#N/A,FALSE,"NrthUmpq";#N/A,#N/A,FALSE,"KlamRog"}</definedName>
    <definedName name="__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__OM1_4" localSheetId="18" hidden="1">{#N/A,#N/A,FALSE,"Summary";#N/A,#N/A,FALSE,"SmPlants";#N/A,#N/A,FALSE,"Utah";#N/A,#N/A,FALSE,"Idaho";#N/A,#N/A,FALSE,"Lewis River";#N/A,#N/A,FALSE,"NrthUmpq";#N/A,#N/A,FALSE,"KlamRog"}</definedName>
    <definedName name="__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__OM1_4" localSheetId="20" hidden="1">{#N/A,#N/A,FALSE,"Summary";#N/A,#N/A,FALSE,"SmPlants";#N/A,#N/A,FALSE,"Utah";#N/A,#N/A,FALSE,"Idaho";#N/A,#N/A,FALSE,"Lewis River";#N/A,#N/A,FALSE,"NrthUmpq";#N/A,#N/A,FALSE,"KlamRog"}</definedName>
    <definedName name="___________________OM1_4" localSheetId="21" hidden="1">{#N/A,#N/A,FALSE,"Summary";#N/A,#N/A,FALSE,"SmPlants";#N/A,#N/A,FALSE,"Utah";#N/A,#N/A,FALSE,"Idaho";#N/A,#N/A,FALSE,"Lewis River";#N/A,#N/A,FALSE,"NrthUmpq";#N/A,#N/A,FALSE,"KlamRog"}</definedName>
    <definedName name="__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__OM1_4" localSheetId="27" hidden="1">{#N/A,#N/A,FALSE,"Summary";#N/A,#N/A,FALSE,"SmPlants";#N/A,#N/A,FALSE,"Utah";#N/A,#N/A,FALSE,"Idaho";#N/A,#N/A,FALSE,"Lewis River";#N/A,#N/A,FALSE,"NrthUmpq";#N/A,#N/A,FALSE,"KlamRog"}</definedName>
    <definedName name="___________________OM1_4" localSheetId="28" hidden="1">{#N/A,#N/A,FALSE,"Summary";#N/A,#N/A,FALSE,"SmPlants";#N/A,#N/A,FALSE,"Utah";#N/A,#N/A,FALSE,"Idaho";#N/A,#N/A,FALSE,"Lewis River";#N/A,#N/A,FALSE,"NrthUmpq";#N/A,#N/A,FALSE,"KlamRog"}</definedName>
    <definedName name="___________________OM1_4" localSheetId="29" hidden="1">{#N/A,#N/A,FALSE,"Summary";#N/A,#N/A,FALSE,"SmPlants";#N/A,#N/A,FALSE,"Utah";#N/A,#N/A,FALSE,"Idaho";#N/A,#N/A,FALSE,"Lewis River";#N/A,#N/A,FALSE,"NrthUmpq";#N/A,#N/A,FALSE,"KlamRog"}</definedName>
    <definedName name="___________________OM1_4" localSheetId="30" hidden="1">{#N/A,#N/A,FALSE,"Summary";#N/A,#N/A,FALSE,"SmPlants";#N/A,#N/A,FALSE,"Utah";#N/A,#N/A,FALSE,"Idaho";#N/A,#N/A,FALSE,"Lewis River";#N/A,#N/A,FALSE,"NrthUmpq";#N/A,#N/A,FALSE,"KlamRog"}</definedName>
    <definedName name="__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__OM1_4" localSheetId="37" hidden="1">{#N/A,#N/A,FALSE,"Summary";#N/A,#N/A,FALSE,"SmPlants";#N/A,#N/A,FALSE,"Utah";#N/A,#N/A,FALSE,"Idaho";#N/A,#N/A,FALSE,"Lewis River";#N/A,#N/A,FALSE,"NrthUmpq";#N/A,#N/A,FALSE,"KlamRog"}</definedName>
    <definedName name="___________________OM1_4" localSheetId="41" hidden="1">{#N/A,#N/A,FALSE,"Summary";#N/A,#N/A,FALSE,"SmPlants";#N/A,#N/A,FALSE,"Utah";#N/A,#N/A,FALSE,"Idaho";#N/A,#N/A,FALSE,"Lewis River";#N/A,#N/A,FALSE,"NrthUmpq";#N/A,#N/A,FALSE,"KlamRog"}</definedName>
    <definedName name="_____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__OM1_4" hidden="1">{#N/A,#N/A,FALSE,"Summary";#N/A,#N/A,FALSE,"SmPlants";#N/A,#N/A,FALSE,"Utah";#N/A,#N/A,FALSE,"Idaho";#N/A,#N/A,FALSE,"Lewis River";#N/A,#N/A,FALSE,"NrthUmpq";#N/A,#N/A,FALSE,"KlamRog"}</definedName>
    <definedName name="__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__OM1_5" localSheetId="18" hidden="1">{#N/A,#N/A,FALSE,"Summary";#N/A,#N/A,FALSE,"SmPlants";#N/A,#N/A,FALSE,"Utah";#N/A,#N/A,FALSE,"Idaho";#N/A,#N/A,FALSE,"Lewis River";#N/A,#N/A,FALSE,"NrthUmpq";#N/A,#N/A,FALSE,"KlamRog"}</definedName>
    <definedName name="__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__OM1_5" localSheetId="20" hidden="1">{#N/A,#N/A,FALSE,"Summary";#N/A,#N/A,FALSE,"SmPlants";#N/A,#N/A,FALSE,"Utah";#N/A,#N/A,FALSE,"Idaho";#N/A,#N/A,FALSE,"Lewis River";#N/A,#N/A,FALSE,"NrthUmpq";#N/A,#N/A,FALSE,"KlamRog"}</definedName>
    <definedName name="___________________OM1_5" localSheetId="21" hidden="1">{#N/A,#N/A,FALSE,"Summary";#N/A,#N/A,FALSE,"SmPlants";#N/A,#N/A,FALSE,"Utah";#N/A,#N/A,FALSE,"Idaho";#N/A,#N/A,FALSE,"Lewis River";#N/A,#N/A,FALSE,"NrthUmpq";#N/A,#N/A,FALSE,"KlamRog"}</definedName>
    <definedName name="__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__OM1_5" localSheetId="27" hidden="1">{#N/A,#N/A,FALSE,"Summary";#N/A,#N/A,FALSE,"SmPlants";#N/A,#N/A,FALSE,"Utah";#N/A,#N/A,FALSE,"Idaho";#N/A,#N/A,FALSE,"Lewis River";#N/A,#N/A,FALSE,"NrthUmpq";#N/A,#N/A,FALSE,"KlamRog"}</definedName>
    <definedName name="___________________OM1_5" localSheetId="28" hidden="1">{#N/A,#N/A,FALSE,"Summary";#N/A,#N/A,FALSE,"SmPlants";#N/A,#N/A,FALSE,"Utah";#N/A,#N/A,FALSE,"Idaho";#N/A,#N/A,FALSE,"Lewis River";#N/A,#N/A,FALSE,"NrthUmpq";#N/A,#N/A,FALSE,"KlamRog"}</definedName>
    <definedName name="___________________OM1_5" localSheetId="29" hidden="1">{#N/A,#N/A,FALSE,"Summary";#N/A,#N/A,FALSE,"SmPlants";#N/A,#N/A,FALSE,"Utah";#N/A,#N/A,FALSE,"Idaho";#N/A,#N/A,FALSE,"Lewis River";#N/A,#N/A,FALSE,"NrthUmpq";#N/A,#N/A,FALSE,"KlamRog"}</definedName>
    <definedName name="___________________OM1_5" localSheetId="30" hidden="1">{#N/A,#N/A,FALSE,"Summary";#N/A,#N/A,FALSE,"SmPlants";#N/A,#N/A,FALSE,"Utah";#N/A,#N/A,FALSE,"Idaho";#N/A,#N/A,FALSE,"Lewis River";#N/A,#N/A,FALSE,"NrthUmpq";#N/A,#N/A,FALSE,"KlamRog"}</definedName>
    <definedName name="__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__OM1_5" localSheetId="37" hidden="1">{#N/A,#N/A,FALSE,"Summary";#N/A,#N/A,FALSE,"SmPlants";#N/A,#N/A,FALSE,"Utah";#N/A,#N/A,FALSE,"Idaho";#N/A,#N/A,FALSE,"Lewis River";#N/A,#N/A,FALSE,"NrthUmpq";#N/A,#N/A,FALSE,"KlamRog"}</definedName>
    <definedName name="___________________OM1_5" localSheetId="41" hidden="1">{#N/A,#N/A,FALSE,"Summary";#N/A,#N/A,FALSE,"SmPlants";#N/A,#N/A,FALSE,"Utah";#N/A,#N/A,FALSE,"Idaho";#N/A,#N/A,FALSE,"Lewis River";#N/A,#N/A,FALSE,"NrthUmpq";#N/A,#N/A,FALSE,"KlamRog"}</definedName>
    <definedName name="_____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__OM1_5" hidden="1">{#N/A,#N/A,FALSE,"Summary";#N/A,#N/A,FALSE,"SmPlants";#N/A,#N/A,FALSE,"Utah";#N/A,#N/A,FALSE,"Idaho";#N/A,#N/A,FALSE,"Lewis River";#N/A,#N/A,FALSE,"NrthUmpq";#N/A,#N/A,FALSE,"KlamRog"}</definedName>
    <definedName name="___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OM1" localSheetId="20" hidden="1">{#N/A,#N/A,FALSE,"Summary";#N/A,#N/A,FALSE,"SmPlants";#N/A,#N/A,FALSE,"Utah";#N/A,#N/A,FALSE,"Idaho";#N/A,#N/A,FALSE,"Lewis River";#N/A,#N/A,FALSE,"NrthUmpq";#N/A,#N/A,FALSE,"KlamRog"}</definedName>
    <definedName name="_________________OM1" localSheetId="21" hidden="1">{#N/A,#N/A,FALSE,"Summary";#N/A,#N/A,FALSE,"SmPlants";#N/A,#N/A,FALSE,"Utah";#N/A,#N/A,FALSE,"Idaho";#N/A,#N/A,FALSE,"Lewis River";#N/A,#N/A,FALSE,"NrthUmpq";#N/A,#N/A,FALSE,"KlamRog"}</definedName>
    <definedName name="___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___OM1" localSheetId="27" hidden="1">{#N/A,#N/A,FALSE,"Summary";#N/A,#N/A,FALSE,"SmPlants";#N/A,#N/A,FALSE,"Utah";#N/A,#N/A,FALSE,"Idaho";#N/A,#N/A,FALSE,"Lewis River";#N/A,#N/A,FALSE,"NrthUmpq";#N/A,#N/A,FALSE,"KlamRog"}</definedName>
    <definedName name="_________________OM1" localSheetId="28" hidden="1">{#N/A,#N/A,FALSE,"Summary";#N/A,#N/A,FALSE,"SmPlants";#N/A,#N/A,FALSE,"Utah";#N/A,#N/A,FALSE,"Idaho";#N/A,#N/A,FALSE,"Lewis River";#N/A,#N/A,FALSE,"NrthUmpq";#N/A,#N/A,FALSE,"KlamRog"}</definedName>
    <definedName name="_________________OM1" localSheetId="29" hidden="1">{#N/A,#N/A,FALSE,"Summary";#N/A,#N/A,FALSE,"SmPlants";#N/A,#N/A,FALSE,"Utah";#N/A,#N/A,FALSE,"Idaho";#N/A,#N/A,FALSE,"Lewis River";#N/A,#N/A,FALSE,"NrthUmpq";#N/A,#N/A,FALSE,"KlamRog"}</definedName>
    <definedName name="_________________OM1" localSheetId="30" hidden="1">{#N/A,#N/A,FALSE,"Summary";#N/A,#N/A,FALSE,"SmPlants";#N/A,#N/A,FALSE,"Utah";#N/A,#N/A,FALSE,"Idaho";#N/A,#N/A,FALSE,"Lewis River";#N/A,#N/A,FALSE,"NrthUmpq";#N/A,#N/A,FALSE,"KlamRog"}</definedName>
    <definedName name="___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___OM1" localSheetId="37" hidden="1">{#N/A,#N/A,FALSE,"Summary";#N/A,#N/A,FALSE,"SmPlants";#N/A,#N/A,FALSE,"Utah";#N/A,#N/A,FALSE,"Idaho";#N/A,#N/A,FALSE,"Lewis River";#N/A,#N/A,FALSE,"NrthUmpq";#N/A,#N/A,FALSE,"KlamRog"}</definedName>
    <definedName name="_________________OM1" localSheetId="41" hidden="1">{#N/A,#N/A,FALSE,"Summary";#N/A,#N/A,FALSE,"SmPlants";#N/A,#N/A,FALSE,"Utah";#N/A,#N/A,FALSE,"Idaho";#N/A,#N/A,FALSE,"Lewis River";#N/A,#N/A,FALSE,"NrthUmpq";#N/A,#N/A,FALSE,"KlamRog"}</definedName>
    <definedName name="___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___OM1_1" localSheetId="18" hidden="1">{#N/A,#N/A,FALSE,"Summary";#N/A,#N/A,FALSE,"SmPlants";#N/A,#N/A,FALSE,"Utah";#N/A,#N/A,FALSE,"Idaho";#N/A,#N/A,FALSE,"Lewis River";#N/A,#N/A,FALSE,"NrthUmpq";#N/A,#N/A,FALSE,"KlamRog"}</definedName>
    <definedName name="___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___OM1_1" localSheetId="20" hidden="1">{#N/A,#N/A,FALSE,"Summary";#N/A,#N/A,FALSE,"SmPlants";#N/A,#N/A,FALSE,"Utah";#N/A,#N/A,FALSE,"Idaho";#N/A,#N/A,FALSE,"Lewis River";#N/A,#N/A,FALSE,"NrthUmpq";#N/A,#N/A,FALSE,"KlamRog"}</definedName>
    <definedName name="_________________OM1_1" localSheetId="21" hidden="1">{#N/A,#N/A,FALSE,"Summary";#N/A,#N/A,FALSE,"SmPlants";#N/A,#N/A,FALSE,"Utah";#N/A,#N/A,FALSE,"Idaho";#N/A,#N/A,FALSE,"Lewis River";#N/A,#N/A,FALSE,"NrthUmpq";#N/A,#N/A,FALSE,"KlamRog"}</definedName>
    <definedName name="___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___OM1_1" localSheetId="27" hidden="1">{#N/A,#N/A,FALSE,"Summary";#N/A,#N/A,FALSE,"SmPlants";#N/A,#N/A,FALSE,"Utah";#N/A,#N/A,FALSE,"Idaho";#N/A,#N/A,FALSE,"Lewis River";#N/A,#N/A,FALSE,"NrthUmpq";#N/A,#N/A,FALSE,"KlamRog"}</definedName>
    <definedName name="_________________OM1_1" localSheetId="28" hidden="1">{#N/A,#N/A,FALSE,"Summary";#N/A,#N/A,FALSE,"SmPlants";#N/A,#N/A,FALSE,"Utah";#N/A,#N/A,FALSE,"Idaho";#N/A,#N/A,FALSE,"Lewis River";#N/A,#N/A,FALSE,"NrthUmpq";#N/A,#N/A,FALSE,"KlamRog"}</definedName>
    <definedName name="_________________OM1_1" localSheetId="29" hidden="1">{#N/A,#N/A,FALSE,"Summary";#N/A,#N/A,FALSE,"SmPlants";#N/A,#N/A,FALSE,"Utah";#N/A,#N/A,FALSE,"Idaho";#N/A,#N/A,FALSE,"Lewis River";#N/A,#N/A,FALSE,"NrthUmpq";#N/A,#N/A,FALSE,"KlamRog"}</definedName>
    <definedName name="_________________OM1_1" localSheetId="30" hidden="1">{#N/A,#N/A,FALSE,"Summary";#N/A,#N/A,FALSE,"SmPlants";#N/A,#N/A,FALSE,"Utah";#N/A,#N/A,FALSE,"Idaho";#N/A,#N/A,FALSE,"Lewis River";#N/A,#N/A,FALSE,"NrthUmpq";#N/A,#N/A,FALSE,"KlamRog"}</definedName>
    <definedName name="___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___OM1_1" localSheetId="37" hidden="1">{#N/A,#N/A,FALSE,"Summary";#N/A,#N/A,FALSE,"SmPlants";#N/A,#N/A,FALSE,"Utah";#N/A,#N/A,FALSE,"Idaho";#N/A,#N/A,FALSE,"Lewis River";#N/A,#N/A,FALSE,"NrthUmpq";#N/A,#N/A,FALSE,"KlamRog"}</definedName>
    <definedName name="_________________OM1_1" localSheetId="41" hidden="1">{#N/A,#N/A,FALSE,"Summary";#N/A,#N/A,FALSE,"SmPlants";#N/A,#N/A,FALSE,"Utah";#N/A,#N/A,FALSE,"Idaho";#N/A,#N/A,FALSE,"Lewis River";#N/A,#N/A,FALSE,"NrthUmpq";#N/A,#N/A,FALSE,"KlamRog"}</definedName>
    <definedName name="___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___OM1_1" hidden="1">{#N/A,#N/A,FALSE,"Summary";#N/A,#N/A,FALSE,"SmPlants";#N/A,#N/A,FALSE,"Utah";#N/A,#N/A,FALSE,"Idaho";#N/A,#N/A,FALSE,"Lewis River";#N/A,#N/A,FALSE,"NrthUmpq";#N/A,#N/A,FALSE,"KlamRog"}</definedName>
    <definedName name="___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___OM1_2" localSheetId="18" hidden="1">{#N/A,#N/A,FALSE,"Summary";#N/A,#N/A,FALSE,"SmPlants";#N/A,#N/A,FALSE,"Utah";#N/A,#N/A,FALSE,"Idaho";#N/A,#N/A,FALSE,"Lewis River";#N/A,#N/A,FALSE,"NrthUmpq";#N/A,#N/A,FALSE,"KlamRog"}</definedName>
    <definedName name="___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___OM1_2" localSheetId="20" hidden="1">{#N/A,#N/A,FALSE,"Summary";#N/A,#N/A,FALSE,"SmPlants";#N/A,#N/A,FALSE,"Utah";#N/A,#N/A,FALSE,"Idaho";#N/A,#N/A,FALSE,"Lewis River";#N/A,#N/A,FALSE,"NrthUmpq";#N/A,#N/A,FALSE,"KlamRog"}</definedName>
    <definedName name="_________________OM1_2" localSheetId="21" hidden="1">{#N/A,#N/A,FALSE,"Summary";#N/A,#N/A,FALSE,"SmPlants";#N/A,#N/A,FALSE,"Utah";#N/A,#N/A,FALSE,"Idaho";#N/A,#N/A,FALSE,"Lewis River";#N/A,#N/A,FALSE,"NrthUmpq";#N/A,#N/A,FALSE,"KlamRog"}</definedName>
    <definedName name="___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___OM1_2" localSheetId="27" hidden="1">{#N/A,#N/A,FALSE,"Summary";#N/A,#N/A,FALSE,"SmPlants";#N/A,#N/A,FALSE,"Utah";#N/A,#N/A,FALSE,"Idaho";#N/A,#N/A,FALSE,"Lewis River";#N/A,#N/A,FALSE,"NrthUmpq";#N/A,#N/A,FALSE,"KlamRog"}</definedName>
    <definedName name="_________________OM1_2" localSheetId="28" hidden="1">{#N/A,#N/A,FALSE,"Summary";#N/A,#N/A,FALSE,"SmPlants";#N/A,#N/A,FALSE,"Utah";#N/A,#N/A,FALSE,"Idaho";#N/A,#N/A,FALSE,"Lewis River";#N/A,#N/A,FALSE,"NrthUmpq";#N/A,#N/A,FALSE,"KlamRog"}</definedName>
    <definedName name="_________________OM1_2" localSheetId="29" hidden="1">{#N/A,#N/A,FALSE,"Summary";#N/A,#N/A,FALSE,"SmPlants";#N/A,#N/A,FALSE,"Utah";#N/A,#N/A,FALSE,"Idaho";#N/A,#N/A,FALSE,"Lewis River";#N/A,#N/A,FALSE,"NrthUmpq";#N/A,#N/A,FALSE,"KlamRog"}</definedName>
    <definedName name="_________________OM1_2" localSheetId="30" hidden="1">{#N/A,#N/A,FALSE,"Summary";#N/A,#N/A,FALSE,"SmPlants";#N/A,#N/A,FALSE,"Utah";#N/A,#N/A,FALSE,"Idaho";#N/A,#N/A,FALSE,"Lewis River";#N/A,#N/A,FALSE,"NrthUmpq";#N/A,#N/A,FALSE,"KlamRog"}</definedName>
    <definedName name="___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___OM1_2" localSheetId="37" hidden="1">{#N/A,#N/A,FALSE,"Summary";#N/A,#N/A,FALSE,"SmPlants";#N/A,#N/A,FALSE,"Utah";#N/A,#N/A,FALSE,"Idaho";#N/A,#N/A,FALSE,"Lewis River";#N/A,#N/A,FALSE,"NrthUmpq";#N/A,#N/A,FALSE,"KlamRog"}</definedName>
    <definedName name="_________________OM1_2" localSheetId="41" hidden="1">{#N/A,#N/A,FALSE,"Summary";#N/A,#N/A,FALSE,"SmPlants";#N/A,#N/A,FALSE,"Utah";#N/A,#N/A,FALSE,"Idaho";#N/A,#N/A,FALSE,"Lewis River";#N/A,#N/A,FALSE,"NrthUmpq";#N/A,#N/A,FALSE,"KlamRog"}</definedName>
    <definedName name="___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___OM1_2" hidden="1">{#N/A,#N/A,FALSE,"Summary";#N/A,#N/A,FALSE,"SmPlants";#N/A,#N/A,FALSE,"Utah";#N/A,#N/A,FALSE,"Idaho";#N/A,#N/A,FALSE,"Lewis River";#N/A,#N/A,FALSE,"NrthUmpq";#N/A,#N/A,FALSE,"KlamRog"}</definedName>
    <definedName name="___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___OM1_3" localSheetId="18" hidden="1">{#N/A,#N/A,FALSE,"Summary";#N/A,#N/A,FALSE,"SmPlants";#N/A,#N/A,FALSE,"Utah";#N/A,#N/A,FALSE,"Idaho";#N/A,#N/A,FALSE,"Lewis River";#N/A,#N/A,FALSE,"NrthUmpq";#N/A,#N/A,FALSE,"KlamRog"}</definedName>
    <definedName name="___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___OM1_3" localSheetId="20" hidden="1">{#N/A,#N/A,FALSE,"Summary";#N/A,#N/A,FALSE,"SmPlants";#N/A,#N/A,FALSE,"Utah";#N/A,#N/A,FALSE,"Idaho";#N/A,#N/A,FALSE,"Lewis River";#N/A,#N/A,FALSE,"NrthUmpq";#N/A,#N/A,FALSE,"KlamRog"}</definedName>
    <definedName name="_________________OM1_3" localSheetId="21" hidden="1">{#N/A,#N/A,FALSE,"Summary";#N/A,#N/A,FALSE,"SmPlants";#N/A,#N/A,FALSE,"Utah";#N/A,#N/A,FALSE,"Idaho";#N/A,#N/A,FALSE,"Lewis River";#N/A,#N/A,FALSE,"NrthUmpq";#N/A,#N/A,FALSE,"KlamRog"}</definedName>
    <definedName name="___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___OM1_3" localSheetId="27" hidden="1">{#N/A,#N/A,FALSE,"Summary";#N/A,#N/A,FALSE,"SmPlants";#N/A,#N/A,FALSE,"Utah";#N/A,#N/A,FALSE,"Idaho";#N/A,#N/A,FALSE,"Lewis River";#N/A,#N/A,FALSE,"NrthUmpq";#N/A,#N/A,FALSE,"KlamRog"}</definedName>
    <definedName name="_________________OM1_3" localSheetId="28" hidden="1">{#N/A,#N/A,FALSE,"Summary";#N/A,#N/A,FALSE,"SmPlants";#N/A,#N/A,FALSE,"Utah";#N/A,#N/A,FALSE,"Idaho";#N/A,#N/A,FALSE,"Lewis River";#N/A,#N/A,FALSE,"NrthUmpq";#N/A,#N/A,FALSE,"KlamRog"}</definedName>
    <definedName name="_________________OM1_3" localSheetId="29" hidden="1">{#N/A,#N/A,FALSE,"Summary";#N/A,#N/A,FALSE,"SmPlants";#N/A,#N/A,FALSE,"Utah";#N/A,#N/A,FALSE,"Idaho";#N/A,#N/A,FALSE,"Lewis River";#N/A,#N/A,FALSE,"NrthUmpq";#N/A,#N/A,FALSE,"KlamRog"}</definedName>
    <definedName name="_________________OM1_3" localSheetId="30" hidden="1">{#N/A,#N/A,FALSE,"Summary";#N/A,#N/A,FALSE,"SmPlants";#N/A,#N/A,FALSE,"Utah";#N/A,#N/A,FALSE,"Idaho";#N/A,#N/A,FALSE,"Lewis River";#N/A,#N/A,FALSE,"NrthUmpq";#N/A,#N/A,FALSE,"KlamRog"}</definedName>
    <definedName name="___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___OM1_3" localSheetId="37" hidden="1">{#N/A,#N/A,FALSE,"Summary";#N/A,#N/A,FALSE,"SmPlants";#N/A,#N/A,FALSE,"Utah";#N/A,#N/A,FALSE,"Idaho";#N/A,#N/A,FALSE,"Lewis River";#N/A,#N/A,FALSE,"NrthUmpq";#N/A,#N/A,FALSE,"KlamRog"}</definedName>
    <definedName name="_________________OM1_3" localSheetId="41" hidden="1">{#N/A,#N/A,FALSE,"Summary";#N/A,#N/A,FALSE,"SmPlants";#N/A,#N/A,FALSE,"Utah";#N/A,#N/A,FALSE,"Idaho";#N/A,#N/A,FALSE,"Lewis River";#N/A,#N/A,FALSE,"NrthUmpq";#N/A,#N/A,FALSE,"KlamRog"}</definedName>
    <definedName name="___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___OM1_3" hidden="1">{#N/A,#N/A,FALSE,"Summary";#N/A,#N/A,FALSE,"SmPlants";#N/A,#N/A,FALSE,"Utah";#N/A,#N/A,FALSE,"Idaho";#N/A,#N/A,FALSE,"Lewis River";#N/A,#N/A,FALSE,"NrthUmpq";#N/A,#N/A,FALSE,"KlamRog"}</definedName>
    <definedName name="___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___OM1_4" localSheetId="18" hidden="1">{#N/A,#N/A,FALSE,"Summary";#N/A,#N/A,FALSE,"SmPlants";#N/A,#N/A,FALSE,"Utah";#N/A,#N/A,FALSE,"Idaho";#N/A,#N/A,FALSE,"Lewis River";#N/A,#N/A,FALSE,"NrthUmpq";#N/A,#N/A,FALSE,"KlamRog"}</definedName>
    <definedName name="___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___OM1_4" localSheetId="20" hidden="1">{#N/A,#N/A,FALSE,"Summary";#N/A,#N/A,FALSE,"SmPlants";#N/A,#N/A,FALSE,"Utah";#N/A,#N/A,FALSE,"Idaho";#N/A,#N/A,FALSE,"Lewis River";#N/A,#N/A,FALSE,"NrthUmpq";#N/A,#N/A,FALSE,"KlamRog"}</definedName>
    <definedName name="_________________OM1_4" localSheetId="21" hidden="1">{#N/A,#N/A,FALSE,"Summary";#N/A,#N/A,FALSE,"SmPlants";#N/A,#N/A,FALSE,"Utah";#N/A,#N/A,FALSE,"Idaho";#N/A,#N/A,FALSE,"Lewis River";#N/A,#N/A,FALSE,"NrthUmpq";#N/A,#N/A,FALSE,"KlamRog"}</definedName>
    <definedName name="___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___OM1_4" localSheetId="27" hidden="1">{#N/A,#N/A,FALSE,"Summary";#N/A,#N/A,FALSE,"SmPlants";#N/A,#N/A,FALSE,"Utah";#N/A,#N/A,FALSE,"Idaho";#N/A,#N/A,FALSE,"Lewis River";#N/A,#N/A,FALSE,"NrthUmpq";#N/A,#N/A,FALSE,"KlamRog"}</definedName>
    <definedName name="_________________OM1_4" localSheetId="28" hidden="1">{#N/A,#N/A,FALSE,"Summary";#N/A,#N/A,FALSE,"SmPlants";#N/A,#N/A,FALSE,"Utah";#N/A,#N/A,FALSE,"Idaho";#N/A,#N/A,FALSE,"Lewis River";#N/A,#N/A,FALSE,"NrthUmpq";#N/A,#N/A,FALSE,"KlamRog"}</definedName>
    <definedName name="_________________OM1_4" localSheetId="29" hidden="1">{#N/A,#N/A,FALSE,"Summary";#N/A,#N/A,FALSE,"SmPlants";#N/A,#N/A,FALSE,"Utah";#N/A,#N/A,FALSE,"Idaho";#N/A,#N/A,FALSE,"Lewis River";#N/A,#N/A,FALSE,"NrthUmpq";#N/A,#N/A,FALSE,"KlamRog"}</definedName>
    <definedName name="_________________OM1_4" localSheetId="30" hidden="1">{#N/A,#N/A,FALSE,"Summary";#N/A,#N/A,FALSE,"SmPlants";#N/A,#N/A,FALSE,"Utah";#N/A,#N/A,FALSE,"Idaho";#N/A,#N/A,FALSE,"Lewis River";#N/A,#N/A,FALSE,"NrthUmpq";#N/A,#N/A,FALSE,"KlamRog"}</definedName>
    <definedName name="___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___OM1_4" localSheetId="37" hidden="1">{#N/A,#N/A,FALSE,"Summary";#N/A,#N/A,FALSE,"SmPlants";#N/A,#N/A,FALSE,"Utah";#N/A,#N/A,FALSE,"Idaho";#N/A,#N/A,FALSE,"Lewis River";#N/A,#N/A,FALSE,"NrthUmpq";#N/A,#N/A,FALSE,"KlamRog"}</definedName>
    <definedName name="_________________OM1_4" localSheetId="41" hidden="1">{#N/A,#N/A,FALSE,"Summary";#N/A,#N/A,FALSE,"SmPlants";#N/A,#N/A,FALSE,"Utah";#N/A,#N/A,FALSE,"Idaho";#N/A,#N/A,FALSE,"Lewis River";#N/A,#N/A,FALSE,"NrthUmpq";#N/A,#N/A,FALSE,"KlamRog"}</definedName>
    <definedName name="___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___OM1_4" hidden="1">{#N/A,#N/A,FALSE,"Summary";#N/A,#N/A,FALSE,"SmPlants";#N/A,#N/A,FALSE,"Utah";#N/A,#N/A,FALSE,"Idaho";#N/A,#N/A,FALSE,"Lewis River";#N/A,#N/A,FALSE,"NrthUmpq";#N/A,#N/A,FALSE,"KlamRog"}</definedName>
    <definedName name="___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___OM1_5" localSheetId="18" hidden="1">{#N/A,#N/A,FALSE,"Summary";#N/A,#N/A,FALSE,"SmPlants";#N/A,#N/A,FALSE,"Utah";#N/A,#N/A,FALSE,"Idaho";#N/A,#N/A,FALSE,"Lewis River";#N/A,#N/A,FALSE,"NrthUmpq";#N/A,#N/A,FALSE,"KlamRog"}</definedName>
    <definedName name="___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___OM1_5" localSheetId="20" hidden="1">{#N/A,#N/A,FALSE,"Summary";#N/A,#N/A,FALSE,"SmPlants";#N/A,#N/A,FALSE,"Utah";#N/A,#N/A,FALSE,"Idaho";#N/A,#N/A,FALSE,"Lewis River";#N/A,#N/A,FALSE,"NrthUmpq";#N/A,#N/A,FALSE,"KlamRog"}</definedName>
    <definedName name="_________________OM1_5" localSheetId="21" hidden="1">{#N/A,#N/A,FALSE,"Summary";#N/A,#N/A,FALSE,"SmPlants";#N/A,#N/A,FALSE,"Utah";#N/A,#N/A,FALSE,"Idaho";#N/A,#N/A,FALSE,"Lewis River";#N/A,#N/A,FALSE,"NrthUmpq";#N/A,#N/A,FALSE,"KlamRog"}</definedName>
    <definedName name="___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___OM1_5" localSheetId="27" hidden="1">{#N/A,#N/A,FALSE,"Summary";#N/A,#N/A,FALSE,"SmPlants";#N/A,#N/A,FALSE,"Utah";#N/A,#N/A,FALSE,"Idaho";#N/A,#N/A,FALSE,"Lewis River";#N/A,#N/A,FALSE,"NrthUmpq";#N/A,#N/A,FALSE,"KlamRog"}</definedName>
    <definedName name="_________________OM1_5" localSheetId="28" hidden="1">{#N/A,#N/A,FALSE,"Summary";#N/A,#N/A,FALSE,"SmPlants";#N/A,#N/A,FALSE,"Utah";#N/A,#N/A,FALSE,"Idaho";#N/A,#N/A,FALSE,"Lewis River";#N/A,#N/A,FALSE,"NrthUmpq";#N/A,#N/A,FALSE,"KlamRog"}</definedName>
    <definedName name="_________________OM1_5" localSheetId="29" hidden="1">{#N/A,#N/A,FALSE,"Summary";#N/A,#N/A,FALSE,"SmPlants";#N/A,#N/A,FALSE,"Utah";#N/A,#N/A,FALSE,"Idaho";#N/A,#N/A,FALSE,"Lewis River";#N/A,#N/A,FALSE,"NrthUmpq";#N/A,#N/A,FALSE,"KlamRog"}</definedName>
    <definedName name="_________________OM1_5" localSheetId="30" hidden="1">{#N/A,#N/A,FALSE,"Summary";#N/A,#N/A,FALSE,"SmPlants";#N/A,#N/A,FALSE,"Utah";#N/A,#N/A,FALSE,"Idaho";#N/A,#N/A,FALSE,"Lewis River";#N/A,#N/A,FALSE,"NrthUmpq";#N/A,#N/A,FALSE,"KlamRog"}</definedName>
    <definedName name="___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___OM1_5" localSheetId="37" hidden="1">{#N/A,#N/A,FALSE,"Summary";#N/A,#N/A,FALSE,"SmPlants";#N/A,#N/A,FALSE,"Utah";#N/A,#N/A,FALSE,"Idaho";#N/A,#N/A,FALSE,"Lewis River";#N/A,#N/A,FALSE,"NrthUmpq";#N/A,#N/A,FALSE,"KlamRog"}</definedName>
    <definedName name="_________________OM1_5" localSheetId="41" hidden="1">{#N/A,#N/A,FALSE,"Summary";#N/A,#N/A,FALSE,"SmPlants";#N/A,#N/A,FALSE,"Utah";#N/A,#N/A,FALSE,"Idaho";#N/A,#N/A,FALSE,"Lewis River";#N/A,#N/A,FALSE,"NrthUmpq";#N/A,#N/A,FALSE,"KlamRog"}</definedName>
    <definedName name="___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___OM1_5" hidden="1">{#N/A,#N/A,FALSE,"Summary";#N/A,#N/A,FALSE,"SmPlants";#N/A,#N/A,FALSE,"Utah";#N/A,#N/A,FALSE,"Idaho";#N/A,#N/A,FALSE,"Lewis River";#N/A,#N/A,FALSE,"NrthUmpq";#N/A,#N/A,FALSE,"KlamRog"}</definedName>
    <definedName name="______________OM1" localSheetId="1" hidden="1">{#N/A,#N/A,FALSE,"Summary";#N/A,#N/A,FALSE,"SmPlants";#N/A,#N/A,FALSE,"Utah";#N/A,#N/A,FALSE,"Idaho";#N/A,#N/A,FALSE,"Lewis River";#N/A,#N/A,FALSE,"NrthUmpq";#N/A,#N/A,FALSE,"KlamRog"}</definedName>
    <definedName name="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OM1" localSheetId="4" hidden="1">{#N/A,#N/A,FALSE,"Summary";#N/A,#N/A,FALSE,"SmPlants";#N/A,#N/A,FALSE,"Utah";#N/A,#N/A,FALSE,"Idaho";#N/A,#N/A,FALSE,"Lewis River";#N/A,#N/A,FALSE,"NrthUmpq";#N/A,#N/A,FALSE,"KlamRog"}</definedName>
    <definedName name="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OM1" localSheetId="20" hidden="1">{#N/A,#N/A,FALSE,"Summary";#N/A,#N/A,FALSE,"SmPlants";#N/A,#N/A,FALSE,"Utah";#N/A,#N/A,FALSE,"Idaho";#N/A,#N/A,FALSE,"Lewis River";#N/A,#N/A,FALSE,"NrthUmpq";#N/A,#N/A,FALSE,"KlamRog"}</definedName>
    <definedName name="______________OM1" localSheetId="21" hidden="1">{#N/A,#N/A,FALSE,"Summary";#N/A,#N/A,FALSE,"SmPlants";#N/A,#N/A,FALSE,"Utah";#N/A,#N/A,FALSE,"Idaho";#N/A,#N/A,FALSE,"Lewis River";#N/A,#N/A,FALSE,"NrthUmpq";#N/A,#N/A,FALSE,"KlamRog"}</definedName>
    <definedName name="__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__OM1" localSheetId="27" hidden="1">{#N/A,#N/A,FALSE,"Summary";#N/A,#N/A,FALSE,"SmPlants";#N/A,#N/A,FALSE,"Utah";#N/A,#N/A,FALSE,"Idaho";#N/A,#N/A,FALSE,"Lewis River";#N/A,#N/A,FALSE,"NrthUmpq";#N/A,#N/A,FALSE,"KlamRog"}</definedName>
    <definedName name="______________OM1" localSheetId="28" hidden="1">{#N/A,#N/A,FALSE,"Summary";#N/A,#N/A,FALSE,"SmPlants";#N/A,#N/A,FALSE,"Utah";#N/A,#N/A,FALSE,"Idaho";#N/A,#N/A,FALSE,"Lewis River";#N/A,#N/A,FALSE,"NrthUmpq";#N/A,#N/A,FALSE,"KlamRog"}</definedName>
    <definedName name="______________OM1" localSheetId="29" hidden="1">{#N/A,#N/A,FALSE,"Summary";#N/A,#N/A,FALSE,"SmPlants";#N/A,#N/A,FALSE,"Utah";#N/A,#N/A,FALSE,"Idaho";#N/A,#N/A,FALSE,"Lewis River";#N/A,#N/A,FALSE,"NrthUmpq";#N/A,#N/A,FALSE,"KlamRog"}</definedName>
    <definedName name="______________OM1" localSheetId="30" hidden="1">{#N/A,#N/A,FALSE,"Summary";#N/A,#N/A,FALSE,"SmPlants";#N/A,#N/A,FALSE,"Utah";#N/A,#N/A,FALSE,"Idaho";#N/A,#N/A,FALSE,"Lewis River";#N/A,#N/A,FALSE,"NrthUmpq";#N/A,#N/A,FALSE,"KlamRog"}</definedName>
    <definedName name="__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__OM1" localSheetId="37" hidden="1">{#N/A,#N/A,FALSE,"Summary";#N/A,#N/A,FALSE,"SmPlants";#N/A,#N/A,FALSE,"Utah";#N/A,#N/A,FALSE,"Idaho";#N/A,#N/A,FALSE,"Lewis River";#N/A,#N/A,FALSE,"NrthUmpq";#N/A,#N/A,FALSE,"KlamRog"}</definedName>
    <definedName name="______________OM1" localSheetId="41" hidden="1">{#N/A,#N/A,FALSE,"Summary";#N/A,#N/A,FALSE,"SmPlants";#N/A,#N/A,FALSE,"Utah";#N/A,#N/A,FALSE,"Idaho";#N/A,#N/A,FALSE,"Lewis River";#N/A,#N/A,FALSE,"NrthUmpq";#N/A,#N/A,FALSE,"KlamRog"}</definedName>
    <definedName name="__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__OM1" localSheetId="0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__OM1_1" localSheetId="18" hidden="1">{#N/A,#N/A,FALSE,"Summary";#N/A,#N/A,FALSE,"SmPlants";#N/A,#N/A,FALSE,"Utah";#N/A,#N/A,FALSE,"Idaho";#N/A,#N/A,FALSE,"Lewis River";#N/A,#N/A,FALSE,"NrthUmpq";#N/A,#N/A,FALSE,"KlamRog"}</definedName>
    <definedName name="__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__OM1_1" localSheetId="20" hidden="1">{#N/A,#N/A,FALSE,"Summary";#N/A,#N/A,FALSE,"SmPlants";#N/A,#N/A,FALSE,"Utah";#N/A,#N/A,FALSE,"Idaho";#N/A,#N/A,FALSE,"Lewis River";#N/A,#N/A,FALSE,"NrthUmpq";#N/A,#N/A,FALSE,"KlamRog"}</definedName>
    <definedName name="______________OM1_1" localSheetId="21" hidden="1">{#N/A,#N/A,FALSE,"Summary";#N/A,#N/A,FALSE,"SmPlants";#N/A,#N/A,FALSE,"Utah";#N/A,#N/A,FALSE,"Idaho";#N/A,#N/A,FALSE,"Lewis River";#N/A,#N/A,FALSE,"NrthUmpq";#N/A,#N/A,FALSE,"KlamRog"}</definedName>
    <definedName name="__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__OM1_1" localSheetId="27" hidden="1">{#N/A,#N/A,FALSE,"Summary";#N/A,#N/A,FALSE,"SmPlants";#N/A,#N/A,FALSE,"Utah";#N/A,#N/A,FALSE,"Idaho";#N/A,#N/A,FALSE,"Lewis River";#N/A,#N/A,FALSE,"NrthUmpq";#N/A,#N/A,FALSE,"KlamRog"}</definedName>
    <definedName name="______________OM1_1" localSheetId="28" hidden="1">{#N/A,#N/A,FALSE,"Summary";#N/A,#N/A,FALSE,"SmPlants";#N/A,#N/A,FALSE,"Utah";#N/A,#N/A,FALSE,"Idaho";#N/A,#N/A,FALSE,"Lewis River";#N/A,#N/A,FALSE,"NrthUmpq";#N/A,#N/A,FALSE,"KlamRog"}</definedName>
    <definedName name="______________OM1_1" localSheetId="29" hidden="1">{#N/A,#N/A,FALSE,"Summary";#N/A,#N/A,FALSE,"SmPlants";#N/A,#N/A,FALSE,"Utah";#N/A,#N/A,FALSE,"Idaho";#N/A,#N/A,FALSE,"Lewis River";#N/A,#N/A,FALSE,"NrthUmpq";#N/A,#N/A,FALSE,"KlamRog"}</definedName>
    <definedName name="______________OM1_1" localSheetId="30" hidden="1">{#N/A,#N/A,FALSE,"Summary";#N/A,#N/A,FALSE,"SmPlants";#N/A,#N/A,FALSE,"Utah";#N/A,#N/A,FALSE,"Idaho";#N/A,#N/A,FALSE,"Lewis River";#N/A,#N/A,FALSE,"NrthUmpq";#N/A,#N/A,FALSE,"KlamRog"}</definedName>
    <definedName name="__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__OM1_1" localSheetId="37" hidden="1">{#N/A,#N/A,FALSE,"Summary";#N/A,#N/A,FALSE,"SmPlants";#N/A,#N/A,FALSE,"Utah";#N/A,#N/A,FALSE,"Idaho";#N/A,#N/A,FALSE,"Lewis River";#N/A,#N/A,FALSE,"NrthUmpq";#N/A,#N/A,FALSE,"KlamRog"}</definedName>
    <definedName name="______________OM1_1" localSheetId="41" hidden="1">{#N/A,#N/A,FALSE,"Summary";#N/A,#N/A,FALSE,"SmPlants";#N/A,#N/A,FALSE,"Utah";#N/A,#N/A,FALSE,"Idaho";#N/A,#N/A,FALSE,"Lewis River";#N/A,#N/A,FALSE,"NrthUmpq";#N/A,#N/A,FALSE,"KlamRog"}</definedName>
    <definedName name="__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__OM1_1" hidden="1">{#N/A,#N/A,FALSE,"Summary";#N/A,#N/A,FALSE,"SmPlants";#N/A,#N/A,FALSE,"Utah";#N/A,#N/A,FALSE,"Idaho";#N/A,#N/A,FALSE,"Lewis River";#N/A,#N/A,FALSE,"NrthUmpq";#N/A,#N/A,FALSE,"KlamRog"}</definedName>
    <definedName name="__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__OM1_2" localSheetId="18" hidden="1">{#N/A,#N/A,FALSE,"Summary";#N/A,#N/A,FALSE,"SmPlants";#N/A,#N/A,FALSE,"Utah";#N/A,#N/A,FALSE,"Idaho";#N/A,#N/A,FALSE,"Lewis River";#N/A,#N/A,FALSE,"NrthUmpq";#N/A,#N/A,FALSE,"KlamRog"}</definedName>
    <definedName name="__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__OM1_2" localSheetId="20" hidden="1">{#N/A,#N/A,FALSE,"Summary";#N/A,#N/A,FALSE,"SmPlants";#N/A,#N/A,FALSE,"Utah";#N/A,#N/A,FALSE,"Idaho";#N/A,#N/A,FALSE,"Lewis River";#N/A,#N/A,FALSE,"NrthUmpq";#N/A,#N/A,FALSE,"KlamRog"}</definedName>
    <definedName name="______________OM1_2" localSheetId="21" hidden="1">{#N/A,#N/A,FALSE,"Summary";#N/A,#N/A,FALSE,"SmPlants";#N/A,#N/A,FALSE,"Utah";#N/A,#N/A,FALSE,"Idaho";#N/A,#N/A,FALSE,"Lewis River";#N/A,#N/A,FALSE,"NrthUmpq";#N/A,#N/A,FALSE,"KlamRog"}</definedName>
    <definedName name="__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__OM1_2" localSheetId="27" hidden="1">{#N/A,#N/A,FALSE,"Summary";#N/A,#N/A,FALSE,"SmPlants";#N/A,#N/A,FALSE,"Utah";#N/A,#N/A,FALSE,"Idaho";#N/A,#N/A,FALSE,"Lewis River";#N/A,#N/A,FALSE,"NrthUmpq";#N/A,#N/A,FALSE,"KlamRog"}</definedName>
    <definedName name="______________OM1_2" localSheetId="28" hidden="1">{#N/A,#N/A,FALSE,"Summary";#N/A,#N/A,FALSE,"SmPlants";#N/A,#N/A,FALSE,"Utah";#N/A,#N/A,FALSE,"Idaho";#N/A,#N/A,FALSE,"Lewis River";#N/A,#N/A,FALSE,"NrthUmpq";#N/A,#N/A,FALSE,"KlamRog"}</definedName>
    <definedName name="______________OM1_2" localSheetId="29" hidden="1">{#N/A,#N/A,FALSE,"Summary";#N/A,#N/A,FALSE,"SmPlants";#N/A,#N/A,FALSE,"Utah";#N/A,#N/A,FALSE,"Idaho";#N/A,#N/A,FALSE,"Lewis River";#N/A,#N/A,FALSE,"NrthUmpq";#N/A,#N/A,FALSE,"KlamRog"}</definedName>
    <definedName name="______________OM1_2" localSheetId="30" hidden="1">{#N/A,#N/A,FALSE,"Summary";#N/A,#N/A,FALSE,"SmPlants";#N/A,#N/A,FALSE,"Utah";#N/A,#N/A,FALSE,"Idaho";#N/A,#N/A,FALSE,"Lewis River";#N/A,#N/A,FALSE,"NrthUmpq";#N/A,#N/A,FALSE,"KlamRog"}</definedName>
    <definedName name="__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__OM1_2" localSheetId="37" hidden="1">{#N/A,#N/A,FALSE,"Summary";#N/A,#N/A,FALSE,"SmPlants";#N/A,#N/A,FALSE,"Utah";#N/A,#N/A,FALSE,"Idaho";#N/A,#N/A,FALSE,"Lewis River";#N/A,#N/A,FALSE,"NrthUmpq";#N/A,#N/A,FALSE,"KlamRog"}</definedName>
    <definedName name="______________OM1_2" localSheetId="41" hidden="1">{#N/A,#N/A,FALSE,"Summary";#N/A,#N/A,FALSE,"SmPlants";#N/A,#N/A,FALSE,"Utah";#N/A,#N/A,FALSE,"Idaho";#N/A,#N/A,FALSE,"Lewis River";#N/A,#N/A,FALSE,"NrthUmpq";#N/A,#N/A,FALSE,"KlamRog"}</definedName>
    <definedName name="__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__OM1_2" hidden="1">{#N/A,#N/A,FALSE,"Summary";#N/A,#N/A,FALSE,"SmPlants";#N/A,#N/A,FALSE,"Utah";#N/A,#N/A,FALSE,"Idaho";#N/A,#N/A,FALSE,"Lewis River";#N/A,#N/A,FALSE,"NrthUmpq";#N/A,#N/A,FALSE,"KlamRog"}</definedName>
    <definedName name="__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__OM1_3" localSheetId="18" hidden="1">{#N/A,#N/A,FALSE,"Summary";#N/A,#N/A,FALSE,"SmPlants";#N/A,#N/A,FALSE,"Utah";#N/A,#N/A,FALSE,"Idaho";#N/A,#N/A,FALSE,"Lewis River";#N/A,#N/A,FALSE,"NrthUmpq";#N/A,#N/A,FALSE,"KlamRog"}</definedName>
    <definedName name="__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__OM1_3" localSheetId="20" hidden="1">{#N/A,#N/A,FALSE,"Summary";#N/A,#N/A,FALSE,"SmPlants";#N/A,#N/A,FALSE,"Utah";#N/A,#N/A,FALSE,"Idaho";#N/A,#N/A,FALSE,"Lewis River";#N/A,#N/A,FALSE,"NrthUmpq";#N/A,#N/A,FALSE,"KlamRog"}</definedName>
    <definedName name="______________OM1_3" localSheetId="21" hidden="1">{#N/A,#N/A,FALSE,"Summary";#N/A,#N/A,FALSE,"SmPlants";#N/A,#N/A,FALSE,"Utah";#N/A,#N/A,FALSE,"Idaho";#N/A,#N/A,FALSE,"Lewis River";#N/A,#N/A,FALSE,"NrthUmpq";#N/A,#N/A,FALSE,"KlamRog"}</definedName>
    <definedName name="__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__OM1_3" localSheetId="27" hidden="1">{#N/A,#N/A,FALSE,"Summary";#N/A,#N/A,FALSE,"SmPlants";#N/A,#N/A,FALSE,"Utah";#N/A,#N/A,FALSE,"Idaho";#N/A,#N/A,FALSE,"Lewis River";#N/A,#N/A,FALSE,"NrthUmpq";#N/A,#N/A,FALSE,"KlamRog"}</definedName>
    <definedName name="______________OM1_3" localSheetId="28" hidden="1">{#N/A,#N/A,FALSE,"Summary";#N/A,#N/A,FALSE,"SmPlants";#N/A,#N/A,FALSE,"Utah";#N/A,#N/A,FALSE,"Idaho";#N/A,#N/A,FALSE,"Lewis River";#N/A,#N/A,FALSE,"NrthUmpq";#N/A,#N/A,FALSE,"KlamRog"}</definedName>
    <definedName name="______________OM1_3" localSheetId="29" hidden="1">{#N/A,#N/A,FALSE,"Summary";#N/A,#N/A,FALSE,"SmPlants";#N/A,#N/A,FALSE,"Utah";#N/A,#N/A,FALSE,"Idaho";#N/A,#N/A,FALSE,"Lewis River";#N/A,#N/A,FALSE,"NrthUmpq";#N/A,#N/A,FALSE,"KlamRog"}</definedName>
    <definedName name="______________OM1_3" localSheetId="30" hidden="1">{#N/A,#N/A,FALSE,"Summary";#N/A,#N/A,FALSE,"SmPlants";#N/A,#N/A,FALSE,"Utah";#N/A,#N/A,FALSE,"Idaho";#N/A,#N/A,FALSE,"Lewis River";#N/A,#N/A,FALSE,"NrthUmpq";#N/A,#N/A,FALSE,"KlamRog"}</definedName>
    <definedName name="__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__OM1_3" localSheetId="37" hidden="1">{#N/A,#N/A,FALSE,"Summary";#N/A,#N/A,FALSE,"SmPlants";#N/A,#N/A,FALSE,"Utah";#N/A,#N/A,FALSE,"Idaho";#N/A,#N/A,FALSE,"Lewis River";#N/A,#N/A,FALSE,"NrthUmpq";#N/A,#N/A,FALSE,"KlamRog"}</definedName>
    <definedName name="______________OM1_3" localSheetId="41" hidden="1">{#N/A,#N/A,FALSE,"Summary";#N/A,#N/A,FALSE,"SmPlants";#N/A,#N/A,FALSE,"Utah";#N/A,#N/A,FALSE,"Idaho";#N/A,#N/A,FALSE,"Lewis River";#N/A,#N/A,FALSE,"NrthUmpq";#N/A,#N/A,FALSE,"KlamRog"}</definedName>
    <definedName name="__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__OM1_3" hidden="1">{#N/A,#N/A,FALSE,"Summary";#N/A,#N/A,FALSE,"SmPlants";#N/A,#N/A,FALSE,"Utah";#N/A,#N/A,FALSE,"Idaho";#N/A,#N/A,FALSE,"Lewis River";#N/A,#N/A,FALSE,"NrthUmpq";#N/A,#N/A,FALSE,"KlamRog"}</definedName>
    <definedName name="__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__OM1_4" localSheetId="18" hidden="1">{#N/A,#N/A,FALSE,"Summary";#N/A,#N/A,FALSE,"SmPlants";#N/A,#N/A,FALSE,"Utah";#N/A,#N/A,FALSE,"Idaho";#N/A,#N/A,FALSE,"Lewis River";#N/A,#N/A,FALSE,"NrthUmpq";#N/A,#N/A,FALSE,"KlamRog"}</definedName>
    <definedName name="__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__OM1_4" localSheetId="20" hidden="1">{#N/A,#N/A,FALSE,"Summary";#N/A,#N/A,FALSE,"SmPlants";#N/A,#N/A,FALSE,"Utah";#N/A,#N/A,FALSE,"Idaho";#N/A,#N/A,FALSE,"Lewis River";#N/A,#N/A,FALSE,"NrthUmpq";#N/A,#N/A,FALSE,"KlamRog"}</definedName>
    <definedName name="______________OM1_4" localSheetId="21" hidden="1">{#N/A,#N/A,FALSE,"Summary";#N/A,#N/A,FALSE,"SmPlants";#N/A,#N/A,FALSE,"Utah";#N/A,#N/A,FALSE,"Idaho";#N/A,#N/A,FALSE,"Lewis River";#N/A,#N/A,FALSE,"NrthUmpq";#N/A,#N/A,FALSE,"KlamRog"}</definedName>
    <definedName name="__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__OM1_4" localSheetId="27" hidden="1">{#N/A,#N/A,FALSE,"Summary";#N/A,#N/A,FALSE,"SmPlants";#N/A,#N/A,FALSE,"Utah";#N/A,#N/A,FALSE,"Idaho";#N/A,#N/A,FALSE,"Lewis River";#N/A,#N/A,FALSE,"NrthUmpq";#N/A,#N/A,FALSE,"KlamRog"}</definedName>
    <definedName name="______________OM1_4" localSheetId="28" hidden="1">{#N/A,#N/A,FALSE,"Summary";#N/A,#N/A,FALSE,"SmPlants";#N/A,#N/A,FALSE,"Utah";#N/A,#N/A,FALSE,"Idaho";#N/A,#N/A,FALSE,"Lewis River";#N/A,#N/A,FALSE,"NrthUmpq";#N/A,#N/A,FALSE,"KlamRog"}</definedName>
    <definedName name="______________OM1_4" localSheetId="29" hidden="1">{#N/A,#N/A,FALSE,"Summary";#N/A,#N/A,FALSE,"SmPlants";#N/A,#N/A,FALSE,"Utah";#N/A,#N/A,FALSE,"Idaho";#N/A,#N/A,FALSE,"Lewis River";#N/A,#N/A,FALSE,"NrthUmpq";#N/A,#N/A,FALSE,"KlamRog"}</definedName>
    <definedName name="______________OM1_4" localSheetId="30" hidden="1">{#N/A,#N/A,FALSE,"Summary";#N/A,#N/A,FALSE,"SmPlants";#N/A,#N/A,FALSE,"Utah";#N/A,#N/A,FALSE,"Idaho";#N/A,#N/A,FALSE,"Lewis River";#N/A,#N/A,FALSE,"NrthUmpq";#N/A,#N/A,FALSE,"KlamRog"}</definedName>
    <definedName name="__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__OM1_4" localSheetId="37" hidden="1">{#N/A,#N/A,FALSE,"Summary";#N/A,#N/A,FALSE,"SmPlants";#N/A,#N/A,FALSE,"Utah";#N/A,#N/A,FALSE,"Idaho";#N/A,#N/A,FALSE,"Lewis River";#N/A,#N/A,FALSE,"NrthUmpq";#N/A,#N/A,FALSE,"KlamRog"}</definedName>
    <definedName name="______________OM1_4" localSheetId="41" hidden="1">{#N/A,#N/A,FALSE,"Summary";#N/A,#N/A,FALSE,"SmPlants";#N/A,#N/A,FALSE,"Utah";#N/A,#N/A,FALSE,"Idaho";#N/A,#N/A,FALSE,"Lewis River";#N/A,#N/A,FALSE,"NrthUmpq";#N/A,#N/A,FALSE,"KlamRog"}</definedName>
    <definedName name="__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__OM1_4" hidden="1">{#N/A,#N/A,FALSE,"Summary";#N/A,#N/A,FALSE,"SmPlants";#N/A,#N/A,FALSE,"Utah";#N/A,#N/A,FALSE,"Idaho";#N/A,#N/A,FALSE,"Lewis River";#N/A,#N/A,FALSE,"NrthUmpq";#N/A,#N/A,FALSE,"KlamRog"}</definedName>
    <definedName name="__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__OM1_5" localSheetId="18" hidden="1">{#N/A,#N/A,FALSE,"Summary";#N/A,#N/A,FALSE,"SmPlants";#N/A,#N/A,FALSE,"Utah";#N/A,#N/A,FALSE,"Idaho";#N/A,#N/A,FALSE,"Lewis River";#N/A,#N/A,FALSE,"NrthUmpq";#N/A,#N/A,FALSE,"KlamRog"}</definedName>
    <definedName name="__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__OM1_5" localSheetId="20" hidden="1">{#N/A,#N/A,FALSE,"Summary";#N/A,#N/A,FALSE,"SmPlants";#N/A,#N/A,FALSE,"Utah";#N/A,#N/A,FALSE,"Idaho";#N/A,#N/A,FALSE,"Lewis River";#N/A,#N/A,FALSE,"NrthUmpq";#N/A,#N/A,FALSE,"KlamRog"}</definedName>
    <definedName name="______________OM1_5" localSheetId="21" hidden="1">{#N/A,#N/A,FALSE,"Summary";#N/A,#N/A,FALSE,"SmPlants";#N/A,#N/A,FALSE,"Utah";#N/A,#N/A,FALSE,"Idaho";#N/A,#N/A,FALSE,"Lewis River";#N/A,#N/A,FALSE,"NrthUmpq";#N/A,#N/A,FALSE,"KlamRog"}</definedName>
    <definedName name="__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__OM1_5" localSheetId="27" hidden="1">{#N/A,#N/A,FALSE,"Summary";#N/A,#N/A,FALSE,"SmPlants";#N/A,#N/A,FALSE,"Utah";#N/A,#N/A,FALSE,"Idaho";#N/A,#N/A,FALSE,"Lewis River";#N/A,#N/A,FALSE,"NrthUmpq";#N/A,#N/A,FALSE,"KlamRog"}</definedName>
    <definedName name="______________OM1_5" localSheetId="28" hidden="1">{#N/A,#N/A,FALSE,"Summary";#N/A,#N/A,FALSE,"SmPlants";#N/A,#N/A,FALSE,"Utah";#N/A,#N/A,FALSE,"Idaho";#N/A,#N/A,FALSE,"Lewis River";#N/A,#N/A,FALSE,"NrthUmpq";#N/A,#N/A,FALSE,"KlamRog"}</definedName>
    <definedName name="______________OM1_5" localSheetId="29" hidden="1">{#N/A,#N/A,FALSE,"Summary";#N/A,#N/A,FALSE,"SmPlants";#N/A,#N/A,FALSE,"Utah";#N/A,#N/A,FALSE,"Idaho";#N/A,#N/A,FALSE,"Lewis River";#N/A,#N/A,FALSE,"NrthUmpq";#N/A,#N/A,FALSE,"KlamRog"}</definedName>
    <definedName name="______________OM1_5" localSheetId="30" hidden="1">{#N/A,#N/A,FALSE,"Summary";#N/A,#N/A,FALSE,"SmPlants";#N/A,#N/A,FALSE,"Utah";#N/A,#N/A,FALSE,"Idaho";#N/A,#N/A,FALSE,"Lewis River";#N/A,#N/A,FALSE,"NrthUmpq";#N/A,#N/A,FALSE,"KlamRog"}</definedName>
    <definedName name="__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__OM1_5" localSheetId="37" hidden="1">{#N/A,#N/A,FALSE,"Summary";#N/A,#N/A,FALSE,"SmPlants";#N/A,#N/A,FALSE,"Utah";#N/A,#N/A,FALSE,"Idaho";#N/A,#N/A,FALSE,"Lewis River";#N/A,#N/A,FALSE,"NrthUmpq";#N/A,#N/A,FALSE,"KlamRog"}</definedName>
    <definedName name="______________OM1_5" localSheetId="41" hidden="1">{#N/A,#N/A,FALSE,"Summary";#N/A,#N/A,FALSE,"SmPlants";#N/A,#N/A,FALSE,"Utah";#N/A,#N/A,FALSE,"Idaho";#N/A,#N/A,FALSE,"Lewis River";#N/A,#N/A,FALSE,"NrthUmpq";#N/A,#N/A,FALSE,"KlamRog"}</definedName>
    <definedName name="__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__OM1_5" hidden="1">{#N/A,#N/A,FALSE,"Summary";#N/A,#N/A,FALSE,"SmPlants";#N/A,#N/A,FALSE,"Utah";#N/A,#N/A,FALSE,"Idaho";#N/A,#N/A,FALSE,"Lewis River";#N/A,#N/A,FALSE,"NrthUmpq";#N/A,#N/A,FALSE,"KlamRog"}</definedName>
    <definedName name="____________OM1" localSheetId="1" hidden="1">{#N/A,#N/A,FALSE,"Summary";#N/A,#N/A,FALSE,"SmPlants";#N/A,#N/A,FALSE,"Utah";#N/A,#N/A,FALSE,"Idaho";#N/A,#N/A,FALSE,"Lewis River";#N/A,#N/A,FALSE,"NrthUmpq";#N/A,#N/A,FALSE,"KlamRog"}</definedName>
    <definedName name="____________OM1" localSheetId="3" hidden="1">{#N/A,#N/A,FALSE,"Summary";#N/A,#N/A,FALSE,"SmPlants";#N/A,#N/A,FALSE,"Utah";#N/A,#N/A,FALSE,"Idaho";#N/A,#N/A,FALSE,"Lewis River";#N/A,#N/A,FALSE,"NrthUmpq";#N/A,#N/A,FALSE,"KlamRog"}</definedName>
    <definedName name="____________OM1" localSheetId="4" hidden="1">{#N/A,#N/A,FALSE,"Summary";#N/A,#N/A,FALSE,"SmPlants";#N/A,#N/A,FALSE,"Utah";#N/A,#N/A,FALSE,"Idaho";#N/A,#N/A,FALSE,"Lewis River";#N/A,#N/A,FALSE,"NrthUmpq";#N/A,#N/A,FALSE,"KlamRog"}</definedName>
    <definedName name="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OM1" localSheetId="20" hidden="1">{#N/A,#N/A,FALSE,"Summary";#N/A,#N/A,FALSE,"SmPlants";#N/A,#N/A,FALSE,"Utah";#N/A,#N/A,FALSE,"Idaho";#N/A,#N/A,FALSE,"Lewis River";#N/A,#N/A,FALSE,"NrthUmpq";#N/A,#N/A,FALSE,"KlamRog"}</definedName>
    <definedName name="____________OM1" localSheetId="21" hidden="1">{#N/A,#N/A,FALSE,"Summary";#N/A,#N/A,FALSE,"SmPlants";#N/A,#N/A,FALSE,"Utah";#N/A,#N/A,FALSE,"Idaho";#N/A,#N/A,FALSE,"Lewis River";#N/A,#N/A,FALSE,"NrthUmpq";#N/A,#N/A,FALSE,"KlamRog"}</definedName>
    <definedName name="____________OM1" localSheetId="24" hidden="1">{#N/A,#N/A,FALSE,"Summary";#N/A,#N/A,FALSE,"SmPlants";#N/A,#N/A,FALSE,"Utah";#N/A,#N/A,FALSE,"Idaho";#N/A,#N/A,FALSE,"Lewis River";#N/A,#N/A,FALSE,"NrthUmpq";#N/A,#N/A,FALSE,"KlamRog"}</definedName>
    <definedName name="____________OM1" localSheetId="27" hidden="1">{#N/A,#N/A,FALSE,"Summary";#N/A,#N/A,FALSE,"SmPlants";#N/A,#N/A,FALSE,"Utah";#N/A,#N/A,FALSE,"Idaho";#N/A,#N/A,FALSE,"Lewis River";#N/A,#N/A,FALSE,"NrthUmpq";#N/A,#N/A,FALSE,"KlamRog"}</definedName>
    <definedName name="____________OM1" localSheetId="28" hidden="1">{#N/A,#N/A,FALSE,"Summary";#N/A,#N/A,FALSE,"SmPlants";#N/A,#N/A,FALSE,"Utah";#N/A,#N/A,FALSE,"Idaho";#N/A,#N/A,FALSE,"Lewis River";#N/A,#N/A,FALSE,"NrthUmpq";#N/A,#N/A,FALSE,"KlamRog"}</definedName>
    <definedName name="____________OM1" localSheetId="29" hidden="1">{#N/A,#N/A,FALSE,"Summary";#N/A,#N/A,FALSE,"SmPlants";#N/A,#N/A,FALSE,"Utah";#N/A,#N/A,FALSE,"Idaho";#N/A,#N/A,FALSE,"Lewis River";#N/A,#N/A,FALSE,"NrthUmpq";#N/A,#N/A,FALSE,"KlamRog"}</definedName>
    <definedName name="____________OM1" localSheetId="30" hidden="1">{#N/A,#N/A,FALSE,"Summary";#N/A,#N/A,FALSE,"SmPlants";#N/A,#N/A,FALSE,"Utah";#N/A,#N/A,FALSE,"Idaho";#N/A,#N/A,FALSE,"Lewis River";#N/A,#N/A,FALSE,"NrthUmpq";#N/A,#N/A,FALSE,"KlamRog"}</definedName>
    <definedName name="____________OM1" localSheetId="31" hidden="1">{#N/A,#N/A,FALSE,"Summary";#N/A,#N/A,FALSE,"SmPlants";#N/A,#N/A,FALSE,"Utah";#N/A,#N/A,FALSE,"Idaho";#N/A,#N/A,FALSE,"Lewis River";#N/A,#N/A,FALSE,"NrthUmpq";#N/A,#N/A,FALSE,"KlamRog"}</definedName>
    <definedName name="____________OM1" localSheetId="37" hidden="1">{#N/A,#N/A,FALSE,"Summary";#N/A,#N/A,FALSE,"SmPlants";#N/A,#N/A,FALSE,"Utah";#N/A,#N/A,FALSE,"Idaho";#N/A,#N/A,FALSE,"Lewis River";#N/A,#N/A,FALSE,"NrthUmpq";#N/A,#N/A,FALSE,"KlamRog"}</definedName>
    <definedName name="____________OM1" localSheetId="41" hidden="1">{#N/A,#N/A,FALSE,"Summary";#N/A,#N/A,FALSE,"SmPlants";#N/A,#N/A,FALSE,"Utah";#N/A,#N/A,FALSE,"Idaho";#N/A,#N/A,FALSE,"Lewis River";#N/A,#N/A,FALSE,"NrthUmpq";#N/A,#N/A,FALSE,"KlamRog"}</definedName>
    <definedName name="____________OM1" localSheetId="42" hidden="1">{#N/A,#N/A,FALSE,"Summary";#N/A,#N/A,FALSE,"SmPlants";#N/A,#N/A,FALSE,"Utah";#N/A,#N/A,FALSE,"Idaho";#N/A,#N/A,FALSE,"Lewis River";#N/A,#N/A,FALSE,"NrthUmpq";#N/A,#N/A,FALSE,"KlamRog"}</definedName>
    <definedName name="____________OM1" localSheetId="0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OM1_1" localSheetId="1" hidden="1">{#N/A,#N/A,FALSE,"Summary";#N/A,#N/A,FALSE,"SmPlants";#N/A,#N/A,FALSE,"Utah";#N/A,#N/A,FALSE,"Idaho";#N/A,#N/A,FALSE,"Lewis River";#N/A,#N/A,FALSE,"NrthUmpq";#N/A,#N/A,FALSE,"KlamRog"}</definedName>
    <definedName name="____________OM1_1" localSheetId="3" hidden="1">{#N/A,#N/A,FALSE,"Summary";#N/A,#N/A,FALSE,"SmPlants";#N/A,#N/A,FALSE,"Utah";#N/A,#N/A,FALSE,"Idaho";#N/A,#N/A,FALSE,"Lewis River";#N/A,#N/A,FALSE,"NrthUmpq";#N/A,#N/A,FALSE,"KlamRog"}</definedName>
    <definedName name="____________OM1_1" localSheetId="4" hidden="1">{#N/A,#N/A,FALSE,"Summary";#N/A,#N/A,FALSE,"SmPlants";#N/A,#N/A,FALSE,"Utah";#N/A,#N/A,FALSE,"Idaho";#N/A,#N/A,FALSE,"Lewis River";#N/A,#N/A,FALSE,"NrthUmpq";#N/A,#N/A,FALSE,"KlamRog"}</definedName>
    <definedName name="____________OM1_1" localSheetId="18" hidden="1">{#N/A,#N/A,FALSE,"Summary";#N/A,#N/A,FALSE,"SmPlants";#N/A,#N/A,FALSE,"Utah";#N/A,#N/A,FALSE,"Idaho";#N/A,#N/A,FALSE,"Lewis River";#N/A,#N/A,FALSE,"NrthUmpq";#N/A,#N/A,FALSE,"KlamRog"}</definedName>
    <definedName name="_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_OM1_1" localSheetId="20" hidden="1">{#N/A,#N/A,FALSE,"Summary";#N/A,#N/A,FALSE,"SmPlants";#N/A,#N/A,FALSE,"Utah";#N/A,#N/A,FALSE,"Idaho";#N/A,#N/A,FALSE,"Lewis River";#N/A,#N/A,FALSE,"NrthUmpq";#N/A,#N/A,FALSE,"KlamRog"}</definedName>
    <definedName name="____________OM1_1" localSheetId="21" hidden="1">{#N/A,#N/A,FALSE,"Summary";#N/A,#N/A,FALSE,"SmPlants";#N/A,#N/A,FALSE,"Utah";#N/A,#N/A,FALSE,"Idaho";#N/A,#N/A,FALSE,"Lewis River";#N/A,#N/A,FALSE,"NrthUmpq";#N/A,#N/A,FALSE,"KlamRog"}</definedName>
    <definedName name="_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_OM1_1" localSheetId="27" hidden="1">{#N/A,#N/A,FALSE,"Summary";#N/A,#N/A,FALSE,"SmPlants";#N/A,#N/A,FALSE,"Utah";#N/A,#N/A,FALSE,"Idaho";#N/A,#N/A,FALSE,"Lewis River";#N/A,#N/A,FALSE,"NrthUmpq";#N/A,#N/A,FALSE,"KlamRog"}</definedName>
    <definedName name="____________OM1_1" localSheetId="28" hidden="1">{#N/A,#N/A,FALSE,"Summary";#N/A,#N/A,FALSE,"SmPlants";#N/A,#N/A,FALSE,"Utah";#N/A,#N/A,FALSE,"Idaho";#N/A,#N/A,FALSE,"Lewis River";#N/A,#N/A,FALSE,"NrthUmpq";#N/A,#N/A,FALSE,"KlamRog"}</definedName>
    <definedName name="____________OM1_1" localSheetId="29" hidden="1">{#N/A,#N/A,FALSE,"Summary";#N/A,#N/A,FALSE,"SmPlants";#N/A,#N/A,FALSE,"Utah";#N/A,#N/A,FALSE,"Idaho";#N/A,#N/A,FALSE,"Lewis River";#N/A,#N/A,FALSE,"NrthUmpq";#N/A,#N/A,FALSE,"KlamRog"}</definedName>
    <definedName name="____________OM1_1" localSheetId="30" hidden="1">{#N/A,#N/A,FALSE,"Summary";#N/A,#N/A,FALSE,"SmPlants";#N/A,#N/A,FALSE,"Utah";#N/A,#N/A,FALSE,"Idaho";#N/A,#N/A,FALSE,"Lewis River";#N/A,#N/A,FALSE,"NrthUmpq";#N/A,#N/A,FALSE,"KlamRog"}</definedName>
    <definedName name="_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_OM1_1" localSheetId="37" hidden="1">{#N/A,#N/A,FALSE,"Summary";#N/A,#N/A,FALSE,"SmPlants";#N/A,#N/A,FALSE,"Utah";#N/A,#N/A,FALSE,"Idaho";#N/A,#N/A,FALSE,"Lewis River";#N/A,#N/A,FALSE,"NrthUmpq";#N/A,#N/A,FALSE,"KlamRog"}</definedName>
    <definedName name="____________OM1_1" localSheetId="41" hidden="1">{#N/A,#N/A,FALSE,"Summary";#N/A,#N/A,FALSE,"SmPlants";#N/A,#N/A,FALSE,"Utah";#N/A,#N/A,FALSE,"Idaho";#N/A,#N/A,FALSE,"Lewis River";#N/A,#N/A,FALSE,"NrthUmpq";#N/A,#N/A,FALSE,"KlamRog"}</definedName>
    <definedName name="_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_OM1_1" localSheetId="0" hidden="1">{#N/A,#N/A,FALSE,"Summary";#N/A,#N/A,FALSE,"SmPlants";#N/A,#N/A,FALSE,"Utah";#N/A,#N/A,FALSE,"Idaho";#N/A,#N/A,FALSE,"Lewis River";#N/A,#N/A,FALSE,"NrthUmpq";#N/A,#N/A,FALSE,"KlamRog"}</definedName>
    <definedName name="____________OM1_1" hidden="1">{#N/A,#N/A,FALSE,"Summary";#N/A,#N/A,FALSE,"SmPlants";#N/A,#N/A,FALSE,"Utah";#N/A,#N/A,FALSE,"Idaho";#N/A,#N/A,FALSE,"Lewis River";#N/A,#N/A,FALSE,"NrthUmpq";#N/A,#N/A,FALSE,"KlamRog"}</definedName>
    <definedName name="____________OM1_2" localSheetId="1" hidden="1">{#N/A,#N/A,FALSE,"Summary";#N/A,#N/A,FALSE,"SmPlants";#N/A,#N/A,FALSE,"Utah";#N/A,#N/A,FALSE,"Idaho";#N/A,#N/A,FALSE,"Lewis River";#N/A,#N/A,FALSE,"NrthUmpq";#N/A,#N/A,FALSE,"KlamRog"}</definedName>
    <definedName name="____________OM1_2" localSheetId="3" hidden="1">{#N/A,#N/A,FALSE,"Summary";#N/A,#N/A,FALSE,"SmPlants";#N/A,#N/A,FALSE,"Utah";#N/A,#N/A,FALSE,"Idaho";#N/A,#N/A,FALSE,"Lewis River";#N/A,#N/A,FALSE,"NrthUmpq";#N/A,#N/A,FALSE,"KlamRog"}</definedName>
    <definedName name="____________OM1_2" localSheetId="4" hidden="1">{#N/A,#N/A,FALSE,"Summary";#N/A,#N/A,FALSE,"SmPlants";#N/A,#N/A,FALSE,"Utah";#N/A,#N/A,FALSE,"Idaho";#N/A,#N/A,FALSE,"Lewis River";#N/A,#N/A,FALSE,"NrthUmpq";#N/A,#N/A,FALSE,"KlamRog"}</definedName>
    <definedName name="____________OM1_2" localSheetId="18" hidden="1">{#N/A,#N/A,FALSE,"Summary";#N/A,#N/A,FALSE,"SmPlants";#N/A,#N/A,FALSE,"Utah";#N/A,#N/A,FALSE,"Idaho";#N/A,#N/A,FALSE,"Lewis River";#N/A,#N/A,FALSE,"NrthUmpq";#N/A,#N/A,FALSE,"KlamRog"}</definedName>
    <definedName name="_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_OM1_2" localSheetId="20" hidden="1">{#N/A,#N/A,FALSE,"Summary";#N/A,#N/A,FALSE,"SmPlants";#N/A,#N/A,FALSE,"Utah";#N/A,#N/A,FALSE,"Idaho";#N/A,#N/A,FALSE,"Lewis River";#N/A,#N/A,FALSE,"NrthUmpq";#N/A,#N/A,FALSE,"KlamRog"}</definedName>
    <definedName name="____________OM1_2" localSheetId="21" hidden="1">{#N/A,#N/A,FALSE,"Summary";#N/A,#N/A,FALSE,"SmPlants";#N/A,#N/A,FALSE,"Utah";#N/A,#N/A,FALSE,"Idaho";#N/A,#N/A,FALSE,"Lewis River";#N/A,#N/A,FALSE,"NrthUmpq";#N/A,#N/A,FALSE,"KlamRog"}</definedName>
    <definedName name="_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_OM1_2" localSheetId="27" hidden="1">{#N/A,#N/A,FALSE,"Summary";#N/A,#N/A,FALSE,"SmPlants";#N/A,#N/A,FALSE,"Utah";#N/A,#N/A,FALSE,"Idaho";#N/A,#N/A,FALSE,"Lewis River";#N/A,#N/A,FALSE,"NrthUmpq";#N/A,#N/A,FALSE,"KlamRog"}</definedName>
    <definedName name="____________OM1_2" localSheetId="28" hidden="1">{#N/A,#N/A,FALSE,"Summary";#N/A,#N/A,FALSE,"SmPlants";#N/A,#N/A,FALSE,"Utah";#N/A,#N/A,FALSE,"Idaho";#N/A,#N/A,FALSE,"Lewis River";#N/A,#N/A,FALSE,"NrthUmpq";#N/A,#N/A,FALSE,"KlamRog"}</definedName>
    <definedName name="____________OM1_2" localSheetId="29" hidden="1">{#N/A,#N/A,FALSE,"Summary";#N/A,#N/A,FALSE,"SmPlants";#N/A,#N/A,FALSE,"Utah";#N/A,#N/A,FALSE,"Idaho";#N/A,#N/A,FALSE,"Lewis River";#N/A,#N/A,FALSE,"NrthUmpq";#N/A,#N/A,FALSE,"KlamRog"}</definedName>
    <definedName name="____________OM1_2" localSheetId="30" hidden="1">{#N/A,#N/A,FALSE,"Summary";#N/A,#N/A,FALSE,"SmPlants";#N/A,#N/A,FALSE,"Utah";#N/A,#N/A,FALSE,"Idaho";#N/A,#N/A,FALSE,"Lewis River";#N/A,#N/A,FALSE,"NrthUmpq";#N/A,#N/A,FALSE,"KlamRog"}</definedName>
    <definedName name="_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_OM1_2" localSheetId="37" hidden="1">{#N/A,#N/A,FALSE,"Summary";#N/A,#N/A,FALSE,"SmPlants";#N/A,#N/A,FALSE,"Utah";#N/A,#N/A,FALSE,"Idaho";#N/A,#N/A,FALSE,"Lewis River";#N/A,#N/A,FALSE,"NrthUmpq";#N/A,#N/A,FALSE,"KlamRog"}</definedName>
    <definedName name="____________OM1_2" localSheetId="41" hidden="1">{#N/A,#N/A,FALSE,"Summary";#N/A,#N/A,FALSE,"SmPlants";#N/A,#N/A,FALSE,"Utah";#N/A,#N/A,FALSE,"Idaho";#N/A,#N/A,FALSE,"Lewis River";#N/A,#N/A,FALSE,"NrthUmpq";#N/A,#N/A,FALSE,"KlamRog"}</definedName>
    <definedName name="_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_OM1_2" localSheetId="0" hidden="1">{#N/A,#N/A,FALSE,"Summary";#N/A,#N/A,FALSE,"SmPlants";#N/A,#N/A,FALSE,"Utah";#N/A,#N/A,FALSE,"Idaho";#N/A,#N/A,FALSE,"Lewis River";#N/A,#N/A,FALSE,"NrthUmpq";#N/A,#N/A,FALSE,"KlamRog"}</definedName>
    <definedName name="____________OM1_2" hidden="1">{#N/A,#N/A,FALSE,"Summary";#N/A,#N/A,FALSE,"SmPlants";#N/A,#N/A,FALSE,"Utah";#N/A,#N/A,FALSE,"Idaho";#N/A,#N/A,FALSE,"Lewis River";#N/A,#N/A,FALSE,"NrthUmpq";#N/A,#N/A,FALSE,"KlamRog"}</definedName>
    <definedName name="____________OM1_3" localSheetId="1" hidden="1">{#N/A,#N/A,FALSE,"Summary";#N/A,#N/A,FALSE,"SmPlants";#N/A,#N/A,FALSE,"Utah";#N/A,#N/A,FALSE,"Idaho";#N/A,#N/A,FALSE,"Lewis River";#N/A,#N/A,FALSE,"NrthUmpq";#N/A,#N/A,FALSE,"KlamRog"}</definedName>
    <definedName name="____________OM1_3" localSheetId="3" hidden="1">{#N/A,#N/A,FALSE,"Summary";#N/A,#N/A,FALSE,"SmPlants";#N/A,#N/A,FALSE,"Utah";#N/A,#N/A,FALSE,"Idaho";#N/A,#N/A,FALSE,"Lewis River";#N/A,#N/A,FALSE,"NrthUmpq";#N/A,#N/A,FALSE,"KlamRog"}</definedName>
    <definedName name="____________OM1_3" localSheetId="4" hidden="1">{#N/A,#N/A,FALSE,"Summary";#N/A,#N/A,FALSE,"SmPlants";#N/A,#N/A,FALSE,"Utah";#N/A,#N/A,FALSE,"Idaho";#N/A,#N/A,FALSE,"Lewis River";#N/A,#N/A,FALSE,"NrthUmpq";#N/A,#N/A,FALSE,"KlamRog"}</definedName>
    <definedName name="____________OM1_3" localSheetId="18" hidden="1">{#N/A,#N/A,FALSE,"Summary";#N/A,#N/A,FALSE,"SmPlants";#N/A,#N/A,FALSE,"Utah";#N/A,#N/A,FALSE,"Idaho";#N/A,#N/A,FALSE,"Lewis River";#N/A,#N/A,FALSE,"NrthUmpq";#N/A,#N/A,FALSE,"KlamRog"}</definedName>
    <definedName name="_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_OM1_3" localSheetId="20" hidden="1">{#N/A,#N/A,FALSE,"Summary";#N/A,#N/A,FALSE,"SmPlants";#N/A,#N/A,FALSE,"Utah";#N/A,#N/A,FALSE,"Idaho";#N/A,#N/A,FALSE,"Lewis River";#N/A,#N/A,FALSE,"NrthUmpq";#N/A,#N/A,FALSE,"KlamRog"}</definedName>
    <definedName name="____________OM1_3" localSheetId="21" hidden="1">{#N/A,#N/A,FALSE,"Summary";#N/A,#N/A,FALSE,"SmPlants";#N/A,#N/A,FALSE,"Utah";#N/A,#N/A,FALSE,"Idaho";#N/A,#N/A,FALSE,"Lewis River";#N/A,#N/A,FALSE,"NrthUmpq";#N/A,#N/A,FALSE,"KlamRog"}</definedName>
    <definedName name="_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_OM1_3" localSheetId="27" hidden="1">{#N/A,#N/A,FALSE,"Summary";#N/A,#N/A,FALSE,"SmPlants";#N/A,#N/A,FALSE,"Utah";#N/A,#N/A,FALSE,"Idaho";#N/A,#N/A,FALSE,"Lewis River";#N/A,#N/A,FALSE,"NrthUmpq";#N/A,#N/A,FALSE,"KlamRog"}</definedName>
    <definedName name="____________OM1_3" localSheetId="28" hidden="1">{#N/A,#N/A,FALSE,"Summary";#N/A,#N/A,FALSE,"SmPlants";#N/A,#N/A,FALSE,"Utah";#N/A,#N/A,FALSE,"Idaho";#N/A,#N/A,FALSE,"Lewis River";#N/A,#N/A,FALSE,"NrthUmpq";#N/A,#N/A,FALSE,"KlamRog"}</definedName>
    <definedName name="____________OM1_3" localSheetId="29" hidden="1">{#N/A,#N/A,FALSE,"Summary";#N/A,#N/A,FALSE,"SmPlants";#N/A,#N/A,FALSE,"Utah";#N/A,#N/A,FALSE,"Idaho";#N/A,#N/A,FALSE,"Lewis River";#N/A,#N/A,FALSE,"NrthUmpq";#N/A,#N/A,FALSE,"KlamRog"}</definedName>
    <definedName name="____________OM1_3" localSheetId="30" hidden="1">{#N/A,#N/A,FALSE,"Summary";#N/A,#N/A,FALSE,"SmPlants";#N/A,#N/A,FALSE,"Utah";#N/A,#N/A,FALSE,"Idaho";#N/A,#N/A,FALSE,"Lewis River";#N/A,#N/A,FALSE,"NrthUmpq";#N/A,#N/A,FALSE,"KlamRog"}</definedName>
    <definedName name="_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_OM1_3" localSheetId="37" hidden="1">{#N/A,#N/A,FALSE,"Summary";#N/A,#N/A,FALSE,"SmPlants";#N/A,#N/A,FALSE,"Utah";#N/A,#N/A,FALSE,"Idaho";#N/A,#N/A,FALSE,"Lewis River";#N/A,#N/A,FALSE,"NrthUmpq";#N/A,#N/A,FALSE,"KlamRog"}</definedName>
    <definedName name="____________OM1_3" localSheetId="41" hidden="1">{#N/A,#N/A,FALSE,"Summary";#N/A,#N/A,FALSE,"SmPlants";#N/A,#N/A,FALSE,"Utah";#N/A,#N/A,FALSE,"Idaho";#N/A,#N/A,FALSE,"Lewis River";#N/A,#N/A,FALSE,"NrthUmpq";#N/A,#N/A,FALSE,"KlamRog"}</definedName>
    <definedName name="_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_OM1_3" localSheetId="0" hidden="1">{#N/A,#N/A,FALSE,"Summary";#N/A,#N/A,FALSE,"SmPlants";#N/A,#N/A,FALSE,"Utah";#N/A,#N/A,FALSE,"Idaho";#N/A,#N/A,FALSE,"Lewis River";#N/A,#N/A,FALSE,"NrthUmpq";#N/A,#N/A,FALSE,"KlamRog"}</definedName>
    <definedName name="____________OM1_3" hidden="1">{#N/A,#N/A,FALSE,"Summary";#N/A,#N/A,FALSE,"SmPlants";#N/A,#N/A,FALSE,"Utah";#N/A,#N/A,FALSE,"Idaho";#N/A,#N/A,FALSE,"Lewis River";#N/A,#N/A,FALSE,"NrthUmpq";#N/A,#N/A,FALSE,"KlamRog"}</definedName>
    <definedName name="____________OM1_4" localSheetId="1" hidden="1">{#N/A,#N/A,FALSE,"Summary";#N/A,#N/A,FALSE,"SmPlants";#N/A,#N/A,FALSE,"Utah";#N/A,#N/A,FALSE,"Idaho";#N/A,#N/A,FALSE,"Lewis River";#N/A,#N/A,FALSE,"NrthUmpq";#N/A,#N/A,FALSE,"KlamRog"}</definedName>
    <definedName name="____________OM1_4" localSheetId="3" hidden="1">{#N/A,#N/A,FALSE,"Summary";#N/A,#N/A,FALSE,"SmPlants";#N/A,#N/A,FALSE,"Utah";#N/A,#N/A,FALSE,"Idaho";#N/A,#N/A,FALSE,"Lewis River";#N/A,#N/A,FALSE,"NrthUmpq";#N/A,#N/A,FALSE,"KlamRog"}</definedName>
    <definedName name="____________OM1_4" localSheetId="4" hidden="1">{#N/A,#N/A,FALSE,"Summary";#N/A,#N/A,FALSE,"SmPlants";#N/A,#N/A,FALSE,"Utah";#N/A,#N/A,FALSE,"Idaho";#N/A,#N/A,FALSE,"Lewis River";#N/A,#N/A,FALSE,"NrthUmpq";#N/A,#N/A,FALSE,"KlamRog"}</definedName>
    <definedName name="____________OM1_4" localSheetId="18" hidden="1">{#N/A,#N/A,FALSE,"Summary";#N/A,#N/A,FALSE,"SmPlants";#N/A,#N/A,FALSE,"Utah";#N/A,#N/A,FALSE,"Idaho";#N/A,#N/A,FALSE,"Lewis River";#N/A,#N/A,FALSE,"NrthUmpq";#N/A,#N/A,FALSE,"KlamRog"}</definedName>
    <definedName name="_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_OM1_4" localSheetId="20" hidden="1">{#N/A,#N/A,FALSE,"Summary";#N/A,#N/A,FALSE,"SmPlants";#N/A,#N/A,FALSE,"Utah";#N/A,#N/A,FALSE,"Idaho";#N/A,#N/A,FALSE,"Lewis River";#N/A,#N/A,FALSE,"NrthUmpq";#N/A,#N/A,FALSE,"KlamRog"}</definedName>
    <definedName name="____________OM1_4" localSheetId="21" hidden="1">{#N/A,#N/A,FALSE,"Summary";#N/A,#N/A,FALSE,"SmPlants";#N/A,#N/A,FALSE,"Utah";#N/A,#N/A,FALSE,"Idaho";#N/A,#N/A,FALSE,"Lewis River";#N/A,#N/A,FALSE,"NrthUmpq";#N/A,#N/A,FALSE,"KlamRog"}</definedName>
    <definedName name="_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_OM1_4" localSheetId="27" hidden="1">{#N/A,#N/A,FALSE,"Summary";#N/A,#N/A,FALSE,"SmPlants";#N/A,#N/A,FALSE,"Utah";#N/A,#N/A,FALSE,"Idaho";#N/A,#N/A,FALSE,"Lewis River";#N/A,#N/A,FALSE,"NrthUmpq";#N/A,#N/A,FALSE,"KlamRog"}</definedName>
    <definedName name="____________OM1_4" localSheetId="28" hidden="1">{#N/A,#N/A,FALSE,"Summary";#N/A,#N/A,FALSE,"SmPlants";#N/A,#N/A,FALSE,"Utah";#N/A,#N/A,FALSE,"Idaho";#N/A,#N/A,FALSE,"Lewis River";#N/A,#N/A,FALSE,"NrthUmpq";#N/A,#N/A,FALSE,"KlamRog"}</definedName>
    <definedName name="____________OM1_4" localSheetId="29" hidden="1">{#N/A,#N/A,FALSE,"Summary";#N/A,#N/A,FALSE,"SmPlants";#N/A,#N/A,FALSE,"Utah";#N/A,#N/A,FALSE,"Idaho";#N/A,#N/A,FALSE,"Lewis River";#N/A,#N/A,FALSE,"NrthUmpq";#N/A,#N/A,FALSE,"KlamRog"}</definedName>
    <definedName name="____________OM1_4" localSheetId="30" hidden="1">{#N/A,#N/A,FALSE,"Summary";#N/A,#N/A,FALSE,"SmPlants";#N/A,#N/A,FALSE,"Utah";#N/A,#N/A,FALSE,"Idaho";#N/A,#N/A,FALSE,"Lewis River";#N/A,#N/A,FALSE,"NrthUmpq";#N/A,#N/A,FALSE,"KlamRog"}</definedName>
    <definedName name="_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_OM1_4" localSheetId="37" hidden="1">{#N/A,#N/A,FALSE,"Summary";#N/A,#N/A,FALSE,"SmPlants";#N/A,#N/A,FALSE,"Utah";#N/A,#N/A,FALSE,"Idaho";#N/A,#N/A,FALSE,"Lewis River";#N/A,#N/A,FALSE,"NrthUmpq";#N/A,#N/A,FALSE,"KlamRog"}</definedName>
    <definedName name="____________OM1_4" localSheetId="41" hidden="1">{#N/A,#N/A,FALSE,"Summary";#N/A,#N/A,FALSE,"SmPlants";#N/A,#N/A,FALSE,"Utah";#N/A,#N/A,FALSE,"Idaho";#N/A,#N/A,FALSE,"Lewis River";#N/A,#N/A,FALSE,"NrthUmpq";#N/A,#N/A,FALSE,"KlamRog"}</definedName>
    <definedName name="_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_OM1_4" localSheetId="0" hidden="1">{#N/A,#N/A,FALSE,"Summary";#N/A,#N/A,FALSE,"SmPlants";#N/A,#N/A,FALSE,"Utah";#N/A,#N/A,FALSE,"Idaho";#N/A,#N/A,FALSE,"Lewis River";#N/A,#N/A,FALSE,"NrthUmpq";#N/A,#N/A,FALSE,"KlamRog"}</definedName>
    <definedName name="____________OM1_4" hidden="1">{#N/A,#N/A,FALSE,"Summary";#N/A,#N/A,FALSE,"SmPlants";#N/A,#N/A,FALSE,"Utah";#N/A,#N/A,FALSE,"Idaho";#N/A,#N/A,FALSE,"Lewis River";#N/A,#N/A,FALSE,"NrthUmpq";#N/A,#N/A,FALSE,"KlamRog"}</definedName>
    <definedName name="____________OM1_5" localSheetId="1" hidden="1">{#N/A,#N/A,FALSE,"Summary";#N/A,#N/A,FALSE,"SmPlants";#N/A,#N/A,FALSE,"Utah";#N/A,#N/A,FALSE,"Idaho";#N/A,#N/A,FALSE,"Lewis River";#N/A,#N/A,FALSE,"NrthUmpq";#N/A,#N/A,FALSE,"KlamRog"}</definedName>
    <definedName name="____________OM1_5" localSheetId="3" hidden="1">{#N/A,#N/A,FALSE,"Summary";#N/A,#N/A,FALSE,"SmPlants";#N/A,#N/A,FALSE,"Utah";#N/A,#N/A,FALSE,"Idaho";#N/A,#N/A,FALSE,"Lewis River";#N/A,#N/A,FALSE,"NrthUmpq";#N/A,#N/A,FALSE,"KlamRog"}</definedName>
    <definedName name="____________OM1_5" localSheetId="4" hidden="1">{#N/A,#N/A,FALSE,"Summary";#N/A,#N/A,FALSE,"SmPlants";#N/A,#N/A,FALSE,"Utah";#N/A,#N/A,FALSE,"Idaho";#N/A,#N/A,FALSE,"Lewis River";#N/A,#N/A,FALSE,"NrthUmpq";#N/A,#N/A,FALSE,"KlamRog"}</definedName>
    <definedName name="____________OM1_5" localSheetId="18" hidden="1">{#N/A,#N/A,FALSE,"Summary";#N/A,#N/A,FALSE,"SmPlants";#N/A,#N/A,FALSE,"Utah";#N/A,#N/A,FALSE,"Idaho";#N/A,#N/A,FALSE,"Lewis River";#N/A,#N/A,FALSE,"NrthUmpq";#N/A,#N/A,FALSE,"KlamRog"}</definedName>
    <definedName name="_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_OM1_5" localSheetId="20" hidden="1">{#N/A,#N/A,FALSE,"Summary";#N/A,#N/A,FALSE,"SmPlants";#N/A,#N/A,FALSE,"Utah";#N/A,#N/A,FALSE,"Idaho";#N/A,#N/A,FALSE,"Lewis River";#N/A,#N/A,FALSE,"NrthUmpq";#N/A,#N/A,FALSE,"KlamRog"}</definedName>
    <definedName name="____________OM1_5" localSheetId="21" hidden="1">{#N/A,#N/A,FALSE,"Summary";#N/A,#N/A,FALSE,"SmPlants";#N/A,#N/A,FALSE,"Utah";#N/A,#N/A,FALSE,"Idaho";#N/A,#N/A,FALSE,"Lewis River";#N/A,#N/A,FALSE,"NrthUmpq";#N/A,#N/A,FALSE,"KlamRog"}</definedName>
    <definedName name="_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_OM1_5" localSheetId="27" hidden="1">{#N/A,#N/A,FALSE,"Summary";#N/A,#N/A,FALSE,"SmPlants";#N/A,#N/A,FALSE,"Utah";#N/A,#N/A,FALSE,"Idaho";#N/A,#N/A,FALSE,"Lewis River";#N/A,#N/A,FALSE,"NrthUmpq";#N/A,#N/A,FALSE,"KlamRog"}</definedName>
    <definedName name="____________OM1_5" localSheetId="28" hidden="1">{#N/A,#N/A,FALSE,"Summary";#N/A,#N/A,FALSE,"SmPlants";#N/A,#N/A,FALSE,"Utah";#N/A,#N/A,FALSE,"Idaho";#N/A,#N/A,FALSE,"Lewis River";#N/A,#N/A,FALSE,"NrthUmpq";#N/A,#N/A,FALSE,"KlamRog"}</definedName>
    <definedName name="____________OM1_5" localSheetId="29" hidden="1">{#N/A,#N/A,FALSE,"Summary";#N/A,#N/A,FALSE,"SmPlants";#N/A,#N/A,FALSE,"Utah";#N/A,#N/A,FALSE,"Idaho";#N/A,#N/A,FALSE,"Lewis River";#N/A,#N/A,FALSE,"NrthUmpq";#N/A,#N/A,FALSE,"KlamRog"}</definedName>
    <definedName name="____________OM1_5" localSheetId="30" hidden="1">{#N/A,#N/A,FALSE,"Summary";#N/A,#N/A,FALSE,"SmPlants";#N/A,#N/A,FALSE,"Utah";#N/A,#N/A,FALSE,"Idaho";#N/A,#N/A,FALSE,"Lewis River";#N/A,#N/A,FALSE,"NrthUmpq";#N/A,#N/A,FALSE,"KlamRog"}</definedName>
    <definedName name="_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_OM1_5" localSheetId="37" hidden="1">{#N/A,#N/A,FALSE,"Summary";#N/A,#N/A,FALSE,"SmPlants";#N/A,#N/A,FALSE,"Utah";#N/A,#N/A,FALSE,"Idaho";#N/A,#N/A,FALSE,"Lewis River";#N/A,#N/A,FALSE,"NrthUmpq";#N/A,#N/A,FALSE,"KlamRog"}</definedName>
    <definedName name="____________OM1_5" localSheetId="41" hidden="1">{#N/A,#N/A,FALSE,"Summary";#N/A,#N/A,FALSE,"SmPlants";#N/A,#N/A,FALSE,"Utah";#N/A,#N/A,FALSE,"Idaho";#N/A,#N/A,FALSE,"Lewis River";#N/A,#N/A,FALSE,"NrthUmpq";#N/A,#N/A,FALSE,"KlamRog"}</definedName>
    <definedName name="_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_OM1_5" localSheetId="0" hidden="1">{#N/A,#N/A,FALSE,"Summary";#N/A,#N/A,FALSE,"SmPlants";#N/A,#N/A,FALSE,"Utah";#N/A,#N/A,FALSE,"Idaho";#N/A,#N/A,FALSE,"Lewis River";#N/A,#N/A,FALSE,"NrthUmpq";#N/A,#N/A,FALSE,"KlamRog"}</definedName>
    <definedName name="____________OM1_5" hidden="1">{#N/A,#N/A,FALSE,"Summary";#N/A,#N/A,FALSE,"SmPlants";#N/A,#N/A,FALSE,"Utah";#N/A,#N/A,FALSE,"Idaho";#N/A,#N/A,FALSE,"Lewis River";#N/A,#N/A,FALSE,"NrthUmpq";#N/A,#N/A,FALSE,"KlamRog"}</definedName>
    <definedName name="___________OM1" localSheetId="1" hidden="1">{#N/A,#N/A,FALSE,"Summary";#N/A,#N/A,FALSE,"SmPlants";#N/A,#N/A,FALSE,"Utah";#N/A,#N/A,FALSE,"Idaho";#N/A,#N/A,FALSE,"Lewis River";#N/A,#N/A,FALSE,"NrthUmpq";#N/A,#N/A,FALSE,"KlamRog"}</definedName>
    <definedName name="___________OM1" localSheetId="3" hidden="1">{#N/A,#N/A,FALSE,"Summary";#N/A,#N/A,FALSE,"SmPlants";#N/A,#N/A,FALSE,"Utah";#N/A,#N/A,FALSE,"Idaho";#N/A,#N/A,FALSE,"Lewis River";#N/A,#N/A,FALSE,"NrthUmpq";#N/A,#N/A,FALSE,"KlamRog"}</definedName>
    <definedName name="___________OM1" localSheetId="4" hidden="1">{#N/A,#N/A,FALSE,"Summary";#N/A,#N/A,FALSE,"SmPlants";#N/A,#N/A,FALSE,"Utah";#N/A,#N/A,FALSE,"Idaho";#N/A,#N/A,FALSE,"Lewis River";#N/A,#N/A,FALSE,"NrthUmpq";#N/A,#N/A,FALSE,"KlamRog"}</definedName>
    <definedName name="___________OM1" localSheetId="18" hidden="1">{#N/A,#N/A,FALSE,"Summary";#N/A,#N/A,FALSE,"SmPlants";#N/A,#N/A,FALSE,"Utah";#N/A,#N/A,FALSE,"Idaho";#N/A,#N/A,FALSE,"Lewis River";#N/A,#N/A,FALSE,"NrthUmpq";#N/A,#N/A,FALSE,"KlamRog"}</definedName>
    <definedName name="___________OM1" localSheetId="19" hidden="1">{#N/A,#N/A,FALSE,"Summary";#N/A,#N/A,FALSE,"SmPlants";#N/A,#N/A,FALSE,"Utah";#N/A,#N/A,FALSE,"Idaho";#N/A,#N/A,FALSE,"Lewis River";#N/A,#N/A,FALSE,"NrthUmpq";#N/A,#N/A,FALSE,"KlamRog"}</definedName>
    <definedName name="___________OM1" localSheetId="20" hidden="1">{#N/A,#N/A,FALSE,"Summary";#N/A,#N/A,FALSE,"SmPlants";#N/A,#N/A,FALSE,"Utah";#N/A,#N/A,FALSE,"Idaho";#N/A,#N/A,FALSE,"Lewis River";#N/A,#N/A,FALSE,"NrthUmpq";#N/A,#N/A,FALSE,"KlamRog"}</definedName>
    <definedName name="___________OM1" localSheetId="21" hidden="1">{#N/A,#N/A,FALSE,"Summary";#N/A,#N/A,FALSE,"SmPlants";#N/A,#N/A,FALSE,"Utah";#N/A,#N/A,FALSE,"Idaho";#N/A,#N/A,FALSE,"Lewis River";#N/A,#N/A,FALSE,"NrthUmpq";#N/A,#N/A,FALSE,"KlamRog"}</definedName>
    <definedName name="___________OM1" localSheetId="24" hidden="1">{#N/A,#N/A,FALSE,"Summary";#N/A,#N/A,FALSE,"SmPlants";#N/A,#N/A,FALSE,"Utah";#N/A,#N/A,FALSE,"Idaho";#N/A,#N/A,FALSE,"Lewis River";#N/A,#N/A,FALSE,"NrthUmpq";#N/A,#N/A,FALSE,"KlamRog"}</definedName>
    <definedName name="___________OM1" localSheetId="27" hidden="1">{#N/A,#N/A,FALSE,"Summary";#N/A,#N/A,FALSE,"SmPlants";#N/A,#N/A,FALSE,"Utah";#N/A,#N/A,FALSE,"Idaho";#N/A,#N/A,FALSE,"Lewis River";#N/A,#N/A,FALSE,"NrthUmpq";#N/A,#N/A,FALSE,"KlamRog"}</definedName>
    <definedName name="___________OM1" localSheetId="28" hidden="1">{#N/A,#N/A,FALSE,"Summary";#N/A,#N/A,FALSE,"SmPlants";#N/A,#N/A,FALSE,"Utah";#N/A,#N/A,FALSE,"Idaho";#N/A,#N/A,FALSE,"Lewis River";#N/A,#N/A,FALSE,"NrthUmpq";#N/A,#N/A,FALSE,"KlamRog"}</definedName>
    <definedName name="___________OM1" localSheetId="29" hidden="1">{#N/A,#N/A,FALSE,"Summary";#N/A,#N/A,FALSE,"SmPlants";#N/A,#N/A,FALSE,"Utah";#N/A,#N/A,FALSE,"Idaho";#N/A,#N/A,FALSE,"Lewis River";#N/A,#N/A,FALSE,"NrthUmpq";#N/A,#N/A,FALSE,"KlamRog"}</definedName>
    <definedName name="___________OM1" localSheetId="30" hidden="1">{#N/A,#N/A,FALSE,"Summary";#N/A,#N/A,FALSE,"SmPlants";#N/A,#N/A,FALSE,"Utah";#N/A,#N/A,FALSE,"Idaho";#N/A,#N/A,FALSE,"Lewis River";#N/A,#N/A,FALSE,"NrthUmpq";#N/A,#N/A,FALSE,"KlamRog"}</definedName>
    <definedName name="___________OM1" localSheetId="31" hidden="1">{#N/A,#N/A,FALSE,"Summary";#N/A,#N/A,FALSE,"SmPlants";#N/A,#N/A,FALSE,"Utah";#N/A,#N/A,FALSE,"Idaho";#N/A,#N/A,FALSE,"Lewis River";#N/A,#N/A,FALSE,"NrthUmpq";#N/A,#N/A,FALSE,"KlamRog"}</definedName>
    <definedName name="___________OM1" localSheetId="37" hidden="1">{#N/A,#N/A,FALSE,"Summary";#N/A,#N/A,FALSE,"SmPlants";#N/A,#N/A,FALSE,"Utah";#N/A,#N/A,FALSE,"Idaho";#N/A,#N/A,FALSE,"Lewis River";#N/A,#N/A,FALSE,"NrthUmpq";#N/A,#N/A,FALSE,"KlamRog"}</definedName>
    <definedName name="___________OM1" localSheetId="41" hidden="1">{#N/A,#N/A,FALSE,"Summary";#N/A,#N/A,FALSE,"SmPlants";#N/A,#N/A,FALSE,"Utah";#N/A,#N/A,FALSE,"Idaho";#N/A,#N/A,FALSE,"Lewis River";#N/A,#N/A,FALSE,"NrthUmpq";#N/A,#N/A,FALSE,"KlamRog"}</definedName>
    <definedName name="___________OM1" localSheetId="42" hidden="1">{#N/A,#N/A,FALSE,"Summary";#N/A,#N/A,FALSE,"SmPlants";#N/A,#N/A,FALSE,"Utah";#N/A,#N/A,FALSE,"Idaho";#N/A,#N/A,FALSE,"Lewis River";#N/A,#N/A,FALSE,"NrthUmpq";#N/A,#N/A,FALSE,"KlamRog"}</definedName>
    <definedName name="___________OM1" localSheetId="0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OM1_1" localSheetId="1" hidden="1">{#N/A,#N/A,FALSE,"Summary";#N/A,#N/A,FALSE,"SmPlants";#N/A,#N/A,FALSE,"Utah";#N/A,#N/A,FALSE,"Idaho";#N/A,#N/A,FALSE,"Lewis River";#N/A,#N/A,FALSE,"NrthUmpq";#N/A,#N/A,FALSE,"KlamRog"}</definedName>
    <definedName name="___________OM1_1" localSheetId="3" hidden="1">{#N/A,#N/A,FALSE,"Summary";#N/A,#N/A,FALSE,"SmPlants";#N/A,#N/A,FALSE,"Utah";#N/A,#N/A,FALSE,"Idaho";#N/A,#N/A,FALSE,"Lewis River";#N/A,#N/A,FALSE,"NrthUmpq";#N/A,#N/A,FALSE,"KlamRog"}</definedName>
    <definedName name="___________OM1_1" localSheetId="4" hidden="1">{#N/A,#N/A,FALSE,"Summary";#N/A,#N/A,FALSE,"SmPlants";#N/A,#N/A,FALSE,"Utah";#N/A,#N/A,FALSE,"Idaho";#N/A,#N/A,FALSE,"Lewis River";#N/A,#N/A,FALSE,"NrthUmpq";#N/A,#N/A,FALSE,"KlamRog"}</definedName>
    <definedName name="___________OM1_1" localSheetId="18" hidden="1">{#N/A,#N/A,FALSE,"Summary";#N/A,#N/A,FALSE,"SmPlants";#N/A,#N/A,FALSE,"Utah";#N/A,#N/A,FALSE,"Idaho";#N/A,#N/A,FALSE,"Lewis River";#N/A,#N/A,FALSE,"NrthUmpq";#N/A,#N/A,FALSE,"KlamRog"}</definedName>
    <definedName name="___________OM1_1" localSheetId="19" hidden="1">{#N/A,#N/A,FALSE,"Summary";#N/A,#N/A,FALSE,"SmPlants";#N/A,#N/A,FALSE,"Utah";#N/A,#N/A,FALSE,"Idaho";#N/A,#N/A,FALSE,"Lewis River";#N/A,#N/A,FALSE,"NrthUmpq";#N/A,#N/A,FALSE,"KlamRog"}</definedName>
    <definedName name="___________OM1_1" localSheetId="20" hidden="1">{#N/A,#N/A,FALSE,"Summary";#N/A,#N/A,FALSE,"SmPlants";#N/A,#N/A,FALSE,"Utah";#N/A,#N/A,FALSE,"Idaho";#N/A,#N/A,FALSE,"Lewis River";#N/A,#N/A,FALSE,"NrthUmpq";#N/A,#N/A,FALSE,"KlamRog"}</definedName>
    <definedName name="___________OM1_1" localSheetId="21" hidden="1">{#N/A,#N/A,FALSE,"Summary";#N/A,#N/A,FALSE,"SmPlants";#N/A,#N/A,FALSE,"Utah";#N/A,#N/A,FALSE,"Idaho";#N/A,#N/A,FALSE,"Lewis River";#N/A,#N/A,FALSE,"NrthUmpq";#N/A,#N/A,FALSE,"KlamRog"}</definedName>
    <definedName name="___________OM1_1" localSheetId="24" hidden="1">{#N/A,#N/A,FALSE,"Summary";#N/A,#N/A,FALSE,"SmPlants";#N/A,#N/A,FALSE,"Utah";#N/A,#N/A,FALSE,"Idaho";#N/A,#N/A,FALSE,"Lewis River";#N/A,#N/A,FALSE,"NrthUmpq";#N/A,#N/A,FALSE,"KlamRog"}</definedName>
    <definedName name="___________OM1_1" localSheetId="27" hidden="1">{#N/A,#N/A,FALSE,"Summary";#N/A,#N/A,FALSE,"SmPlants";#N/A,#N/A,FALSE,"Utah";#N/A,#N/A,FALSE,"Idaho";#N/A,#N/A,FALSE,"Lewis River";#N/A,#N/A,FALSE,"NrthUmpq";#N/A,#N/A,FALSE,"KlamRog"}</definedName>
    <definedName name="___________OM1_1" localSheetId="28" hidden="1">{#N/A,#N/A,FALSE,"Summary";#N/A,#N/A,FALSE,"SmPlants";#N/A,#N/A,FALSE,"Utah";#N/A,#N/A,FALSE,"Idaho";#N/A,#N/A,FALSE,"Lewis River";#N/A,#N/A,FALSE,"NrthUmpq";#N/A,#N/A,FALSE,"KlamRog"}</definedName>
    <definedName name="___________OM1_1" localSheetId="29" hidden="1">{#N/A,#N/A,FALSE,"Summary";#N/A,#N/A,FALSE,"SmPlants";#N/A,#N/A,FALSE,"Utah";#N/A,#N/A,FALSE,"Idaho";#N/A,#N/A,FALSE,"Lewis River";#N/A,#N/A,FALSE,"NrthUmpq";#N/A,#N/A,FALSE,"KlamRog"}</definedName>
    <definedName name="___________OM1_1" localSheetId="30" hidden="1">{#N/A,#N/A,FALSE,"Summary";#N/A,#N/A,FALSE,"SmPlants";#N/A,#N/A,FALSE,"Utah";#N/A,#N/A,FALSE,"Idaho";#N/A,#N/A,FALSE,"Lewis River";#N/A,#N/A,FALSE,"NrthUmpq";#N/A,#N/A,FALSE,"KlamRog"}</definedName>
    <definedName name="___________OM1_1" localSheetId="31" hidden="1">{#N/A,#N/A,FALSE,"Summary";#N/A,#N/A,FALSE,"SmPlants";#N/A,#N/A,FALSE,"Utah";#N/A,#N/A,FALSE,"Idaho";#N/A,#N/A,FALSE,"Lewis River";#N/A,#N/A,FALSE,"NrthUmpq";#N/A,#N/A,FALSE,"KlamRog"}</definedName>
    <definedName name="___________OM1_1" localSheetId="37" hidden="1">{#N/A,#N/A,FALSE,"Summary";#N/A,#N/A,FALSE,"SmPlants";#N/A,#N/A,FALSE,"Utah";#N/A,#N/A,FALSE,"Idaho";#N/A,#N/A,FALSE,"Lewis River";#N/A,#N/A,FALSE,"NrthUmpq";#N/A,#N/A,FALSE,"KlamRog"}</definedName>
    <definedName name="___________OM1_1" localSheetId="41" hidden="1">{#N/A,#N/A,FALSE,"Summary";#N/A,#N/A,FALSE,"SmPlants";#N/A,#N/A,FALSE,"Utah";#N/A,#N/A,FALSE,"Idaho";#N/A,#N/A,FALSE,"Lewis River";#N/A,#N/A,FALSE,"NrthUmpq";#N/A,#N/A,FALSE,"KlamRog"}</definedName>
    <definedName name="___________OM1_1" localSheetId="42" hidden="1">{#N/A,#N/A,FALSE,"Summary";#N/A,#N/A,FALSE,"SmPlants";#N/A,#N/A,FALSE,"Utah";#N/A,#N/A,FALSE,"Idaho";#N/A,#N/A,FALSE,"Lewis River";#N/A,#N/A,FALSE,"NrthUmpq";#N/A,#N/A,FALSE,"KlamRog"}</definedName>
    <definedName name="___________OM1_1" localSheetId="0" hidden="1">{#N/A,#N/A,FALSE,"Summary";#N/A,#N/A,FALSE,"SmPlants";#N/A,#N/A,FALSE,"Utah";#N/A,#N/A,FALSE,"Idaho";#N/A,#N/A,FALSE,"Lewis River";#N/A,#N/A,FALSE,"NrthUmpq";#N/A,#N/A,FALSE,"KlamRog"}</definedName>
    <definedName name="___________OM1_1" hidden="1">{#N/A,#N/A,FALSE,"Summary";#N/A,#N/A,FALSE,"SmPlants";#N/A,#N/A,FALSE,"Utah";#N/A,#N/A,FALSE,"Idaho";#N/A,#N/A,FALSE,"Lewis River";#N/A,#N/A,FALSE,"NrthUmpq";#N/A,#N/A,FALSE,"KlamRog"}</definedName>
    <definedName name="___________OM1_2" localSheetId="1" hidden="1">{#N/A,#N/A,FALSE,"Summary";#N/A,#N/A,FALSE,"SmPlants";#N/A,#N/A,FALSE,"Utah";#N/A,#N/A,FALSE,"Idaho";#N/A,#N/A,FALSE,"Lewis River";#N/A,#N/A,FALSE,"NrthUmpq";#N/A,#N/A,FALSE,"KlamRog"}</definedName>
    <definedName name="___________OM1_2" localSheetId="3" hidden="1">{#N/A,#N/A,FALSE,"Summary";#N/A,#N/A,FALSE,"SmPlants";#N/A,#N/A,FALSE,"Utah";#N/A,#N/A,FALSE,"Idaho";#N/A,#N/A,FALSE,"Lewis River";#N/A,#N/A,FALSE,"NrthUmpq";#N/A,#N/A,FALSE,"KlamRog"}</definedName>
    <definedName name="___________OM1_2" localSheetId="4" hidden="1">{#N/A,#N/A,FALSE,"Summary";#N/A,#N/A,FALSE,"SmPlants";#N/A,#N/A,FALSE,"Utah";#N/A,#N/A,FALSE,"Idaho";#N/A,#N/A,FALSE,"Lewis River";#N/A,#N/A,FALSE,"NrthUmpq";#N/A,#N/A,FALSE,"KlamRog"}</definedName>
    <definedName name="___________OM1_2" localSheetId="18" hidden="1">{#N/A,#N/A,FALSE,"Summary";#N/A,#N/A,FALSE,"SmPlants";#N/A,#N/A,FALSE,"Utah";#N/A,#N/A,FALSE,"Idaho";#N/A,#N/A,FALSE,"Lewis River";#N/A,#N/A,FALSE,"NrthUmpq";#N/A,#N/A,FALSE,"KlamRog"}</definedName>
    <definedName name="___________OM1_2" localSheetId="19" hidden="1">{#N/A,#N/A,FALSE,"Summary";#N/A,#N/A,FALSE,"SmPlants";#N/A,#N/A,FALSE,"Utah";#N/A,#N/A,FALSE,"Idaho";#N/A,#N/A,FALSE,"Lewis River";#N/A,#N/A,FALSE,"NrthUmpq";#N/A,#N/A,FALSE,"KlamRog"}</definedName>
    <definedName name="___________OM1_2" localSheetId="20" hidden="1">{#N/A,#N/A,FALSE,"Summary";#N/A,#N/A,FALSE,"SmPlants";#N/A,#N/A,FALSE,"Utah";#N/A,#N/A,FALSE,"Idaho";#N/A,#N/A,FALSE,"Lewis River";#N/A,#N/A,FALSE,"NrthUmpq";#N/A,#N/A,FALSE,"KlamRog"}</definedName>
    <definedName name="___________OM1_2" localSheetId="21" hidden="1">{#N/A,#N/A,FALSE,"Summary";#N/A,#N/A,FALSE,"SmPlants";#N/A,#N/A,FALSE,"Utah";#N/A,#N/A,FALSE,"Idaho";#N/A,#N/A,FALSE,"Lewis River";#N/A,#N/A,FALSE,"NrthUmpq";#N/A,#N/A,FALSE,"KlamRog"}</definedName>
    <definedName name="___________OM1_2" localSheetId="24" hidden="1">{#N/A,#N/A,FALSE,"Summary";#N/A,#N/A,FALSE,"SmPlants";#N/A,#N/A,FALSE,"Utah";#N/A,#N/A,FALSE,"Idaho";#N/A,#N/A,FALSE,"Lewis River";#N/A,#N/A,FALSE,"NrthUmpq";#N/A,#N/A,FALSE,"KlamRog"}</definedName>
    <definedName name="___________OM1_2" localSheetId="27" hidden="1">{#N/A,#N/A,FALSE,"Summary";#N/A,#N/A,FALSE,"SmPlants";#N/A,#N/A,FALSE,"Utah";#N/A,#N/A,FALSE,"Idaho";#N/A,#N/A,FALSE,"Lewis River";#N/A,#N/A,FALSE,"NrthUmpq";#N/A,#N/A,FALSE,"KlamRog"}</definedName>
    <definedName name="___________OM1_2" localSheetId="28" hidden="1">{#N/A,#N/A,FALSE,"Summary";#N/A,#N/A,FALSE,"SmPlants";#N/A,#N/A,FALSE,"Utah";#N/A,#N/A,FALSE,"Idaho";#N/A,#N/A,FALSE,"Lewis River";#N/A,#N/A,FALSE,"NrthUmpq";#N/A,#N/A,FALSE,"KlamRog"}</definedName>
    <definedName name="___________OM1_2" localSheetId="29" hidden="1">{#N/A,#N/A,FALSE,"Summary";#N/A,#N/A,FALSE,"SmPlants";#N/A,#N/A,FALSE,"Utah";#N/A,#N/A,FALSE,"Idaho";#N/A,#N/A,FALSE,"Lewis River";#N/A,#N/A,FALSE,"NrthUmpq";#N/A,#N/A,FALSE,"KlamRog"}</definedName>
    <definedName name="___________OM1_2" localSheetId="30" hidden="1">{#N/A,#N/A,FALSE,"Summary";#N/A,#N/A,FALSE,"SmPlants";#N/A,#N/A,FALSE,"Utah";#N/A,#N/A,FALSE,"Idaho";#N/A,#N/A,FALSE,"Lewis River";#N/A,#N/A,FALSE,"NrthUmpq";#N/A,#N/A,FALSE,"KlamRog"}</definedName>
    <definedName name="___________OM1_2" localSheetId="31" hidden="1">{#N/A,#N/A,FALSE,"Summary";#N/A,#N/A,FALSE,"SmPlants";#N/A,#N/A,FALSE,"Utah";#N/A,#N/A,FALSE,"Idaho";#N/A,#N/A,FALSE,"Lewis River";#N/A,#N/A,FALSE,"NrthUmpq";#N/A,#N/A,FALSE,"KlamRog"}</definedName>
    <definedName name="___________OM1_2" localSheetId="37" hidden="1">{#N/A,#N/A,FALSE,"Summary";#N/A,#N/A,FALSE,"SmPlants";#N/A,#N/A,FALSE,"Utah";#N/A,#N/A,FALSE,"Idaho";#N/A,#N/A,FALSE,"Lewis River";#N/A,#N/A,FALSE,"NrthUmpq";#N/A,#N/A,FALSE,"KlamRog"}</definedName>
    <definedName name="___________OM1_2" localSheetId="41" hidden="1">{#N/A,#N/A,FALSE,"Summary";#N/A,#N/A,FALSE,"SmPlants";#N/A,#N/A,FALSE,"Utah";#N/A,#N/A,FALSE,"Idaho";#N/A,#N/A,FALSE,"Lewis River";#N/A,#N/A,FALSE,"NrthUmpq";#N/A,#N/A,FALSE,"KlamRog"}</definedName>
    <definedName name="___________OM1_2" localSheetId="42" hidden="1">{#N/A,#N/A,FALSE,"Summary";#N/A,#N/A,FALSE,"SmPlants";#N/A,#N/A,FALSE,"Utah";#N/A,#N/A,FALSE,"Idaho";#N/A,#N/A,FALSE,"Lewis River";#N/A,#N/A,FALSE,"NrthUmpq";#N/A,#N/A,FALSE,"KlamRog"}</definedName>
    <definedName name="___________OM1_2" localSheetId="0" hidden="1">{#N/A,#N/A,FALSE,"Summary";#N/A,#N/A,FALSE,"SmPlants";#N/A,#N/A,FALSE,"Utah";#N/A,#N/A,FALSE,"Idaho";#N/A,#N/A,FALSE,"Lewis River";#N/A,#N/A,FALSE,"NrthUmpq";#N/A,#N/A,FALSE,"KlamRog"}</definedName>
    <definedName name="___________OM1_2" hidden="1">{#N/A,#N/A,FALSE,"Summary";#N/A,#N/A,FALSE,"SmPlants";#N/A,#N/A,FALSE,"Utah";#N/A,#N/A,FALSE,"Idaho";#N/A,#N/A,FALSE,"Lewis River";#N/A,#N/A,FALSE,"NrthUmpq";#N/A,#N/A,FALSE,"KlamRog"}</definedName>
    <definedName name="___________OM1_3" localSheetId="1" hidden="1">{#N/A,#N/A,FALSE,"Summary";#N/A,#N/A,FALSE,"SmPlants";#N/A,#N/A,FALSE,"Utah";#N/A,#N/A,FALSE,"Idaho";#N/A,#N/A,FALSE,"Lewis River";#N/A,#N/A,FALSE,"NrthUmpq";#N/A,#N/A,FALSE,"KlamRog"}</definedName>
    <definedName name="___________OM1_3" localSheetId="3" hidden="1">{#N/A,#N/A,FALSE,"Summary";#N/A,#N/A,FALSE,"SmPlants";#N/A,#N/A,FALSE,"Utah";#N/A,#N/A,FALSE,"Idaho";#N/A,#N/A,FALSE,"Lewis River";#N/A,#N/A,FALSE,"NrthUmpq";#N/A,#N/A,FALSE,"KlamRog"}</definedName>
    <definedName name="___________OM1_3" localSheetId="4" hidden="1">{#N/A,#N/A,FALSE,"Summary";#N/A,#N/A,FALSE,"SmPlants";#N/A,#N/A,FALSE,"Utah";#N/A,#N/A,FALSE,"Idaho";#N/A,#N/A,FALSE,"Lewis River";#N/A,#N/A,FALSE,"NrthUmpq";#N/A,#N/A,FALSE,"KlamRog"}</definedName>
    <definedName name="___________OM1_3" localSheetId="18" hidden="1">{#N/A,#N/A,FALSE,"Summary";#N/A,#N/A,FALSE,"SmPlants";#N/A,#N/A,FALSE,"Utah";#N/A,#N/A,FALSE,"Idaho";#N/A,#N/A,FALSE,"Lewis River";#N/A,#N/A,FALSE,"NrthUmpq";#N/A,#N/A,FALSE,"KlamRog"}</definedName>
    <definedName name="___________OM1_3" localSheetId="19" hidden="1">{#N/A,#N/A,FALSE,"Summary";#N/A,#N/A,FALSE,"SmPlants";#N/A,#N/A,FALSE,"Utah";#N/A,#N/A,FALSE,"Idaho";#N/A,#N/A,FALSE,"Lewis River";#N/A,#N/A,FALSE,"NrthUmpq";#N/A,#N/A,FALSE,"KlamRog"}</definedName>
    <definedName name="___________OM1_3" localSheetId="20" hidden="1">{#N/A,#N/A,FALSE,"Summary";#N/A,#N/A,FALSE,"SmPlants";#N/A,#N/A,FALSE,"Utah";#N/A,#N/A,FALSE,"Idaho";#N/A,#N/A,FALSE,"Lewis River";#N/A,#N/A,FALSE,"NrthUmpq";#N/A,#N/A,FALSE,"KlamRog"}</definedName>
    <definedName name="___________OM1_3" localSheetId="21" hidden="1">{#N/A,#N/A,FALSE,"Summary";#N/A,#N/A,FALSE,"SmPlants";#N/A,#N/A,FALSE,"Utah";#N/A,#N/A,FALSE,"Idaho";#N/A,#N/A,FALSE,"Lewis River";#N/A,#N/A,FALSE,"NrthUmpq";#N/A,#N/A,FALSE,"KlamRog"}</definedName>
    <definedName name="___________OM1_3" localSheetId="24" hidden="1">{#N/A,#N/A,FALSE,"Summary";#N/A,#N/A,FALSE,"SmPlants";#N/A,#N/A,FALSE,"Utah";#N/A,#N/A,FALSE,"Idaho";#N/A,#N/A,FALSE,"Lewis River";#N/A,#N/A,FALSE,"NrthUmpq";#N/A,#N/A,FALSE,"KlamRog"}</definedName>
    <definedName name="___________OM1_3" localSheetId="27" hidden="1">{#N/A,#N/A,FALSE,"Summary";#N/A,#N/A,FALSE,"SmPlants";#N/A,#N/A,FALSE,"Utah";#N/A,#N/A,FALSE,"Idaho";#N/A,#N/A,FALSE,"Lewis River";#N/A,#N/A,FALSE,"NrthUmpq";#N/A,#N/A,FALSE,"KlamRog"}</definedName>
    <definedName name="___________OM1_3" localSheetId="28" hidden="1">{#N/A,#N/A,FALSE,"Summary";#N/A,#N/A,FALSE,"SmPlants";#N/A,#N/A,FALSE,"Utah";#N/A,#N/A,FALSE,"Idaho";#N/A,#N/A,FALSE,"Lewis River";#N/A,#N/A,FALSE,"NrthUmpq";#N/A,#N/A,FALSE,"KlamRog"}</definedName>
    <definedName name="___________OM1_3" localSheetId="29" hidden="1">{#N/A,#N/A,FALSE,"Summary";#N/A,#N/A,FALSE,"SmPlants";#N/A,#N/A,FALSE,"Utah";#N/A,#N/A,FALSE,"Idaho";#N/A,#N/A,FALSE,"Lewis River";#N/A,#N/A,FALSE,"NrthUmpq";#N/A,#N/A,FALSE,"KlamRog"}</definedName>
    <definedName name="___________OM1_3" localSheetId="30" hidden="1">{#N/A,#N/A,FALSE,"Summary";#N/A,#N/A,FALSE,"SmPlants";#N/A,#N/A,FALSE,"Utah";#N/A,#N/A,FALSE,"Idaho";#N/A,#N/A,FALSE,"Lewis River";#N/A,#N/A,FALSE,"NrthUmpq";#N/A,#N/A,FALSE,"KlamRog"}</definedName>
    <definedName name="___________OM1_3" localSheetId="31" hidden="1">{#N/A,#N/A,FALSE,"Summary";#N/A,#N/A,FALSE,"SmPlants";#N/A,#N/A,FALSE,"Utah";#N/A,#N/A,FALSE,"Idaho";#N/A,#N/A,FALSE,"Lewis River";#N/A,#N/A,FALSE,"NrthUmpq";#N/A,#N/A,FALSE,"KlamRog"}</definedName>
    <definedName name="___________OM1_3" localSheetId="37" hidden="1">{#N/A,#N/A,FALSE,"Summary";#N/A,#N/A,FALSE,"SmPlants";#N/A,#N/A,FALSE,"Utah";#N/A,#N/A,FALSE,"Idaho";#N/A,#N/A,FALSE,"Lewis River";#N/A,#N/A,FALSE,"NrthUmpq";#N/A,#N/A,FALSE,"KlamRog"}</definedName>
    <definedName name="___________OM1_3" localSheetId="41" hidden="1">{#N/A,#N/A,FALSE,"Summary";#N/A,#N/A,FALSE,"SmPlants";#N/A,#N/A,FALSE,"Utah";#N/A,#N/A,FALSE,"Idaho";#N/A,#N/A,FALSE,"Lewis River";#N/A,#N/A,FALSE,"NrthUmpq";#N/A,#N/A,FALSE,"KlamRog"}</definedName>
    <definedName name="___________OM1_3" localSheetId="42" hidden="1">{#N/A,#N/A,FALSE,"Summary";#N/A,#N/A,FALSE,"SmPlants";#N/A,#N/A,FALSE,"Utah";#N/A,#N/A,FALSE,"Idaho";#N/A,#N/A,FALSE,"Lewis River";#N/A,#N/A,FALSE,"NrthUmpq";#N/A,#N/A,FALSE,"KlamRog"}</definedName>
    <definedName name="___________OM1_3" localSheetId="0" hidden="1">{#N/A,#N/A,FALSE,"Summary";#N/A,#N/A,FALSE,"SmPlants";#N/A,#N/A,FALSE,"Utah";#N/A,#N/A,FALSE,"Idaho";#N/A,#N/A,FALSE,"Lewis River";#N/A,#N/A,FALSE,"NrthUmpq";#N/A,#N/A,FALSE,"KlamRog"}</definedName>
    <definedName name="___________OM1_3" hidden="1">{#N/A,#N/A,FALSE,"Summary";#N/A,#N/A,FALSE,"SmPlants";#N/A,#N/A,FALSE,"Utah";#N/A,#N/A,FALSE,"Idaho";#N/A,#N/A,FALSE,"Lewis River";#N/A,#N/A,FALSE,"NrthUmpq";#N/A,#N/A,FALSE,"KlamRog"}</definedName>
    <definedName name="___________OM1_4" localSheetId="1" hidden="1">{#N/A,#N/A,FALSE,"Summary";#N/A,#N/A,FALSE,"SmPlants";#N/A,#N/A,FALSE,"Utah";#N/A,#N/A,FALSE,"Idaho";#N/A,#N/A,FALSE,"Lewis River";#N/A,#N/A,FALSE,"NrthUmpq";#N/A,#N/A,FALSE,"KlamRog"}</definedName>
    <definedName name="___________OM1_4" localSheetId="3" hidden="1">{#N/A,#N/A,FALSE,"Summary";#N/A,#N/A,FALSE,"SmPlants";#N/A,#N/A,FALSE,"Utah";#N/A,#N/A,FALSE,"Idaho";#N/A,#N/A,FALSE,"Lewis River";#N/A,#N/A,FALSE,"NrthUmpq";#N/A,#N/A,FALSE,"KlamRog"}</definedName>
    <definedName name="___________OM1_4" localSheetId="4" hidden="1">{#N/A,#N/A,FALSE,"Summary";#N/A,#N/A,FALSE,"SmPlants";#N/A,#N/A,FALSE,"Utah";#N/A,#N/A,FALSE,"Idaho";#N/A,#N/A,FALSE,"Lewis River";#N/A,#N/A,FALSE,"NrthUmpq";#N/A,#N/A,FALSE,"KlamRog"}</definedName>
    <definedName name="___________OM1_4" localSheetId="18" hidden="1">{#N/A,#N/A,FALSE,"Summary";#N/A,#N/A,FALSE,"SmPlants";#N/A,#N/A,FALSE,"Utah";#N/A,#N/A,FALSE,"Idaho";#N/A,#N/A,FALSE,"Lewis River";#N/A,#N/A,FALSE,"NrthUmpq";#N/A,#N/A,FALSE,"KlamRog"}</definedName>
    <definedName name="___________OM1_4" localSheetId="19" hidden="1">{#N/A,#N/A,FALSE,"Summary";#N/A,#N/A,FALSE,"SmPlants";#N/A,#N/A,FALSE,"Utah";#N/A,#N/A,FALSE,"Idaho";#N/A,#N/A,FALSE,"Lewis River";#N/A,#N/A,FALSE,"NrthUmpq";#N/A,#N/A,FALSE,"KlamRog"}</definedName>
    <definedName name="___________OM1_4" localSheetId="20" hidden="1">{#N/A,#N/A,FALSE,"Summary";#N/A,#N/A,FALSE,"SmPlants";#N/A,#N/A,FALSE,"Utah";#N/A,#N/A,FALSE,"Idaho";#N/A,#N/A,FALSE,"Lewis River";#N/A,#N/A,FALSE,"NrthUmpq";#N/A,#N/A,FALSE,"KlamRog"}</definedName>
    <definedName name="___________OM1_4" localSheetId="21" hidden="1">{#N/A,#N/A,FALSE,"Summary";#N/A,#N/A,FALSE,"SmPlants";#N/A,#N/A,FALSE,"Utah";#N/A,#N/A,FALSE,"Idaho";#N/A,#N/A,FALSE,"Lewis River";#N/A,#N/A,FALSE,"NrthUmpq";#N/A,#N/A,FALSE,"KlamRog"}</definedName>
    <definedName name="___________OM1_4" localSheetId="24" hidden="1">{#N/A,#N/A,FALSE,"Summary";#N/A,#N/A,FALSE,"SmPlants";#N/A,#N/A,FALSE,"Utah";#N/A,#N/A,FALSE,"Idaho";#N/A,#N/A,FALSE,"Lewis River";#N/A,#N/A,FALSE,"NrthUmpq";#N/A,#N/A,FALSE,"KlamRog"}</definedName>
    <definedName name="___________OM1_4" localSheetId="27" hidden="1">{#N/A,#N/A,FALSE,"Summary";#N/A,#N/A,FALSE,"SmPlants";#N/A,#N/A,FALSE,"Utah";#N/A,#N/A,FALSE,"Idaho";#N/A,#N/A,FALSE,"Lewis River";#N/A,#N/A,FALSE,"NrthUmpq";#N/A,#N/A,FALSE,"KlamRog"}</definedName>
    <definedName name="___________OM1_4" localSheetId="28" hidden="1">{#N/A,#N/A,FALSE,"Summary";#N/A,#N/A,FALSE,"SmPlants";#N/A,#N/A,FALSE,"Utah";#N/A,#N/A,FALSE,"Idaho";#N/A,#N/A,FALSE,"Lewis River";#N/A,#N/A,FALSE,"NrthUmpq";#N/A,#N/A,FALSE,"KlamRog"}</definedName>
    <definedName name="___________OM1_4" localSheetId="29" hidden="1">{#N/A,#N/A,FALSE,"Summary";#N/A,#N/A,FALSE,"SmPlants";#N/A,#N/A,FALSE,"Utah";#N/A,#N/A,FALSE,"Idaho";#N/A,#N/A,FALSE,"Lewis River";#N/A,#N/A,FALSE,"NrthUmpq";#N/A,#N/A,FALSE,"KlamRog"}</definedName>
    <definedName name="___________OM1_4" localSheetId="30" hidden="1">{#N/A,#N/A,FALSE,"Summary";#N/A,#N/A,FALSE,"SmPlants";#N/A,#N/A,FALSE,"Utah";#N/A,#N/A,FALSE,"Idaho";#N/A,#N/A,FALSE,"Lewis River";#N/A,#N/A,FALSE,"NrthUmpq";#N/A,#N/A,FALSE,"KlamRog"}</definedName>
    <definedName name="___________OM1_4" localSheetId="31" hidden="1">{#N/A,#N/A,FALSE,"Summary";#N/A,#N/A,FALSE,"SmPlants";#N/A,#N/A,FALSE,"Utah";#N/A,#N/A,FALSE,"Idaho";#N/A,#N/A,FALSE,"Lewis River";#N/A,#N/A,FALSE,"NrthUmpq";#N/A,#N/A,FALSE,"KlamRog"}</definedName>
    <definedName name="___________OM1_4" localSheetId="37" hidden="1">{#N/A,#N/A,FALSE,"Summary";#N/A,#N/A,FALSE,"SmPlants";#N/A,#N/A,FALSE,"Utah";#N/A,#N/A,FALSE,"Idaho";#N/A,#N/A,FALSE,"Lewis River";#N/A,#N/A,FALSE,"NrthUmpq";#N/A,#N/A,FALSE,"KlamRog"}</definedName>
    <definedName name="___________OM1_4" localSheetId="41" hidden="1">{#N/A,#N/A,FALSE,"Summary";#N/A,#N/A,FALSE,"SmPlants";#N/A,#N/A,FALSE,"Utah";#N/A,#N/A,FALSE,"Idaho";#N/A,#N/A,FALSE,"Lewis River";#N/A,#N/A,FALSE,"NrthUmpq";#N/A,#N/A,FALSE,"KlamRog"}</definedName>
    <definedName name="___________OM1_4" localSheetId="42" hidden="1">{#N/A,#N/A,FALSE,"Summary";#N/A,#N/A,FALSE,"SmPlants";#N/A,#N/A,FALSE,"Utah";#N/A,#N/A,FALSE,"Idaho";#N/A,#N/A,FALSE,"Lewis River";#N/A,#N/A,FALSE,"NrthUmpq";#N/A,#N/A,FALSE,"KlamRog"}</definedName>
    <definedName name="___________OM1_4" localSheetId="0" hidden="1">{#N/A,#N/A,FALSE,"Summary";#N/A,#N/A,FALSE,"SmPlants";#N/A,#N/A,FALSE,"Utah";#N/A,#N/A,FALSE,"Idaho";#N/A,#N/A,FALSE,"Lewis River";#N/A,#N/A,FALSE,"NrthUmpq";#N/A,#N/A,FALSE,"KlamRog"}</definedName>
    <definedName name="___________OM1_4" hidden="1">{#N/A,#N/A,FALSE,"Summary";#N/A,#N/A,FALSE,"SmPlants";#N/A,#N/A,FALSE,"Utah";#N/A,#N/A,FALSE,"Idaho";#N/A,#N/A,FALSE,"Lewis River";#N/A,#N/A,FALSE,"NrthUmpq";#N/A,#N/A,FALSE,"KlamRog"}</definedName>
    <definedName name="___________OM1_5" localSheetId="1" hidden="1">{#N/A,#N/A,FALSE,"Summary";#N/A,#N/A,FALSE,"SmPlants";#N/A,#N/A,FALSE,"Utah";#N/A,#N/A,FALSE,"Idaho";#N/A,#N/A,FALSE,"Lewis River";#N/A,#N/A,FALSE,"NrthUmpq";#N/A,#N/A,FALSE,"KlamRog"}</definedName>
    <definedName name="___________OM1_5" localSheetId="3" hidden="1">{#N/A,#N/A,FALSE,"Summary";#N/A,#N/A,FALSE,"SmPlants";#N/A,#N/A,FALSE,"Utah";#N/A,#N/A,FALSE,"Idaho";#N/A,#N/A,FALSE,"Lewis River";#N/A,#N/A,FALSE,"NrthUmpq";#N/A,#N/A,FALSE,"KlamRog"}</definedName>
    <definedName name="___________OM1_5" localSheetId="4" hidden="1">{#N/A,#N/A,FALSE,"Summary";#N/A,#N/A,FALSE,"SmPlants";#N/A,#N/A,FALSE,"Utah";#N/A,#N/A,FALSE,"Idaho";#N/A,#N/A,FALSE,"Lewis River";#N/A,#N/A,FALSE,"NrthUmpq";#N/A,#N/A,FALSE,"KlamRog"}</definedName>
    <definedName name="___________OM1_5" localSheetId="18" hidden="1">{#N/A,#N/A,FALSE,"Summary";#N/A,#N/A,FALSE,"SmPlants";#N/A,#N/A,FALSE,"Utah";#N/A,#N/A,FALSE,"Idaho";#N/A,#N/A,FALSE,"Lewis River";#N/A,#N/A,FALSE,"NrthUmpq";#N/A,#N/A,FALSE,"KlamRog"}</definedName>
    <definedName name="___________OM1_5" localSheetId="19" hidden="1">{#N/A,#N/A,FALSE,"Summary";#N/A,#N/A,FALSE,"SmPlants";#N/A,#N/A,FALSE,"Utah";#N/A,#N/A,FALSE,"Idaho";#N/A,#N/A,FALSE,"Lewis River";#N/A,#N/A,FALSE,"NrthUmpq";#N/A,#N/A,FALSE,"KlamRog"}</definedName>
    <definedName name="___________OM1_5" localSheetId="20" hidden="1">{#N/A,#N/A,FALSE,"Summary";#N/A,#N/A,FALSE,"SmPlants";#N/A,#N/A,FALSE,"Utah";#N/A,#N/A,FALSE,"Idaho";#N/A,#N/A,FALSE,"Lewis River";#N/A,#N/A,FALSE,"NrthUmpq";#N/A,#N/A,FALSE,"KlamRog"}</definedName>
    <definedName name="___________OM1_5" localSheetId="21" hidden="1">{#N/A,#N/A,FALSE,"Summary";#N/A,#N/A,FALSE,"SmPlants";#N/A,#N/A,FALSE,"Utah";#N/A,#N/A,FALSE,"Idaho";#N/A,#N/A,FALSE,"Lewis River";#N/A,#N/A,FALSE,"NrthUmpq";#N/A,#N/A,FALSE,"KlamRog"}</definedName>
    <definedName name="___________OM1_5" localSheetId="24" hidden="1">{#N/A,#N/A,FALSE,"Summary";#N/A,#N/A,FALSE,"SmPlants";#N/A,#N/A,FALSE,"Utah";#N/A,#N/A,FALSE,"Idaho";#N/A,#N/A,FALSE,"Lewis River";#N/A,#N/A,FALSE,"NrthUmpq";#N/A,#N/A,FALSE,"KlamRog"}</definedName>
    <definedName name="___________OM1_5" localSheetId="27" hidden="1">{#N/A,#N/A,FALSE,"Summary";#N/A,#N/A,FALSE,"SmPlants";#N/A,#N/A,FALSE,"Utah";#N/A,#N/A,FALSE,"Idaho";#N/A,#N/A,FALSE,"Lewis River";#N/A,#N/A,FALSE,"NrthUmpq";#N/A,#N/A,FALSE,"KlamRog"}</definedName>
    <definedName name="___________OM1_5" localSheetId="28" hidden="1">{#N/A,#N/A,FALSE,"Summary";#N/A,#N/A,FALSE,"SmPlants";#N/A,#N/A,FALSE,"Utah";#N/A,#N/A,FALSE,"Idaho";#N/A,#N/A,FALSE,"Lewis River";#N/A,#N/A,FALSE,"NrthUmpq";#N/A,#N/A,FALSE,"KlamRog"}</definedName>
    <definedName name="___________OM1_5" localSheetId="29" hidden="1">{#N/A,#N/A,FALSE,"Summary";#N/A,#N/A,FALSE,"SmPlants";#N/A,#N/A,FALSE,"Utah";#N/A,#N/A,FALSE,"Idaho";#N/A,#N/A,FALSE,"Lewis River";#N/A,#N/A,FALSE,"NrthUmpq";#N/A,#N/A,FALSE,"KlamRog"}</definedName>
    <definedName name="___________OM1_5" localSheetId="30" hidden="1">{#N/A,#N/A,FALSE,"Summary";#N/A,#N/A,FALSE,"SmPlants";#N/A,#N/A,FALSE,"Utah";#N/A,#N/A,FALSE,"Idaho";#N/A,#N/A,FALSE,"Lewis River";#N/A,#N/A,FALSE,"NrthUmpq";#N/A,#N/A,FALSE,"KlamRog"}</definedName>
    <definedName name="___________OM1_5" localSheetId="31" hidden="1">{#N/A,#N/A,FALSE,"Summary";#N/A,#N/A,FALSE,"SmPlants";#N/A,#N/A,FALSE,"Utah";#N/A,#N/A,FALSE,"Idaho";#N/A,#N/A,FALSE,"Lewis River";#N/A,#N/A,FALSE,"NrthUmpq";#N/A,#N/A,FALSE,"KlamRog"}</definedName>
    <definedName name="___________OM1_5" localSheetId="37" hidden="1">{#N/A,#N/A,FALSE,"Summary";#N/A,#N/A,FALSE,"SmPlants";#N/A,#N/A,FALSE,"Utah";#N/A,#N/A,FALSE,"Idaho";#N/A,#N/A,FALSE,"Lewis River";#N/A,#N/A,FALSE,"NrthUmpq";#N/A,#N/A,FALSE,"KlamRog"}</definedName>
    <definedName name="___________OM1_5" localSheetId="41" hidden="1">{#N/A,#N/A,FALSE,"Summary";#N/A,#N/A,FALSE,"SmPlants";#N/A,#N/A,FALSE,"Utah";#N/A,#N/A,FALSE,"Idaho";#N/A,#N/A,FALSE,"Lewis River";#N/A,#N/A,FALSE,"NrthUmpq";#N/A,#N/A,FALSE,"KlamRog"}</definedName>
    <definedName name="___________OM1_5" localSheetId="42" hidden="1">{#N/A,#N/A,FALSE,"Summary";#N/A,#N/A,FALSE,"SmPlants";#N/A,#N/A,FALSE,"Utah";#N/A,#N/A,FALSE,"Idaho";#N/A,#N/A,FALSE,"Lewis River";#N/A,#N/A,FALSE,"NrthUmpq";#N/A,#N/A,FALSE,"KlamRog"}</definedName>
    <definedName name="___________OM1_5" localSheetId="0" hidden="1">{#N/A,#N/A,FALSE,"Summary";#N/A,#N/A,FALSE,"SmPlants";#N/A,#N/A,FALSE,"Utah";#N/A,#N/A,FALSE,"Idaho";#N/A,#N/A,FALSE,"Lewis River";#N/A,#N/A,FALSE,"NrthUmpq";#N/A,#N/A,FALSE,"KlamRog"}</definedName>
    <definedName name="___________OM1_5" hidden="1">{#N/A,#N/A,FALSE,"Summary";#N/A,#N/A,FALSE,"SmPlants";#N/A,#N/A,FALSE,"Utah";#N/A,#N/A,FALSE,"Idaho";#N/A,#N/A,FALSE,"Lewis River";#N/A,#N/A,FALSE,"NrthUmpq";#N/A,#N/A,FALSE,"KlamRog"}</definedName>
    <definedName name="_________OM1" localSheetId="1" hidden="1">{#N/A,#N/A,FALSE,"Summary";#N/A,#N/A,FALSE,"SmPlants";#N/A,#N/A,FALSE,"Utah";#N/A,#N/A,FALSE,"Idaho";#N/A,#N/A,FALSE,"Lewis River";#N/A,#N/A,FALSE,"NrthUmpq";#N/A,#N/A,FALSE,"KlamRog"}</definedName>
    <definedName name="_________OM1" localSheetId="3" hidden="1">{#N/A,#N/A,FALSE,"Summary";#N/A,#N/A,FALSE,"SmPlants";#N/A,#N/A,FALSE,"Utah";#N/A,#N/A,FALSE,"Idaho";#N/A,#N/A,FALSE,"Lewis River";#N/A,#N/A,FALSE,"NrthUmpq";#N/A,#N/A,FALSE,"KlamRog"}</definedName>
    <definedName name="_________OM1" localSheetId="4" hidden="1">{#N/A,#N/A,FALSE,"Summary";#N/A,#N/A,FALSE,"SmPlants";#N/A,#N/A,FALSE,"Utah";#N/A,#N/A,FALSE,"Idaho";#N/A,#N/A,FALSE,"Lewis River";#N/A,#N/A,FALSE,"NrthUmpq";#N/A,#N/A,FALSE,"KlamRog"}</definedName>
    <definedName name="_________OM1" localSheetId="18" hidden="1">{#N/A,#N/A,FALSE,"Summary";#N/A,#N/A,FALSE,"SmPlants";#N/A,#N/A,FALSE,"Utah";#N/A,#N/A,FALSE,"Idaho";#N/A,#N/A,FALSE,"Lewis River";#N/A,#N/A,FALSE,"NrthUmpq";#N/A,#N/A,FALSE,"KlamRog"}</definedName>
    <definedName name="_________OM1" localSheetId="19" hidden="1">{#N/A,#N/A,FALSE,"Summary";#N/A,#N/A,FALSE,"SmPlants";#N/A,#N/A,FALSE,"Utah";#N/A,#N/A,FALSE,"Idaho";#N/A,#N/A,FALSE,"Lewis River";#N/A,#N/A,FALSE,"NrthUmpq";#N/A,#N/A,FALSE,"KlamRog"}</definedName>
    <definedName name="_________OM1" localSheetId="20" hidden="1">{#N/A,#N/A,FALSE,"Summary";#N/A,#N/A,FALSE,"SmPlants";#N/A,#N/A,FALSE,"Utah";#N/A,#N/A,FALSE,"Idaho";#N/A,#N/A,FALSE,"Lewis River";#N/A,#N/A,FALSE,"NrthUmpq";#N/A,#N/A,FALSE,"KlamRog"}</definedName>
    <definedName name="_________OM1" localSheetId="21" hidden="1">{#N/A,#N/A,FALSE,"Summary";#N/A,#N/A,FALSE,"SmPlants";#N/A,#N/A,FALSE,"Utah";#N/A,#N/A,FALSE,"Idaho";#N/A,#N/A,FALSE,"Lewis River";#N/A,#N/A,FALSE,"NrthUmpq";#N/A,#N/A,FALSE,"KlamRog"}</definedName>
    <definedName name="_________OM1" localSheetId="24" hidden="1">{#N/A,#N/A,FALSE,"Summary";#N/A,#N/A,FALSE,"SmPlants";#N/A,#N/A,FALSE,"Utah";#N/A,#N/A,FALSE,"Idaho";#N/A,#N/A,FALSE,"Lewis River";#N/A,#N/A,FALSE,"NrthUmpq";#N/A,#N/A,FALSE,"KlamRog"}</definedName>
    <definedName name="_________OM1" localSheetId="27" hidden="1">{#N/A,#N/A,FALSE,"Summary";#N/A,#N/A,FALSE,"SmPlants";#N/A,#N/A,FALSE,"Utah";#N/A,#N/A,FALSE,"Idaho";#N/A,#N/A,FALSE,"Lewis River";#N/A,#N/A,FALSE,"NrthUmpq";#N/A,#N/A,FALSE,"KlamRog"}</definedName>
    <definedName name="_________OM1" localSheetId="28" hidden="1">{#N/A,#N/A,FALSE,"Summary";#N/A,#N/A,FALSE,"SmPlants";#N/A,#N/A,FALSE,"Utah";#N/A,#N/A,FALSE,"Idaho";#N/A,#N/A,FALSE,"Lewis River";#N/A,#N/A,FALSE,"NrthUmpq";#N/A,#N/A,FALSE,"KlamRog"}</definedName>
    <definedName name="_________OM1" localSheetId="29" hidden="1">{#N/A,#N/A,FALSE,"Summary";#N/A,#N/A,FALSE,"SmPlants";#N/A,#N/A,FALSE,"Utah";#N/A,#N/A,FALSE,"Idaho";#N/A,#N/A,FALSE,"Lewis River";#N/A,#N/A,FALSE,"NrthUmpq";#N/A,#N/A,FALSE,"KlamRog"}</definedName>
    <definedName name="_________OM1" localSheetId="30" hidden="1">{#N/A,#N/A,FALSE,"Summary";#N/A,#N/A,FALSE,"SmPlants";#N/A,#N/A,FALSE,"Utah";#N/A,#N/A,FALSE,"Idaho";#N/A,#N/A,FALSE,"Lewis River";#N/A,#N/A,FALSE,"NrthUmpq";#N/A,#N/A,FALSE,"KlamRog"}</definedName>
    <definedName name="_________OM1" localSheetId="31" hidden="1">{#N/A,#N/A,FALSE,"Summary";#N/A,#N/A,FALSE,"SmPlants";#N/A,#N/A,FALSE,"Utah";#N/A,#N/A,FALSE,"Idaho";#N/A,#N/A,FALSE,"Lewis River";#N/A,#N/A,FALSE,"NrthUmpq";#N/A,#N/A,FALSE,"KlamRog"}</definedName>
    <definedName name="_________OM1" localSheetId="37" hidden="1">{#N/A,#N/A,FALSE,"Summary";#N/A,#N/A,FALSE,"SmPlants";#N/A,#N/A,FALSE,"Utah";#N/A,#N/A,FALSE,"Idaho";#N/A,#N/A,FALSE,"Lewis River";#N/A,#N/A,FALSE,"NrthUmpq";#N/A,#N/A,FALSE,"KlamRog"}</definedName>
    <definedName name="_________OM1" localSheetId="41" hidden="1">{#N/A,#N/A,FALSE,"Summary";#N/A,#N/A,FALSE,"SmPlants";#N/A,#N/A,FALSE,"Utah";#N/A,#N/A,FALSE,"Idaho";#N/A,#N/A,FALSE,"Lewis River";#N/A,#N/A,FALSE,"NrthUmpq";#N/A,#N/A,FALSE,"KlamRog"}</definedName>
    <definedName name="_________OM1" localSheetId="42" hidden="1">{#N/A,#N/A,FALSE,"Summary";#N/A,#N/A,FALSE,"SmPlants";#N/A,#N/A,FALSE,"Utah";#N/A,#N/A,FALSE,"Idaho";#N/A,#N/A,FALSE,"Lewis River";#N/A,#N/A,FALSE,"NrthUmpq";#N/A,#N/A,FALSE,"KlamRog"}</definedName>
    <definedName name="_________OM1" localSheetId="0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OM1_1" localSheetId="1" hidden="1">{#N/A,#N/A,FALSE,"Summary";#N/A,#N/A,FALSE,"SmPlants";#N/A,#N/A,FALSE,"Utah";#N/A,#N/A,FALSE,"Idaho";#N/A,#N/A,FALSE,"Lewis River";#N/A,#N/A,FALSE,"NrthUmpq";#N/A,#N/A,FALSE,"KlamRog"}</definedName>
    <definedName name="_________OM1_1" localSheetId="3" hidden="1">{#N/A,#N/A,FALSE,"Summary";#N/A,#N/A,FALSE,"SmPlants";#N/A,#N/A,FALSE,"Utah";#N/A,#N/A,FALSE,"Idaho";#N/A,#N/A,FALSE,"Lewis River";#N/A,#N/A,FALSE,"NrthUmpq";#N/A,#N/A,FALSE,"KlamRog"}</definedName>
    <definedName name="_________OM1_1" localSheetId="4" hidden="1">{#N/A,#N/A,FALSE,"Summary";#N/A,#N/A,FALSE,"SmPlants";#N/A,#N/A,FALSE,"Utah";#N/A,#N/A,FALSE,"Idaho";#N/A,#N/A,FALSE,"Lewis River";#N/A,#N/A,FALSE,"NrthUmpq";#N/A,#N/A,FALSE,"KlamRog"}</definedName>
    <definedName name="_________OM1_1" localSheetId="18" hidden="1">{#N/A,#N/A,FALSE,"Summary";#N/A,#N/A,FALSE,"SmPlants";#N/A,#N/A,FALSE,"Utah";#N/A,#N/A,FALSE,"Idaho";#N/A,#N/A,FALSE,"Lewis River";#N/A,#N/A,FALSE,"NrthUmpq";#N/A,#N/A,FALSE,"KlamRog"}</definedName>
    <definedName name="_________OM1_1" localSheetId="19" hidden="1">{#N/A,#N/A,FALSE,"Summary";#N/A,#N/A,FALSE,"SmPlants";#N/A,#N/A,FALSE,"Utah";#N/A,#N/A,FALSE,"Idaho";#N/A,#N/A,FALSE,"Lewis River";#N/A,#N/A,FALSE,"NrthUmpq";#N/A,#N/A,FALSE,"KlamRog"}</definedName>
    <definedName name="_________OM1_1" localSheetId="20" hidden="1">{#N/A,#N/A,FALSE,"Summary";#N/A,#N/A,FALSE,"SmPlants";#N/A,#N/A,FALSE,"Utah";#N/A,#N/A,FALSE,"Idaho";#N/A,#N/A,FALSE,"Lewis River";#N/A,#N/A,FALSE,"NrthUmpq";#N/A,#N/A,FALSE,"KlamRog"}</definedName>
    <definedName name="_________OM1_1" localSheetId="21" hidden="1">{#N/A,#N/A,FALSE,"Summary";#N/A,#N/A,FALSE,"SmPlants";#N/A,#N/A,FALSE,"Utah";#N/A,#N/A,FALSE,"Idaho";#N/A,#N/A,FALSE,"Lewis River";#N/A,#N/A,FALSE,"NrthUmpq";#N/A,#N/A,FALSE,"KlamRog"}</definedName>
    <definedName name="_________OM1_1" localSheetId="24" hidden="1">{#N/A,#N/A,FALSE,"Summary";#N/A,#N/A,FALSE,"SmPlants";#N/A,#N/A,FALSE,"Utah";#N/A,#N/A,FALSE,"Idaho";#N/A,#N/A,FALSE,"Lewis River";#N/A,#N/A,FALSE,"NrthUmpq";#N/A,#N/A,FALSE,"KlamRog"}</definedName>
    <definedName name="_________OM1_1" localSheetId="27" hidden="1">{#N/A,#N/A,FALSE,"Summary";#N/A,#N/A,FALSE,"SmPlants";#N/A,#N/A,FALSE,"Utah";#N/A,#N/A,FALSE,"Idaho";#N/A,#N/A,FALSE,"Lewis River";#N/A,#N/A,FALSE,"NrthUmpq";#N/A,#N/A,FALSE,"KlamRog"}</definedName>
    <definedName name="_________OM1_1" localSheetId="28" hidden="1">{#N/A,#N/A,FALSE,"Summary";#N/A,#N/A,FALSE,"SmPlants";#N/A,#N/A,FALSE,"Utah";#N/A,#N/A,FALSE,"Idaho";#N/A,#N/A,FALSE,"Lewis River";#N/A,#N/A,FALSE,"NrthUmpq";#N/A,#N/A,FALSE,"KlamRog"}</definedName>
    <definedName name="_________OM1_1" localSheetId="29" hidden="1">{#N/A,#N/A,FALSE,"Summary";#N/A,#N/A,FALSE,"SmPlants";#N/A,#N/A,FALSE,"Utah";#N/A,#N/A,FALSE,"Idaho";#N/A,#N/A,FALSE,"Lewis River";#N/A,#N/A,FALSE,"NrthUmpq";#N/A,#N/A,FALSE,"KlamRog"}</definedName>
    <definedName name="_________OM1_1" localSheetId="30" hidden="1">{#N/A,#N/A,FALSE,"Summary";#N/A,#N/A,FALSE,"SmPlants";#N/A,#N/A,FALSE,"Utah";#N/A,#N/A,FALSE,"Idaho";#N/A,#N/A,FALSE,"Lewis River";#N/A,#N/A,FALSE,"NrthUmpq";#N/A,#N/A,FALSE,"KlamRog"}</definedName>
    <definedName name="_________OM1_1" localSheetId="31" hidden="1">{#N/A,#N/A,FALSE,"Summary";#N/A,#N/A,FALSE,"SmPlants";#N/A,#N/A,FALSE,"Utah";#N/A,#N/A,FALSE,"Idaho";#N/A,#N/A,FALSE,"Lewis River";#N/A,#N/A,FALSE,"NrthUmpq";#N/A,#N/A,FALSE,"KlamRog"}</definedName>
    <definedName name="_________OM1_1" localSheetId="37" hidden="1">{#N/A,#N/A,FALSE,"Summary";#N/A,#N/A,FALSE,"SmPlants";#N/A,#N/A,FALSE,"Utah";#N/A,#N/A,FALSE,"Idaho";#N/A,#N/A,FALSE,"Lewis River";#N/A,#N/A,FALSE,"NrthUmpq";#N/A,#N/A,FALSE,"KlamRog"}</definedName>
    <definedName name="_________OM1_1" localSheetId="41" hidden="1">{#N/A,#N/A,FALSE,"Summary";#N/A,#N/A,FALSE,"SmPlants";#N/A,#N/A,FALSE,"Utah";#N/A,#N/A,FALSE,"Idaho";#N/A,#N/A,FALSE,"Lewis River";#N/A,#N/A,FALSE,"NrthUmpq";#N/A,#N/A,FALSE,"KlamRog"}</definedName>
    <definedName name="_________OM1_1" localSheetId="42" hidden="1">{#N/A,#N/A,FALSE,"Summary";#N/A,#N/A,FALSE,"SmPlants";#N/A,#N/A,FALSE,"Utah";#N/A,#N/A,FALSE,"Idaho";#N/A,#N/A,FALSE,"Lewis River";#N/A,#N/A,FALSE,"NrthUmpq";#N/A,#N/A,FALSE,"KlamRog"}</definedName>
    <definedName name="_________OM1_1" localSheetId="0" hidden="1">{#N/A,#N/A,FALSE,"Summary";#N/A,#N/A,FALSE,"SmPlants";#N/A,#N/A,FALSE,"Utah";#N/A,#N/A,FALSE,"Idaho";#N/A,#N/A,FALSE,"Lewis River";#N/A,#N/A,FALSE,"NrthUmpq";#N/A,#N/A,FALSE,"KlamRog"}</definedName>
    <definedName name="_________OM1_1" hidden="1">{#N/A,#N/A,FALSE,"Summary";#N/A,#N/A,FALSE,"SmPlants";#N/A,#N/A,FALSE,"Utah";#N/A,#N/A,FALSE,"Idaho";#N/A,#N/A,FALSE,"Lewis River";#N/A,#N/A,FALSE,"NrthUmpq";#N/A,#N/A,FALSE,"KlamRog"}</definedName>
    <definedName name="_________OM1_2" localSheetId="1" hidden="1">{#N/A,#N/A,FALSE,"Summary";#N/A,#N/A,FALSE,"SmPlants";#N/A,#N/A,FALSE,"Utah";#N/A,#N/A,FALSE,"Idaho";#N/A,#N/A,FALSE,"Lewis River";#N/A,#N/A,FALSE,"NrthUmpq";#N/A,#N/A,FALSE,"KlamRog"}</definedName>
    <definedName name="_________OM1_2" localSheetId="3" hidden="1">{#N/A,#N/A,FALSE,"Summary";#N/A,#N/A,FALSE,"SmPlants";#N/A,#N/A,FALSE,"Utah";#N/A,#N/A,FALSE,"Idaho";#N/A,#N/A,FALSE,"Lewis River";#N/A,#N/A,FALSE,"NrthUmpq";#N/A,#N/A,FALSE,"KlamRog"}</definedName>
    <definedName name="_________OM1_2" localSheetId="4" hidden="1">{#N/A,#N/A,FALSE,"Summary";#N/A,#N/A,FALSE,"SmPlants";#N/A,#N/A,FALSE,"Utah";#N/A,#N/A,FALSE,"Idaho";#N/A,#N/A,FALSE,"Lewis River";#N/A,#N/A,FALSE,"NrthUmpq";#N/A,#N/A,FALSE,"KlamRog"}</definedName>
    <definedName name="_________OM1_2" localSheetId="18" hidden="1">{#N/A,#N/A,FALSE,"Summary";#N/A,#N/A,FALSE,"SmPlants";#N/A,#N/A,FALSE,"Utah";#N/A,#N/A,FALSE,"Idaho";#N/A,#N/A,FALSE,"Lewis River";#N/A,#N/A,FALSE,"NrthUmpq";#N/A,#N/A,FALSE,"KlamRog"}</definedName>
    <definedName name="_________OM1_2" localSheetId="19" hidden="1">{#N/A,#N/A,FALSE,"Summary";#N/A,#N/A,FALSE,"SmPlants";#N/A,#N/A,FALSE,"Utah";#N/A,#N/A,FALSE,"Idaho";#N/A,#N/A,FALSE,"Lewis River";#N/A,#N/A,FALSE,"NrthUmpq";#N/A,#N/A,FALSE,"KlamRog"}</definedName>
    <definedName name="_________OM1_2" localSheetId="20" hidden="1">{#N/A,#N/A,FALSE,"Summary";#N/A,#N/A,FALSE,"SmPlants";#N/A,#N/A,FALSE,"Utah";#N/A,#N/A,FALSE,"Idaho";#N/A,#N/A,FALSE,"Lewis River";#N/A,#N/A,FALSE,"NrthUmpq";#N/A,#N/A,FALSE,"KlamRog"}</definedName>
    <definedName name="_________OM1_2" localSheetId="21" hidden="1">{#N/A,#N/A,FALSE,"Summary";#N/A,#N/A,FALSE,"SmPlants";#N/A,#N/A,FALSE,"Utah";#N/A,#N/A,FALSE,"Idaho";#N/A,#N/A,FALSE,"Lewis River";#N/A,#N/A,FALSE,"NrthUmpq";#N/A,#N/A,FALSE,"KlamRog"}</definedName>
    <definedName name="_________OM1_2" localSheetId="24" hidden="1">{#N/A,#N/A,FALSE,"Summary";#N/A,#N/A,FALSE,"SmPlants";#N/A,#N/A,FALSE,"Utah";#N/A,#N/A,FALSE,"Idaho";#N/A,#N/A,FALSE,"Lewis River";#N/A,#N/A,FALSE,"NrthUmpq";#N/A,#N/A,FALSE,"KlamRog"}</definedName>
    <definedName name="_________OM1_2" localSheetId="27" hidden="1">{#N/A,#N/A,FALSE,"Summary";#N/A,#N/A,FALSE,"SmPlants";#N/A,#N/A,FALSE,"Utah";#N/A,#N/A,FALSE,"Idaho";#N/A,#N/A,FALSE,"Lewis River";#N/A,#N/A,FALSE,"NrthUmpq";#N/A,#N/A,FALSE,"KlamRog"}</definedName>
    <definedName name="_________OM1_2" localSheetId="28" hidden="1">{#N/A,#N/A,FALSE,"Summary";#N/A,#N/A,FALSE,"SmPlants";#N/A,#N/A,FALSE,"Utah";#N/A,#N/A,FALSE,"Idaho";#N/A,#N/A,FALSE,"Lewis River";#N/A,#N/A,FALSE,"NrthUmpq";#N/A,#N/A,FALSE,"KlamRog"}</definedName>
    <definedName name="_________OM1_2" localSheetId="29" hidden="1">{#N/A,#N/A,FALSE,"Summary";#N/A,#N/A,FALSE,"SmPlants";#N/A,#N/A,FALSE,"Utah";#N/A,#N/A,FALSE,"Idaho";#N/A,#N/A,FALSE,"Lewis River";#N/A,#N/A,FALSE,"NrthUmpq";#N/A,#N/A,FALSE,"KlamRog"}</definedName>
    <definedName name="_________OM1_2" localSheetId="30" hidden="1">{#N/A,#N/A,FALSE,"Summary";#N/A,#N/A,FALSE,"SmPlants";#N/A,#N/A,FALSE,"Utah";#N/A,#N/A,FALSE,"Idaho";#N/A,#N/A,FALSE,"Lewis River";#N/A,#N/A,FALSE,"NrthUmpq";#N/A,#N/A,FALSE,"KlamRog"}</definedName>
    <definedName name="_________OM1_2" localSheetId="31" hidden="1">{#N/A,#N/A,FALSE,"Summary";#N/A,#N/A,FALSE,"SmPlants";#N/A,#N/A,FALSE,"Utah";#N/A,#N/A,FALSE,"Idaho";#N/A,#N/A,FALSE,"Lewis River";#N/A,#N/A,FALSE,"NrthUmpq";#N/A,#N/A,FALSE,"KlamRog"}</definedName>
    <definedName name="_________OM1_2" localSheetId="37" hidden="1">{#N/A,#N/A,FALSE,"Summary";#N/A,#N/A,FALSE,"SmPlants";#N/A,#N/A,FALSE,"Utah";#N/A,#N/A,FALSE,"Idaho";#N/A,#N/A,FALSE,"Lewis River";#N/A,#N/A,FALSE,"NrthUmpq";#N/A,#N/A,FALSE,"KlamRog"}</definedName>
    <definedName name="_________OM1_2" localSheetId="41" hidden="1">{#N/A,#N/A,FALSE,"Summary";#N/A,#N/A,FALSE,"SmPlants";#N/A,#N/A,FALSE,"Utah";#N/A,#N/A,FALSE,"Idaho";#N/A,#N/A,FALSE,"Lewis River";#N/A,#N/A,FALSE,"NrthUmpq";#N/A,#N/A,FALSE,"KlamRog"}</definedName>
    <definedName name="_________OM1_2" localSheetId="42" hidden="1">{#N/A,#N/A,FALSE,"Summary";#N/A,#N/A,FALSE,"SmPlants";#N/A,#N/A,FALSE,"Utah";#N/A,#N/A,FALSE,"Idaho";#N/A,#N/A,FALSE,"Lewis River";#N/A,#N/A,FALSE,"NrthUmpq";#N/A,#N/A,FALSE,"KlamRog"}</definedName>
    <definedName name="_________OM1_2" localSheetId="0" hidden="1">{#N/A,#N/A,FALSE,"Summary";#N/A,#N/A,FALSE,"SmPlants";#N/A,#N/A,FALSE,"Utah";#N/A,#N/A,FALSE,"Idaho";#N/A,#N/A,FALSE,"Lewis River";#N/A,#N/A,FALSE,"NrthUmpq";#N/A,#N/A,FALSE,"KlamRog"}</definedName>
    <definedName name="_________OM1_2" hidden="1">{#N/A,#N/A,FALSE,"Summary";#N/A,#N/A,FALSE,"SmPlants";#N/A,#N/A,FALSE,"Utah";#N/A,#N/A,FALSE,"Idaho";#N/A,#N/A,FALSE,"Lewis River";#N/A,#N/A,FALSE,"NrthUmpq";#N/A,#N/A,FALSE,"KlamRog"}</definedName>
    <definedName name="_________OM1_3" localSheetId="1" hidden="1">{#N/A,#N/A,FALSE,"Summary";#N/A,#N/A,FALSE,"SmPlants";#N/A,#N/A,FALSE,"Utah";#N/A,#N/A,FALSE,"Idaho";#N/A,#N/A,FALSE,"Lewis River";#N/A,#N/A,FALSE,"NrthUmpq";#N/A,#N/A,FALSE,"KlamRog"}</definedName>
    <definedName name="_________OM1_3" localSheetId="3" hidden="1">{#N/A,#N/A,FALSE,"Summary";#N/A,#N/A,FALSE,"SmPlants";#N/A,#N/A,FALSE,"Utah";#N/A,#N/A,FALSE,"Idaho";#N/A,#N/A,FALSE,"Lewis River";#N/A,#N/A,FALSE,"NrthUmpq";#N/A,#N/A,FALSE,"KlamRog"}</definedName>
    <definedName name="_________OM1_3" localSheetId="4" hidden="1">{#N/A,#N/A,FALSE,"Summary";#N/A,#N/A,FALSE,"SmPlants";#N/A,#N/A,FALSE,"Utah";#N/A,#N/A,FALSE,"Idaho";#N/A,#N/A,FALSE,"Lewis River";#N/A,#N/A,FALSE,"NrthUmpq";#N/A,#N/A,FALSE,"KlamRog"}</definedName>
    <definedName name="_________OM1_3" localSheetId="18" hidden="1">{#N/A,#N/A,FALSE,"Summary";#N/A,#N/A,FALSE,"SmPlants";#N/A,#N/A,FALSE,"Utah";#N/A,#N/A,FALSE,"Idaho";#N/A,#N/A,FALSE,"Lewis River";#N/A,#N/A,FALSE,"NrthUmpq";#N/A,#N/A,FALSE,"KlamRog"}</definedName>
    <definedName name="_________OM1_3" localSheetId="19" hidden="1">{#N/A,#N/A,FALSE,"Summary";#N/A,#N/A,FALSE,"SmPlants";#N/A,#N/A,FALSE,"Utah";#N/A,#N/A,FALSE,"Idaho";#N/A,#N/A,FALSE,"Lewis River";#N/A,#N/A,FALSE,"NrthUmpq";#N/A,#N/A,FALSE,"KlamRog"}</definedName>
    <definedName name="_________OM1_3" localSheetId="20" hidden="1">{#N/A,#N/A,FALSE,"Summary";#N/A,#N/A,FALSE,"SmPlants";#N/A,#N/A,FALSE,"Utah";#N/A,#N/A,FALSE,"Idaho";#N/A,#N/A,FALSE,"Lewis River";#N/A,#N/A,FALSE,"NrthUmpq";#N/A,#N/A,FALSE,"KlamRog"}</definedName>
    <definedName name="_________OM1_3" localSheetId="21" hidden="1">{#N/A,#N/A,FALSE,"Summary";#N/A,#N/A,FALSE,"SmPlants";#N/A,#N/A,FALSE,"Utah";#N/A,#N/A,FALSE,"Idaho";#N/A,#N/A,FALSE,"Lewis River";#N/A,#N/A,FALSE,"NrthUmpq";#N/A,#N/A,FALSE,"KlamRog"}</definedName>
    <definedName name="_________OM1_3" localSheetId="24" hidden="1">{#N/A,#N/A,FALSE,"Summary";#N/A,#N/A,FALSE,"SmPlants";#N/A,#N/A,FALSE,"Utah";#N/A,#N/A,FALSE,"Idaho";#N/A,#N/A,FALSE,"Lewis River";#N/A,#N/A,FALSE,"NrthUmpq";#N/A,#N/A,FALSE,"KlamRog"}</definedName>
    <definedName name="_________OM1_3" localSheetId="27" hidden="1">{#N/A,#N/A,FALSE,"Summary";#N/A,#N/A,FALSE,"SmPlants";#N/A,#N/A,FALSE,"Utah";#N/A,#N/A,FALSE,"Idaho";#N/A,#N/A,FALSE,"Lewis River";#N/A,#N/A,FALSE,"NrthUmpq";#N/A,#N/A,FALSE,"KlamRog"}</definedName>
    <definedName name="_________OM1_3" localSheetId="28" hidden="1">{#N/A,#N/A,FALSE,"Summary";#N/A,#N/A,FALSE,"SmPlants";#N/A,#N/A,FALSE,"Utah";#N/A,#N/A,FALSE,"Idaho";#N/A,#N/A,FALSE,"Lewis River";#N/A,#N/A,FALSE,"NrthUmpq";#N/A,#N/A,FALSE,"KlamRog"}</definedName>
    <definedName name="_________OM1_3" localSheetId="29" hidden="1">{#N/A,#N/A,FALSE,"Summary";#N/A,#N/A,FALSE,"SmPlants";#N/A,#N/A,FALSE,"Utah";#N/A,#N/A,FALSE,"Idaho";#N/A,#N/A,FALSE,"Lewis River";#N/A,#N/A,FALSE,"NrthUmpq";#N/A,#N/A,FALSE,"KlamRog"}</definedName>
    <definedName name="_________OM1_3" localSheetId="30" hidden="1">{#N/A,#N/A,FALSE,"Summary";#N/A,#N/A,FALSE,"SmPlants";#N/A,#N/A,FALSE,"Utah";#N/A,#N/A,FALSE,"Idaho";#N/A,#N/A,FALSE,"Lewis River";#N/A,#N/A,FALSE,"NrthUmpq";#N/A,#N/A,FALSE,"KlamRog"}</definedName>
    <definedName name="_________OM1_3" localSheetId="31" hidden="1">{#N/A,#N/A,FALSE,"Summary";#N/A,#N/A,FALSE,"SmPlants";#N/A,#N/A,FALSE,"Utah";#N/A,#N/A,FALSE,"Idaho";#N/A,#N/A,FALSE,"Lewis River";#N/A,#N/A,FALSE,"NrthUmpq";#N/A,#N/A,FALSE,"KlamRog"}</definedName>
    <definedName name="_________OM1_3" localSheetId="37" hidden="1">{#N/A,#N/A,FALSE,"Summary";#N/A,#N/A,FALSE,"SmPlants";#N/A,#N/A,FALSE,"Utah";#N/A,#N/A,FALSE,"Idaho";#N/A,#N/A,FALSE,"Lewis River";#N/A,#N/A,FALSE,"NrthUmpq";#N/A,#N/A,FALSE,"KlamRog"}</definedName>
    <definedName name="_________OM1_3" localSheetId="41" hidden="1">{#N/A,#N/A,FALSE,"Summary";#N/A,#N/A,FALSE,"SmPlants";#N/A,#N/A,FALSE,"Utah";#N/A,#N/A,FALSE,"Idaho";#N/A,#N/A,FALSE,"Lewis River";#N/A,#N/A,FALSE,"NrthUmpq";#N/A,#N/A,FALSE,"KlamRog"}</definedName>
    <definedName name="_________OM1_3" localSheetId="42" hidden="1">{#N/A,#N/A,FALSE,"Summary";#N/A,#N/A,FALSE,"SmPlants";#N/A,#N/A,FALSE,"Utah";#N/A,#N/A,FALSE,"Idaho";#N/A,#N/A,FALSE,"Lewis River";#N/A,#N/A,FALSE,"NrthUmpq";#N/A,#N/A,FALSE,"KlamRog"}</definedName>
    <definedName name="_________OM1_3" localSheetId="0" hidden="1">{#N/A,#N/A,FALSE,"Summary";#N/A,#N/A,FALSE,"SmPlants";#N/A,#N/A,FALSE,"Utah";#N/A,#N/A,FALSE,"Idaho";#N/A,#N/A,FALSE,"Lewis River";#N/A,#N/A,FALSE,"NrthUmpq";#N/A,#N/A,FALSE,"KlamRog"}</definedName>
    <definedName name="_________OM1_3" hidden="1">{#N/A,#N/A,FALSE,"Summary";#N/A,#N/A,FALSE,"SmPlants";#N/A,#N/A,FALSE,"Utah";#N/A,#N/A,FALSE,"Idaho";#N/A,#N/A,FALSE,"Lewis River";#N/A,#N/A,FALSE,"NrthUmpq";#N/A,#N/A,FALSE,"KlamRog"}</definedName>
    <definedName name="_________OM1_4" localSheetId="1" hidden="1">{#N/A,#N/A,FALSE,"Summary";#N/A,#N/A,FALSE,"SmPlants";#N/A,#N/A,FALSE,"Utah";#N/A,#N/A,FALSE,"Idaho";#N/A,#N/A,FALSE,"Lewis River";#N/A,#N/A,FALSE,"NrthUmpq";#N/A,#N/A,FALSE,"KlamRog"}</definedName>
    <definedName name="_________OM1_4" localSheetId="3" hidden="1">{#N/A,#N/A,FALSE,"Summary";#N/A,#N/A,FALSE,"SmPlants";#N/A,#N/A,FALSE,"Utah";#N/A,#N/A,FALSE,"Idaho";#N/A,#N/A,FALSE,"Lewis River";#N/A,#N/A,FALSE,"NrthUmpq";#N/A,#N/A,FALSE,"KlamRog"}</definedName>
    <definedName name="_________OM1_4" localSheetId="4" hidden="1">{#N/A,#N/A,FALSE,"Summary";#N/A,#N/A,FALSE,"SmPlants";#N/A,#N/A,FALSE,"Utah";#N/A,#N/A,FALSE,"Idaho";#N/A,#N/A,FALSE,"Lewis River";#N/A,#N/A,FALSE,"NrthUmpq";#N/A,#N/A,FALSE,"KlamRog"}</definedName>
    <definedName name="_________OM1_4" localSheetId="18" hidden="1">{#N/A,#N/A,FALSE,"Summary";#N/A,#N/A,FALSE,"SmPlants";#N/A,#N/A,FALSE,"Utah";#N/A,#N/A,FALSE,"Idaho";#N/A,#N/A,FALSE,"Lewis River";#N/A,#N/A,FALSE,"NrthUmpq";#N/A,#N/A,FALSE,"KlamRog"}</definedName>
    <definedName name="_________OM1_4" localSheetId="19" hidden="1">{#N/A,#N/A,FALSE,"Summary";#N/A,#N/A,FALSE,"SmPlants";#N/A,#N/A,FALSE,"Utah";#N/A,#N/A,FALSE,"Idaho";#N/A,#N/A,FALSE,"Lewis River";#N/A,#N/A,FALSE,"NrthUmpq";#N/A,#N/A,FALSE,"KlamRog"}</definedName>
    <definedName name="_________OM1_4" localSheetId="20" hidden="1">{#N/A,#N/A,FALSE,"Summary";#N/A,#N/A,FALSE,"SmPlants";#N/A,#N/A,FALSE,"Utah";#N/A,#N/A,FALSE,"Idaho";#N/A,#N/A,FALSE,"Lewis River";#N/A,#N/A,FALSE,"NrthUmpq";#N/A,#N/A,FALSE,"KlamRog"}</definedName>
    <definedName name="_________OM1_4" localSheetId="21" hidden="1">{#N/A,#N/A,FALSE,"Summary";#N/A,#N/A,FALSE,"SmPlants";#N/A,#N/A,FALSE,"Utah";#N/A,#N/A,FALSE,"Idaho";#N/A,#N/A,FALSE,"Lewis River";#N/A,#N/A,FALSE,"NrthUmpq";#N/A,#N/A,FALSE,"KlamRog"}</definedName>
    <definedName name="_________OM1_4" localSheetId="24" hidden="1">{#N/A,#N/A,FALSE,"Summary";#N/A,#N/A,FALSE,"SmPlants";#N/A,#N/A,FALSE,"Utah";#N/A,#N/A,FALSE,"Idaho";#N/A,#N/A,FALSE,"Lewis River";#N/A,#N/A,FALSE,"NrthUmpq";#N/A,#N/A,FALSE,"KlamRog"}</definedName>
    <definedName name="_________OM1_4" localSheetId="27" hidden="1">{#N/A,#N/A,FALSE,"Summary";#N/A,#N/A,FALSE,"SmPlants";#N/A,#N/A,FALSE,"Utah";#N/A,#N/A,FALSE,"Idaho";#N/A,#N/A,FALSE,"Lewis River";#N/A,#N/A,FALSE,"NrthUmpq";#N/A,#N/A,FALSE,"KlamRog"}</definedName>
    <definedName name="_________OM1_4" localSheetId="28" hidden="1">{#N/A,#N/A,FALSE,"Summary";#N/A,#N/A,FALSE,"SmPlants";#N/A,#N/A,FALSE,"Utah";#N/A,#N/A,FALSE,"Idaho";#N/A,#N/A,FALSE,"Lewis River";#N/A,#N/A,FALSE,"NrthUmpq";#N/A,#N/A,FALSE,"KlamRog"}</definedName>
    <definedName name="_________OM1_4" localSheetId="29" hidden="1">{#N/A,#N/A,FALSE,"Summary";#N/A,#N/A,FALSE,"SmPlants";#N/A,#N/A,FALSE,"Utah";#N/A,#N/A,FALSE,"Idaho";#N/A,#N/A,FALSE,"Lewis River";#N/A,#N/A,FALSE,"NrthUmpq";#N/A,#N/A,FALSE,"KlamRog"}</definedName>
    <definedName name="_________OM1_4" localSheetId="30" hidden="1">{#N/A,#N/A,FALSE,"Summary";#N/A,#N/A,FALSE,"SmPlants";#N/A,#N/A,FALSE,"Utah";#N/A,#N/A,FALSE,"Idaho";#N/A,#N/A,FALSE,"Lewis River";#N/A,#N/A,FALSE,"NrthUmpq";#N/A,#N/A,FALSE,"KlamRog"}</definedName>
    <definedName name="_________OM1_4" localSheetId="31" hidden="1">{#N/A,#N/A,FALSE,"Summary";#N/A,#N/A,FALSE,"SmPlants";#N/A,#N/A,FALSE,"Utah";#N/A,#N/A,FALSE,"Idaho";#N/A,#N/A,FALSE,"Lewis River";#N/A,#N/A,FALSE,"NrthUmpq";#N/A,#N/A,FALSE,"KlamRog"}</definedName>
    <definedName name="_________OM1_4" localSheetId="37" hidden="1">{#N/A,#N/A,FALSE,"Summary";#N/A,#N/A,FALSE,"SmPlants";#N/A,#N/A,FALSE,"Utah";#N/A,#N/A,FALSE,"Idaho";#N/A,#N/A,FALSE,"Lewis River";#N/A,#N/A,FALSE,"NrthUmpq";#N/A,#N/A,FALSE,"KlamRog"}</definedName>
    <definedName name="_________OM1_4" localSheetId="41" hidden="1">{#N/A,#N/A,FALSE,"Summary";#N/A,#N/A,FALSE,"SmPlants";#N/A,#N/A,FALSE,"Utah";#N/A,#N/A,FALSE,"Idaho";#N/A,#N/A,FALSE,"Lewis River";#N/A,#N/A,FALSE,"NrthUmpq";#N/A,#N/A,FALSE,"KlamRog"}</definedName>
    <definedName name="_________OM1_4" localSheetId="42" hidden="1">{#N/A,#N/A,FALSE,"Summary";#N/A,#N/A,FALSE,"SmPlants";#N/A,#N/A,FALSE,"Utah";#N/A,#N/A,FALSE,"Idaho";#N/A,#N/A,FALSE,"Lewis River";#N/A,#N/A,FALSE,"NrthUmpq";#N/A,#N/A,FALSE,"KlamRog"}</definedName>
    <definedName name="_________OM1_4" localSheetId="0" hidden="1">{#N/A,#N/A,FALSE,"Summary";#N/A,#N/A,FALSE,"SmPlants";#N/A,#N/A,FALSE,"Utah";#N/A,#N/A,FALSE,"Idaho";#N/A,#N/A,FALSE,"Lewis River";#N/A,#N/A,FALSE,"NrthUmpq";#N/A,#N/A,FALSE,"KlamRog"}</definedName>
    <definedName name="_________OM1_4" hidden="1">{#N/A,#N/A,FALSE,"Summary";#N/A,#N/A,FALSE,"SmPlants";#N/A,#N/A,FALSE,"Utah";#N/A,#N/A,FALSE,"Idaho";#N/A,#N/A,FALSE,"Lewis River";#N/A,#N/A,FALSE,"NrthUmpq";#N/A,#N/A,FALSE,"KlamRog"}</definedName>
    <definedName name="_________OM1_5" localSheetId="1" hidden="1">{#N/A,#N/A,FALSE,"Summary";#N/A,#N/A,FALSE,"SmPlants";#N/A,#N/A,FALSE,"Utah";#N/A,#N/A,FALSE,"Idaho";#N/A,#N/A,FALSE,"Lewis River";#N/A,#N/A,FALSE,"NrthUmpq";#N/A,#N/A,FALSE,"KlamRog"}</definedName>
    <definedName name="_________OM1_5" localSheetId="3" hidden="1">{#N/A,#N/A,FALSE,"Summary";#N/A,#N/A,FALSE,"SmPlants";#N/A,#N/A,FALSE,"Utah";#N/A,#N/A,FALSE,"Idaho";#N/A,#N/A,FALSE,"Lewis River";#N/A,#N/A,FALSE,"NrthUmpq";#N/A,#N/A,FALSE,"KlamRog"}</definedName>
    <definedName name="_________OM1_5" localSheetId="4" hidden="1">{#N/A,#N/A,FALSE,"Summary";#N/A,#N/A,FALSE,"SmPlants";#N/A,#N/A,FALSE,"Utah";#N/A,#N/A,FALSE,"Idaho";#N/A,#N/A,FALSE,"Lewis River";#N/A,#N/A,FALSE,"NrthUmpq";#N/A,#N/A,FALSE,"KlamRog"}</definedName>
    <definedName name="_________OM1_5" localSheetId="18" hidden="1">{#N/A,#N/A,FALSE,"Summary";#N/A,#N/A,FALSE,"SmPlants";#N/A,#N/A,FALSE,"Utah";#N/A,#N/A,FALSE,"Idaho";#N/A,#N/A,FALSE,"Lewis River";#N/A,#N/A,FALSE,"NrthUmpq";#N/A,#N/A,FALSE,"KlamRog"}</definedName>
    <definedName name="_________OM1_5" localSheetId="19" hidden="1">{#N/A,#N/A,FALSE,"Summary";#N/A,#N/A,FALSE,"SmPlants";#N/A,#N/A,FALSE,"Utah";#N/A,#N/A,FALSE,"Idaho";#N/A,#N/A,FALSE,"Lewis River";#N/A,#N/A,FALSE,"NrthUmpq";#N/A,#N/A,FALSE,"KlamRog"}</definedName>
    <definedName name="_________OM1_5" localSheetId="20" hidden="1">{#N/A,#N/A,FALSE,"Summary";#N/A,#N/A,FALSE,"SmPlants";#N/A,#N/A,FALSE,"Utah";#N/A,#N/A,FALSE,"Idaho";#N/A,#N/A,FALSE,"Lewis River";#N/A,#N/A,FALSE,"NrthUmpq";#N/A,#N/A,FALSE,"KlamRog"}</definedName>
    <definedName name="_________OM1_5" localSheetId="21" hidden="1">{#N/A,#N/A,FALSE,"Summary";#N/A,#N/A,FALSE,"SmPlants";#N/A,#N/A,FALSE,"Utah";#N/A,#N/A,FALSE,"Idaho";#N/A,#N/A,FALSE,"Lewis River";#N/A,#N/A,FALSE,"NrthUmpq";#N/A,#N/A,FALSE,"KlamRog"}</definedName>
    <definedName name="_________OM1_5" localSheetId="24" hidden="1">{#N/A,#N/A,FALSE,"Summary";#N/A,#N/A,FALSE,"SmPlants";#N/A,#N/A,FALSE,"Utah";#N/A,#N/A,FALSE,"Idaho";#N/A,#N/A,FALSE,"Lewis River";#N/A,#N/A,FALSE,"NrthUmpq";#N/A,#N/A,FALSE,"KlamRog"}</definedName>
    <definedName name="_________OM1_5" localSheetId="27" hidden="1">{#N/A,#N/A,FALSE,"Summary";#N/A,#N/A,FALSE,"SmPlants";#N/A,#N/A,FALSE,"Utah";#N/A,#N/A,FALSE,"Idaho";#N/A,#N/A,FALSE,"Lewis River";#N/A,#N/A,FALSE,"NrthUmpq";#N/A,#N/A,FALSE,"KlamRog"}</definedName>
    <definedName name="_________OM1_5" localSheetId="28" hidden="1">{#N/A,#N/A,FALSE,"Summary";#N/A,#N/A,FALSE,"SmPlants";#N/A,#N/A,FALSE,"Utah";#N/A,#N/A,FALSE,"Idaho";#N/A,#N/A,FALSE,"Lewis River";#N/A,#N/A,FALSE,"NrthUmpq";#N/A,#N/A,FALSE,"KlamRog"}</definedName>
    <definedName name="_________OM1_5" localSheetId="29" hidden="1">{#N/A,#N/A,FALSE,"Summary";#N/A,#N/A,FALSE,"SmPlants";#N/A,#N/A,FALSE,"Utah";#N/A,#N/A,FALSE,"Idaho";#N/A,#N/A,FALSE,"Lewis River";#N/A,#N/A,FALSE,"NrthUmpq";#N/A,#N/A,FALSE,"KlamRog"}</definedName>
    <definedName name="_________OM1_5" localSheetId="30" hidden="1">{#N/A,#N/A,FALSE,"Summary";#N/A,#N/A,FALSE,"SmPlants";#N/A,#N/A,FALSE,"Utah";#N/A,#N/A,FALSE,"Idaho";#N/A,#N/A,FALSE,"Lewis River";#N/A,#N/A,FALSE,"NrthUmpq";#N/A,#N/A,FALSE,"KlamRog"}</definedName>
    <definedName name="_________OM1_5" localSheetId="31" hidden="1">{#N/A,#N/A,FALSE,"Summary";#N/A,#N/A,FALSE,"SmPlants";#N/A,#N/A,FALSE,"Utah";#N/A,#N/A,FALSE,"Idaho";#N/A,#N/A,FALSE,"Lewis River";#N/A,#N/A,FALSE,"NrthUmpq";#N/A,#N/A,FALSE,"KlamRog"}</definedName>
    <definedName name="_________OM1_5" localSheetId="37" hidden="1">{#N/A,#N/A,FALSE,"Summary";#N/A,#N/A,FALSE,"SmPlants";#N/A,#N/A,FALSE,"Utah";#N/A,#N/A,FALSE,"Idaho";#N/A,#N/A,FALSE,"Lewis River";#N/A,#N/A,FALSE,"NrthUmpq";#N/A,#N/A,FALSE,"KlamRog"}</definedName>
    <definedName name="_________OM1_5" localSheetId="41" hidden="1">{#N/A,#N/A,FALSE,"Summary";#N/A,#N/A,FALSE,"SmPlants";#N/A,#N/A,FALSE,"Utah";#N/A,#N/A,FALSE,"Idaho";#N/A,#N/A,FALSE,"Lewis River";#N/A,#N/A,FALSE,"NrthUmpq";#N/A,#N/A,FALSE,"KlamRog"}</definedName>
    <definedName name="_________OM1_5" localSheetId="42" hidden="1">{#N/A,#N/A,FALSE,"Summary";#N/A,#N/A,FALSE,"SmPlants";#N/A,#N/A,FALSE,"Utah";#N/A,#N/A,FALSE,"Idaho";#N/A,#N/A,FALSE,"Lewis River";#N/A,#N/A,FALSE,"NrthUmpq";#N/A,#N/A,FALSE,"KlamRog"}</definedName>
    <definedName name="_________OM1_5" localSheetId="0" hidden="1">{#N/A,#N/A,FALSE,"Summary";#N/A,#N/A,FALSE,"SmPlants";#N/A,#N/A,FALSE,"Utah";#N/A,#N/A,FALSE,"Idaho";#N/A,#N/A,FALSE,"Lewis River";#N/A,#N/A,FALSE,"NrthUmpq";#N/A,#N/A,FALSE,"KlamRog"}</definedName>
    <definedName name="_________OM1_5" hidden="1">{#N/A,#N/A,FALSE,"Summary";#N/A,#N/A,FALSE,"SmPlants";#N/A,#N/A,FALSE,"Utah";#N/A,#N/A,FALSE,"Idaho";#N/A,#N/A,FALSE,"Lewis River";#N/A,#N/A,FALSE,"NrthUmpq";#N/A,#N/A,FALSE,"KlamRog"}</definedName>
    <definedName name="_______OM1" localSheetId="1" hidden="1">{#N/A,#N/A,FALSE,"Summary";#N/A,#N/A,FALSE,"SmPlants";#N/A,#N/A,FALSE,"Utah";#N/A,#N/A,FALSE,"Idaho";#N/A,#N/A,FALSE,"Lewis River";#N/A,#N/A,FALSE,"NrthUmpq";#N/A,#N/A,FALSE,"KlamRog"}</definedName>
    <definedName name="_______OM1" localSheetId="3" hidden="1">{#N/A,#N/A,FALSE,"Summary";#N/A,#N/A,FALSE,"SmPlants";#N/A,#N/A,FALSE,"Utah";#N/A,#N/A,FALSE,"Idaho";#N/A,#N/A,FALSE,"Lewis River";#N/A,#N/A,FALSE,"NrthUmpq";#N/A,#N/A,FALSE,"KlamRog"}</definedName>
    <definedName name="_______OM1" localSheetId="4" hidden="1">{#N/A,#N/A,FALSE,"Summary";#N/A,#N/A,FALSE,"SmPlants";#N/A,#N/A,FALSE,"Utah";#N/A,#N/A,FALSE,"Idaho";#N/A,#N/A,FALSE,"Lewis River";#N/A,#N/A,FALSE,"NrthUmpq";#N/A,#N/A,FALSE,"KlamRog"}</definedName>
    <definedName name="_______OM1" localSheetId="18" hidden="1">{#N/A,#N/A,FALSE,"Summary";#N/A,#N/A,FALSE,"SmPlants";#N/A,#N/A,FALSE,"Utah";#N/A,#N/A,FALSE,"Idaho";#N/A,#N/A,FALSE,"Lewis River";#N/A,#N/A,FALSE,"NrthUmpq";#N/A,#N/A,FALSE,"KlamRog"}</definedName>
    <definedName name="_______OM1" localSheetId="19" hidden="1">{#N/A,#N/A,FALSE,"Summary";#N/A,#N/A,FALSE,"SmPlants";#N/A,#N/A,FALSE,"Utah";#N/A,#N/A,FALSE,"Idaho";#N/A,#N/A,FALSE,"Lewis River";#N/A,#N/A,FALSE,"NrthUmpq";#N/A,#N/A,FALSE,"KlamRog"}</definedName>
    <definedName name="_______OM1" localSheetId="20" hidden="1">{#N/A,#N/A,FALSE,"Summary";#N/A,#N/A,FALSE,"SmPlants";#N/A,#N/A,FALSE,"Utah";#N/A,#N/A,FALSE,"Idaho";#N/A,#N/A,FALSE,"Lewis River";#N/A,#N/A,FALSE,"NrthUmpq";#N/A,#N/A,FALSE,"KlamRog"}</definedName>
    <definedName name="_______OM1" localSheetId="21" hidden="1">{#N/A,#N/A,FALSE,"Summary";#N/A,#N/A,FALSE,"SmPlants";#N/A,#N/A,FALSE,"Utah";#N/A,#N/A,FALSE,"Idaho";#N/A,#N/A,FALSE,"Lewis River";#N/A,#N/A,FALSE,"NrthUmpq";#N/A,#N/A,FALSE,"KlamRog"}</definedName>
    <definedName name="_______OM1" localSheetId="24" hidden="1">{#N/A,#N/A,FALSE,"Summary";#N/A,#N/A,FALSE,"SmPlants";#N/A,#N/A,FALSE,"Utah";#N/A,#N/A,FALSE,"Idaho";#N/A,#N/A,FALSE,"Lewis River";#N/A,#N/A,FALSE,"NrthUmpq";#N/A,#N/A,FALSE,"KlamRog"}</definedName>
    <definedName name="_______OM1" localSheetId="27" hidden="1">{#N/A,#N/A,FALSE,"Summary";#N/A,#N/A,FALSE,"SmPlants";#N/A,#N/A,FALSE,"Utah";#N/A,#N/A,FALSE,"Idaho";#N/A,#N/A,FALSE,"Lewis River";#N/A,#N/A,FALSE,"NrthUmpq";#N/A,#N/A,FALSE,"KlamRog"}</definedName>
    <definedName name="_______OM1" localSheetId="28" hidden="1">{#N/A,#N/A,FALSE,"Summary";#N/A,#N/A,FALSE,"SmPlants";#N/A,#N/A,FALSE,"Utah";#N/A,#N/A,FALSE,"Idaho";#N/A,#N/A,FALSE,"Lewis River";#N/A,#N/A,FALSE,"NrthUmpq";#N/A,#N/A,FALSE,"KlamRog"}</definedName>
    <definedName name="_______OM1" localSheetId="29" hidden="1">{#N/A,#N/A,FALSE,"Summary";#N/A,#N/A,FALSE,"SmPlants";#N/A,#N/A,FALSE,"Utah";#N/A,#N/A,FALSE,"Idaho";#N/A,#N/A,FALSE,"Lewis River";#N/A,#N/A,FALSE,"NrthUmpq";#N/A,#N/A,FALSE,"KlamRog"}</definedName>
    <definedName name="_______OM1" localSheetId="30" hidden="1">{#N/A,#N/A,FALSE,"Summary";#N/A,#N/A,FALSE,"SmPlants";#N/A,#N/A,FALSE,"Utah";#N/A,#N/A,FALSE,"Idaho";#N/A,#N/A,FALSE,"Lewis River";#N/A,#N/A,FALSE,"NrthUmpq";#N/A,#N/A,FALSE,"KlamRog"}</definedName>
    <definedName name="_______OM1" localSheetId="31" hidden="1">{#N/A,#N/A,FALSE,"Summary";#N/A,#N/A,FALSE,"SmPlants";#N/A,#N/A,FALSE,"Utah";#N/A,#N/A,FALSE,"Idaho";#N/A,#N/A,FALSE,"Lewis River";#N/A,#N/A,FALSE,"NrthUmpq";#N/A,#N/A,FALSE,"KlamRog"}</definedName>
    <definedName name="_______OM1" localSheetId="37" hidden="1">{#N/A,#N/A,FALSE,"Summary";#N/A,#N/A,FALSE,"SmPlants";#N/A,#N/A,FALSE,"Utah";#N/A,#N/A,FALSE,"Idaho";#N/A,#N/A,FALSE,"Lewis River";#N/A,#N/A,FALSE,"NrthUmpq";#N/A,#N/A,FALSE,"KlamRog"}</definedName>
    <definedName name="_______OM1" localSheetId="41" hidden="1">{#N/A,#N/A,FALSE,"Summary";#N/A,#N/A,FALSE,"SmPlants";#N/A,#N/A,FALSE,"Utah";#N/A,#N/A,FALSE,"Idaho";#N/A,#N/A,FALSE,"Lewis River";#N/A,#N/A,FALSE,"NrthUmpq";#N/A,#N/A,FALSE,"KlamRog"}</definedName>
    <definedName name="_______OM1" localSheetId="42" hidden="1">{#N/A,#N/A,FALSE,"Summary";#N/A,#N/A,FALSE,"SmPlants";#N/A,#N/A,FALSE,"Utah";#N/A,#N/A,FALSE,"Idaho";#N/A,#N/A,FALSE,"Lewis River";#N/A,#N/A,FALSE,"NrthUmpq";#N/A,#N/A,FALSE,"KlamRog"}</definedName>
    <definedName name="_______OM1" localSheetId="0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OM1_1" localSheetId="1" hidden="1">{#N/A,#N/A,FALSE,"Summary";#N/A,#N/A,FALSE,"SmPlants";#N/A,#N/A,FALSE,"Utah";#N/A,#N/A,FALSE,"Idaho";#N/A,#N/A,FALSE,"Lewis River";#N/A,#N/A,FALSE,"NrthUmpq";#N/A,#N/A,FALSE,"KlamRog"}</definedName>
    <definedName name="_______OM1_1" localSheetId="3" hidden="1">{#N/A,#N/A,FALSE,"Summary";#N/A,#N/A,FALSE,"SmPlants";#N/A,#N/A,FALSE,"Utah";#N/A,#N/A,FALSE,"Idaho";#N/A,#N/A,FALSE,"Lewis River";#N/A,#N/A,FALSE,"NrthUmpq";#N/A,#N/A,FALSE,"KlamRog"}</definedName>
    <definedName name="_______OM1_1" localSheetId="4" hidden="1">{#N/A,#N/A,FALSE,"Summary";#N/A,#N/A,FALSE,"SmPlants";#N/A,#N/A,FALSE,"Utah";#N/A,#N/A,FALSE,"Idaho";#N/A,#N/A,FALSE,"Lewis River";#N/A,#N/A,FALSE,"NrthUmpq";#N/A,#N/A,FALSE,"KlamRog"}</definedName>
    <definedName name="_______OM1_1" localSheetId="18" hidden="1">{#N/A,#N/A,FALSE,"Summary";#N/A,#N/A,FALSE,"SmPlants";#N/A,#N/A,FALSE,"Utah";#N/A,#N/A,FALSE,"Idaho";#N/A,#N/A,FALSE,"Lewis River";#N/A,#N/A,FALSE,"NrthUmpq";#N/A,#N/A,FALSE,"KlamRog"}</definedName>
    <definedName name="_______OM1_1" localSheetId="19" hidden="1">{#N/A,#N/A,FALSE,"Summary";#N/A,#N/A,FALSE,"SmPlants";#N/A,#N/A,FALSE,"Utah";#N/A,#N/A,FALSE,"Idaho";#N/A,#N/A,FALSE,"Lewis River";#N/A,#N/A,FALSE,"NrthUmpq";#N/A,#N/A,FALSE,"KlamRog"}</definedName>
    <definedName name="_______OM1_1" localSheetId="20" hidden="1">{#N/A,#N/A,FALSE,"Summary";#N/A,#N/A,FALSE,"SmPlants";#N/A,#N/A,FALSE,"Utah";#N/A,#N/A,FALSE,"Idaho";#N/A,#N/A,FALSE,"Lewis River";#N/A,#N/A,FALSE,"NrthUmpq";#N/A,#N/A,FALSE,"KlamRog"}</definedName>
    <definedName name="_______OM1_1" localSheetId="21" hidden="1">{#N/A,#N/A,FALSE,"Summary";#N/A,#N/A,FALSE,"SmPlants";#N/A,#N/A,FALSE,"Utah";#N/A,#N/A,FALSE,"Idaho";#N/A,#N/A,FALSE,"Lewis River";#N/A,#N/A,FALSE,"NrthUmpq";#N/A,#N/A,FALSE,"KlamRog"}</definedName>
    <definedName name="_______OM1_1" localSheetId="24" hidden="1">{#N/A,#N/A,FALSE,"Summary";#N/A,#N/A,FALSE,"SmPlants";#N/A,#N/A,FALSE,"Utah";#N/A,#N/A,FALSE,"Idaho";#N/A,#N/A,FALSE,"Lewis River";#N/A,#N/A,FALSE,"NrthUmpq";#N/A,#N/A,FALSE,"KlamRog"}</definedName>
    <definedName name="_______OM1_1" localSheetId="27" hidden="1">{#N/A,#N/A,FALSE,"Summary";#N/A,#N/A,FALSE,"SmPlants";#N/A,#N/A,FALSE,"Utah";#N/A,#N/A,FALSE,"Idaho";#N/A,#N/A,FALSE,"Lewis River";#N/A,#N/A,FALSE,"NrthUmpq";#N/A,#N/A,FALSE,"KlamRog"}</definedName>
    <definedName name="_______OM1_1" localSheetId="28" hidden="1">{#N/A,#N/A,FALSE,"Summary";#N/A,#N/A,FALSE,"SmPlants";#N/A,#N/A,FALSE,"Utah";#N/A,#N/A,FALSE,"Idaho";#N/A,#N/A,FALSE,"Lewis River";#N/A,#N/A,FALSE,"NrthUmpq";#N/A,#N/A,FALSE,"KlamRog"}</definedName>
    <definedName name="_______OM1_1" localSheetId="29" hidden="1">{#N/A,#N/A,FALSE,"Summary";#N/A,#N/A,FALSE,"SmPlants";#N/A,#N/A,FALSE,"Utah";#N/A,#N/A,FALSE,"Idaho";#N/A,#N/A,FALSE,"Lewis River";#N/A,#N/A,FALSE,"NrthUmpq";#N/A,#N/A,FALSE,"KlamRog"}</definedName>
    <definedName name="_______OM1_1" localSheetId="30" hidden="1">{#N/A,#N/A,FALSE,"Summary";#N/A,#N/A,FALSE,"SmPlants";#N/A,#N/A,FALSE,"Utah";#N/A,#N/A,FALSE,"Idaho";#N/A,#N/A,FALSE,"Lewis River";#N/A,#N/A,FALSE,"NrthUmpq";#N/A,#N/A,FALSE,"KlamRog"}</definedName>
    <definedName name="_______OM1_1" localSheetId="31" hidden="1">{#N/A,#N/A,FALSE,"Summary";#N/A,#N/A,FALSE,"SmPlants";#N/A,#N/A,FALSE,"Utah";#N/A,#N/A,FALSE,"Idaho";#N/A,#N/A,FALSE,"Lewis River";#N/A,#N/A,FALSE,"NrthUmpq";#N/A,#N/A,FALSE,"KlamRog"}</definedName>
    <definedName name="_______OM1_1" localSheetId="37" hidden="1">{#N/A,#N/A,FALSE,"Summary";#N/A,#N/A,FALSE,"SmPlants";#N/A,#N/A,FALSE,"Utah";#N/A,#N/A,FALSE,"Idaho";#N/A,#N/A,FALSE,"Lewis River";#N/A,#N/A,FALSE,"NrthUmpq";#N/A,#N/A,FALSE,"KlamRog"}</definedName>
    <definedName name="_______OM1_1" localSheetId="41" hidden="1">{#N/A,#N/A,FALSE,"Summary";#N/A,#N/A,FALSE,"SmPlants";#N/A,#N/A,FALSE,"Utah";#N/A,#N/A,FALSE,"Idaho";#N/A,#N/A,FALSE,"Lewis River";#N/A,#N/A,FALSE,"NrthUmpq";#N/A,#N/A,FALSE,"KlamRog"}</definedName>
    <definedName name="_______OM1_1" localSheetId="42" hidden="1">{#N/A,#N/A,FALSE,"Summary";#N/A,#N/A,FALSE,"SmPlants";#N/A,#N/A,FALSE,"Utah";#N/A,#N/A,FALSE,"Idaho";#N/A,#N/A,FALSE,"Lewis River";#N/A,#N/A,FALSE,"NrthUmpq";#N/A,#N/A,FALSE,"KlamRog"}</definedName>
    <definedName name="_______OM1_1" localSheetId="0" hidden="1">{#N/A,#N/A,FALSE,"Summary";#N/A,#N/A,FALSE,"SmPlants";#N/A,#N/A,FALSE,"Utah";#N/A,#N/A,FALSE,"Idaho";#N/A,#N/A,FALSE,"Lewis River";#N/A,#N/A,FALSE,"NrthUmpq";#N/A,#N/A,FALSE,"KlamRog"}</definedName>
    <definedName name="_______OM1_1" hidden="1">{#N/A,#N/A,FALSE,"Summary";#N/A,#N/A,FALSE,"SmPlants";#N/A,#N/A,FALSE,"Utah";#N/A,#N/A,FALSE,"Idaho";#N/A,#N/A,FALSE,"Lewis River";#N/A,#N/A,FALSE,"NrthUmpq";#N/A,#N/A,FALSE,"KlamRog"}</definedName>
    <definedName name="_______OM1_2" localSheetId="1" hidden="1">{#N/A,#N/A,FALSE,"Summary";#N/A,#N/A,FALSE,"SmPlants";#N/A,#N/A,FALSE,"Utah";#N/A,#N/A,FALSE,"Idaho";#N/A,#N/A,FALSE,"Lewis River";#N/A,#N/A,FALSE,"NrthUmpq";#N/A,#N/A,FALSE,"KlamRog"}</definedName>
    <definedName name="_______OM1_2" localSheetId="3" hidden="1">{#N/A,#N/A,FALSE,"Summary";#N/A,#N/A,FALSE,"SmPlants";#N/A,#N/A,FALSE,"Utah";#N/A,#N/A,FALSE,"Idaho";#N/A,#N/A,FALSE,"Lewis River";#N/A,#N/A,FALSE,"NrthUmpq";#N/A,#N/A,FALSE,"KlamRog"}</definedName>
    <definedName name="_______OM1_2" localSheetId="4" hidden="1">{#N/A,#N/A,FALSE,"Summary";#N/A,#N/A,FALSE,"SmPlants";#N/A,#N/A,FALSE,"Utah";#N/A,#N/A,FALSE,"Idaho";#N/A,#N/A,FALSE,"Lewis River";#N/A,#N/A,FALSE,"NrthUmpq";#N/A,#N/A,FALSE,"KlamRog"}</definedName>
    <definedName name="_______OM1_2" localSheetId="18" hidden="1">{#N/A,#N/A,FALSE,"Summary";#N/A,#N/A,FALSE,"SmPlants";#N/A,#N/A,FALSE,"Utah";#N/A,#N/A,FALSE,"Idaho";#N/A,#N/A,FALSE,"Lewis River";#N/A,#N/A,FALSE,"NrthUmpq";#N/A,#N/A,FALSE,"KlamRog"}</definedName>
    <definedName name="_______OM1_2" localSheetId="19" hidden="1">{#N/A,#N/A,FALSE,"Summary";#N/A,#N/A,FALSE,"SmPlants";#N/A,#N/A,FALSE,"Utah";#N/A,#N/A,FALSE,"Idaho";#N/A,#N/A,FALSE,"Lewis River";#N/A,#N/A,FALSE,"NrthUmpq";#N/A,#N/A,FALSE,"KlamRog"}</definedName>
    <definedName name="_______OM1_2" localSheetId="20" hidden="1">{#N/A,#N/A,FALSE,"Summary";#N/A,#N/A,FALSE,"SmPlants";#N/A,#N/A,FALSE,"Utah";#N/A,#N/A,FALSE,"Idaho";#N/A,#N/A,FALSE,"Lewis River";#N/A,#N/A,FALSE,"NrthUmpq";#N/A,#N/A,FALSE,"KlamRog"}</definedName>
    <definedName name="_______OM1_2" localSheetId="21" hidden="1">{#N/A,#N/A,FALSE,"Summary";#N/A,#N/A,FALSE,"SmPlants";#N/A,#N/A,FALSE,"Utah";#N/A,#N/A,FALSE,"Idaho";#N/A,#N/A,FALSE,"Lewis River";#N/A,#N/A,FALSE,"NrthUmpq";#N/A,#N/A,FALSE,"KlamRog"}</definedName>
    <definedName name="_______OM1_2" localSheetId="24" hidden="1">{#N/A,#N/A,FALSE,"Summary";#N/A,#N/A,FALSE,"SmPlants";#N/A,#N/A,FALSE,"Utah";#N/A,#N/A,FALSE,"Idaho";#N/A,#N/A,FALSE,"Lewis River";#N/A,#N/A,FALSE,"NrthUmpq";#N/A,#N/A,FALSE,"KlamRog"}</definedName>
    <definedName name="_______OM1_2" localSheetId="27" hidden="1">{#N/A,#N/A,FALSE,"Summary";#N/A,#N/A,FALSE,"SmPlants";#N/A,#N/A,FALSE,"Utah";#N/A,#N/A,FALSE,"Idaho";#N/A,#N/A,FALSE,"Lewis River";#N/A,#N/A,FALSE,"NrthUmpq";#N/A,#N/A,FALSE,"KlamRog"}</definedName>
    <definedName name="_______OM1_2" localSheetId="28" hidden="1">{#N/A,#N/A,FALSE,"Summary";#N/A,#N/A,FALSE,"SmPlants";#N/A,#N/A,FALSE,"Utah";#N/A,#N/A,FALSE,"Idaho";#N/A,#N/A,FALSE,"Lewis River";#N/A,#N/A,FALSE,"NrthUmpq";#N/A,#N/A,FALSE,"KlamRog"}</definedName>
    <definedName name="_______OM1_2" localSheetId="29" hidden="1">{#N/A,#N/A,FALSE,"Summary";#N/A,#N/A,FALSE,"SmPlants";#N/A,#N/A,FALSE,"Utah";#N/A,#N/A,FALSE,"Idaho";#N/A,#N/A,FALSE,"Lewis River";#N/A,#N/A,FALSE,"NrthUmpq";#N/A,#N/A,FALSE,"KlamRog"}</definedName>
    <definedName name="_______OM1_2" localSheetId="30" hidden="1">{#N/A,#N/A,FALSE,"Summary";#N/A,#N/A,FALSE,"SmPlants";#N/A,#N/A,FALSE,"Utah";#N/A,#N/A,FALSE,"Idaho";#N/A,#N/A,FALSE,"Lewis River";#N/A,#N/A,FALSE,"NrthUmpq";#N/A,#N/A,FALSE,"KlamRog"}</definedName>
    <definedName name="_______OM1_2" localSheetId="31" hidden="1">{#N/A,#N/A,FALSE,"Summary";#N/A,#N/A,FALSE,"SmPlants";#N/A,#N/A,FALSE,"Utah";#N/A,#N/A,FALSE,"Idaho";#N/A,#N/A,FALSE,"Lewis River";#N/A,#N/A,FALSE,"NrthUmpq";#N/A,#N/A,FALSE,"KlamRog"}</definedName>
    <definedName name="_______OM1_2" localSheetId="37" hidden="1">{#N/A,#N/A,FALSE,"Summary";#N/A,#N/A,FALSE,"SmPlants";#N/A,#N/A,FALSE,"Utah";#N/A,#N/A,FALSE,"Idaho";#N/A,#N/A,FALSE,"Lewis River";#N/A,#N/A,FALSE,"NrthUmpq";#N/A,#N/A,FALSE,"KlamRog"}</definedName>
    <definedName name="_______OM1_2" localSheetId="41" hidden="1">{#N/A,#N/A,FALSE,"Summary";#N/A,#N/A,FALSE,"SmPlants";#N/A,#N/A,FALSE,"Utah";#N/A,#N/A,FALSE,"Idaho";#N/A,#N/A,FALSE,"Lewis River";#N/A,#N/A,FALSE,"NrthUmpq";#N/A,#N/A,FALSE,"KlamRog"}</definedName>
    <definedName name="_______OM1_2" localSheetId="42" hidden="1">{#N/A,#N/A,FALSE,"Summary";#N/A,#N/A,FALSE,"SmPlants";#N/A,#N/A,FALSE,"Utah";#N/A,#N/A,FALSE,"Idaho";#N/A,#N/A,FALSE,"Lewis River";#N/A,#N/A,FALSE,"NrthUmpq";#N/A,#N/A,FALSE,"KlamRog"}</definedName>
    <definedName name="_______OM1_2" localSheetId="0" hidden="1">{#N/A,#N/A,FALSE,"Summary";#N/A,#N/A,FALSE,"SmPlants";#N/A,#N/A,FALSE,"Utah";#N/A,#N/A,FALSE,"Idaho";#N/A,#N/A,FALSE,"Lewis River";#N/A,#N/A,FALSE,"NrthUmpq";#N/A,#N/A,FALSE,"KlamRog"}</definedName>
    <definedName name="_______OM1_2" hidden="1">{#N/A,#N/A,FALSE,"Summary";#N/A,#N/A,FALSE,"SmPlants";#N/A,#N/A,FALSE,"Utah";#N/A,#N/A,FALSE,"Idaho";#N/A,#N/A,FALSE,"Lewis River";#N/A,#N/A,FALSE,"NrthUmpq";#N/A,#N/A,FALSE,"KlamRog"}</definedName>
    <definedName name="_______OM1_3" localSheetId="1" hidden="1">{#N/A,#N/A,FALSE,"Summary";#N/A,#N/A,FALSE,"SmPlants";#N/A,#N/A,FALSE,"Utah";#N/A,#N/A,FALSE,"Idaho";#N/A,#N/A,FALSE,"Lewis River";#N/A,#N/A,FALSE,"NrthUmpq";#N/A,#N/A,FALSE,"KlamRog"}</definedName>
    <definedName name="_______OM1_3" localSheetId="3" hidden="1">{#N/A,#N/A,FALSE,"Summary";#N/A,#N/A,FALSE,"SmPlants";#N/A,#N/A,FALSE,"Utah";#N/A,#N/A,FALSE,"Idaho";#N/A,#N/A,FALSE,"Lewis River";#N/A,#N/A,FALSE,"NrthUmpq";#N/A,#N/A,FALSE,"KlamRog"}</definedName>
    <definedName name="_______OM1_3" localSheetId="4" hidden="1">{#N/A,#N/A,FALSE,"Summary";#N/A,#N/A,FALSE,"SmPlants";#N/A,#N/A,FALSE,"Utah";#N/A,#N/A,FALSE,"Idaho";#N/A,#N/A,FALSE,"Lewis River";#N/A,#N/A,FALSE,"NrthUmpq";#N/A,#N/A,FALSE,"KlamRog"}</definedName>
    <definedName name="_______OM1_3" localSheetId="18" hidden="1">{#N/A,#N/A,FALSE,"Summary";#N/A,#N/A,FALSE,"SmPlants";#N/A,#N/A,FALSE,"Utah";#N/A,#N/A,FALSE,"Idaho";#N/A,#N/A,FALSE,"Lewis River";#N/A,#N/A,FALSE,"NrthUmpq";#N/A,#N/A,FALSE,"KlamRog"}</definedName>
    <definedName name="_______OM1_3" localSheetId="19" hidden="1">{#N/A,#N/A,FALSE,"Summary";#N/A,#N/A,FALSE,"SmPlants";#N/A,#N/A,FALSE,"Utah";#N/A,#N/A,FALSE,"Idaho";#N/A,#N/A,FALSE,"Lewis River";#N/A,#N/A,FALSE,"NrthUmpq";#N/A,#N/A,FALSE,"KlamRog"}</definedName>
    <definedName name="_______OM1_3" localSheetId="20" hidden="1">{#N/A,#N/A,FALSE,"Summary";#N/A,#N/A,FALSE,"SmPlants";#N/A,#N/A,FALSE,"Utah";#N/A,#N/A,FALSE,"Idaho";#N/A,#N/A,FALSE,"Lewis River";#N/A,#N/A,FALSE,"NrthUmpq";#N/A,#N/A,FALSE,"KlamRog"}</definedName>
    <definedName name="_______OM1_3" localSheetId="21" hidden="1">{#N/A,#N/A,FALSE,"Summary";#N/A,#N/A,FALSE,"SmPlants";#N/A,#N/A,FALSE,"Utah";#N/A,#N/A,FALSE,"Idaho";#N/A,#N/A,FALSE,"Lewis River";#N/A,#N/A,FALSE,"NrthUmpq";#N/A,#N/A,FALSE,"KlamRog"}</definedName>
    <definedName name="_______OM1_3" localSheetId="24" hidden="1">{#N/A,#N/A,FALSE,"Summary";#N/A,#N/A,FALSE,"SmPlants";#N/A,#N/A,FALSE,"Utah";#N/A,#N/A,FALSE,"Idaho";#N/A,#N/A,FALSE,"Lewis River";#N/A,#N/A,FALSE,"NrthUmpq";#N/A,#N/A,FALSE,"KlamRog"}</definedName>
    <definedName name="_______OM1_3" localSheetId="27" hidden="1">{#N/A,#N/A,FALSE,"Summary";#N/A,#N/A,FALSE,"SmPlants";#N/A,#N/A,FALSE,"Utah";#N/A,#N/A,FALSE,"Idaho";#N/A,#N/A,FALSE,"Lewis River";#N/A,#N/A,FALSE,"NrthUmpq";#N/A,#N/A,FALSE,"KlamRog"}</definedName>
    <definedName name="_______OM1_3" localSheetId="28" hidden="1">{#N/A,#N/A,FALSE,"Summary";#N/A,#N/A,FALSE,"SmPlants";#N/A,#N/A,FALSE,"Utah";#N/A,#N/A,FALSE,"Idaho";#N/A,#N/A,FALSE,"Lewis River";#N/A,#N/A,FALSE,"NrthUmpq";#N/A,#N/A,FALSE,"KlamRog"}</definedName>
    <definedName name="_______OM1_3" localSheetId="29" hidden="1">{#N/A,#N/A,FALSE,"Summary";#N/A,#N/A,FALSE,"SmPlants";#N/A,#N/A,FALSE,"Utah";#N/A,#N/A,FALSE,"Idaho";#N/A,#N/A,FALSE,"Lewis River";#N/A,#N/A,FALSE,"NrthUmpq";#N/A,#N/A,FALSE,"KlamRog"}</definedName>
    <definedName name="_______OM1_3" localSheetId="30" hidden="1">{#N/A,#N/A,FALSE,"Summary";#N/A,#N/A,FALSE,"SmPlants";#N/A,#N/A,FALSE,"Utah";#N/A,#N/A,FALSE,"Idaho";#N/A,#N/A,FALSE,"Lewis River";#N/A,#N/A,FALSE,"NrthUmpq";#N/A,#N/A,FALSE,"KlamRog"}</definedName>
    <definedName name="_______OM1_3" localSheetId="31" hidden="1">{#N/A,#N/A,FALSE,"Summary";#N/A,#N/A,FALSE,"SmPlants";#N/A,#N/A,FALSE,"Utah";#N/A,#N/A,FALSE,"Idaho";#N/A,#N/A,FALSE,"Lewis River";#N/A,#N/A,FALSE,"NrthUmpq";#N/A,#N/A,FALSE,"KlamRog"}</definedName>
    <definedName name="_______OM1_3" localSheetId="37" hidden="1">{#N/A,#N/A,FALSE,"Summary";#N/A,#N/A,FALSE,"SmPlants";#N/A,#N/A,FALSE,"Utah";#N/A,#N/A,FALSE,"Idaho";#N/A,#N/A,FALSE,"Lewis River";#N/A,#N/A,FALSE,"NrthUmpq";#N/A,#N/A,FALSE,"KlamRog"}</definedName>
    <definedName name="_______OM1_3" localSheetId="41" hidden="1">{#N/A,#N/A,FALSE,"Summary";#N/A,#N/A,FALSE,"SmPlants";#N/A,#N/A,FALSE,"Utah";#N/A,#N/A,FALSE,"Idaho";#N/A,#N/A,FALSE,"Lewis River";#N/A,#N/A,FALSE,"NrthUmpq";#N/A,#N/A,FALSE,"KlamRog"}</definedName>
    <definedName name="_______OM1_3" localSheetId="42" hidden="1">{#N/A,#N/A,FALSE,"Summary";#N/A,#N/A,FALSE,"SmPlants";#N/A,#N/A,FALSE,"Utah";#N/A,#N/A,FALSE,"Idaho";#N/A,#N/A,FALSE,"Lewis River";#N/A,#N/A,FALSE,"NrthUmpq";#N/A,#N/A,FALSE,"KlamRog"}</definedName>
    <definedName name="_______OM1_3" localSheetId="0" hidden="1">{#N/A,#N/A,FALSE,"Summary";#N/A,#N/A,FALSE,"SmPlants";#N/A,#N/A,FALSE,"Utah";#N/A,#N/A,FALSE,"Idaho";#N/A,#N/A,FALSE,"Lewis River";#N/A,#N/A,FALSE,"NrthUmpq";#N/A,#N/A,FALSE,"KlamRog"}</definedName>
    <definedName name="_______OM1_3" hidden="1">{#N/A,#N/A,FALSE,"Summary";#N/A,#N/A,FALSE,"SmPlants";#N/A,#N/A,FALSE,"Utah";#N/A,#N/A,FALSE,"Idaho";#N/A,#N/A,FALSE,"Lewis River";#N/A,#N/A,FALSE,"NrthUmpq";#N/A,#N/A,FALSE,"KlamRog"}</definedName>
    <definedName name="_______OM1_4" localSheetId="1" hidden="1">{#N/A,#N/A,FALSE,"Summary";#N/A,#N/A,FALSE,"SmPlants";#N/A,#N/A,FALSE,"Utah";#N/A,#N/A,FALSE,"Idaho";#N/A,#N/A,FALSE,"Lewis River";#N/A,#N/A,FALSE,"NrthUmpq";#N/A,#N/A,FALSE,"KlamRog"}</definedName>
    <definedName name="_______OM1_4" localSheetId="3" hidden="1">{#N/A,#N/A,FALSE,"Summary";#N/A,#N/A,FALSE,"SmPlants";#N/A,#N/A,FALSE,"Utah";#N/A,#N/A,FALSE,"Idaho";#N/A,#N/A,FALSE,"Lewis River";#N/A,#N/A,FALSE,"NrthUmpq";#N/A,#N/A,FALSE,"KlamRog"}</definedName>
    <definedName name="_______OM1_4" localSheetId="4" hidden="1">{#N/A,#N/A,FALSE,"Summary";#N/A,#N/A,FALSE,"SmPlants";#N/A,#N/A,FALSE,"Utah";#N/A,#N/A,FALSE,"Idaho";#N/A,#N/A,FALSE,"Lewis River";#N/A,#N/A,FALSE,"NrthUmpq";#N/A,#N/A,FALSE,"KlamRog"}</definedName>
    <definedName name="_______OM1_4" localSheetId="18" hidden="1">{#N/A,#N/A,FALSE,"Summary";#N/A,#N/A,FALSE,"SmPlants";#N/A,#N/A,FALSE,"Utah";#N/A,#N/A,FALSE,"Idaho";#N/A,#N/A,FALSE,"Lewis River";#N/A,#N/A,FALSE,"NrthUmpq";#N/A,#N/A,FALSE,"KlamRog"}</definedName>
    <definedName name="_______OM1_4" localSheetId="19" hidden="1">{#N/A,#N/A,FALSE,"Summary";#N/A,#N/A,FALSE,"SmPlants";#N/A,#N/A,FALSE,"Utah";#N/A,#N/A,FALSE,"Idaho";#N/A,#N/A,FALSE,"Lewis River";#N/A,#N/A,FALSE,"NrthUmpq";#N/A,#N/A,FALSE,"KlamRog"}</definedName>
    <definedName name="_______OM1_4" localSheetId="20" hidden="1">{#N/A,#N/A,FALSE,"Summary";#N/A,#N/A,FALSE,"SmPlants";#N/A,#N/A,FALSE,"Utah";#N/A,#N/A,FALSE,"Idaho";#N/A,#N/A,FALSE,"Lewis River";#N/A,#N/A,FALSE,"NrthUmpq";#N/A,#N/A,FALSE,"KlamRog"}</definedName>
    <definedName name="_______OM1_4" localSheetId="21" hidden="1">{#N/A,#N/A,FALSE,"Summary";#N/A,#N/A,FALSE,"SmPlants";#N/A,#N/A,FALSE,"Utah";#N/A,#N/A,FALSE,"Idaho";#N/A,#N/A,FALSE,"Lewis River";#N/A,#N/A,FALSE,"NrthUmpq";#N/A,#N/A,FALSE,"KlamRog"}</definedName>
    <definedName name="_______OM1_4" localSheetId="24" hidden="1">{#N/A,#N/A,FALSE,"Summary";#N/A,#N/A,FALSE,"SmPlants";#N/A,#N/A,FALSE,"Utah";#N/A,#N/A,FALSE,"Idaho";#N/A,#N/A,FALSE,"Lewis River";#N/A,#N/A,FALSE,"NrthUmpq";#N/A,#N/A,FALSE,"KlamRog"}</definedName>
    <definedName name="_______OM1_4" localSheetId="27" hidden="1">{#N/A,#N/A,FALSE,"Summary";#N/A,#N/A,FALSE,"SmPlants";#N/A,#N/A,FALSE,"Utah";#N/A,#N/A,FALSE,"Idaho";#N/A,#N/A,FALSE,"Lewis River";#N/A,#N/A,FALSE,"NrthUmpq";#N/A,#N/A,FALSE,"KlamRog"}</definedName>
    <definedName name="_______OM1_4" localSheetId="28" hidden="1">{#N/A,#N/A,FALSE,"Summary";#N/A,#N/A,FALSE,"SmPlants";#N/A,#N/A,FALSE,"Utah";#N/A,#N/A,FALSE,"Idaho";#N/A,#N/A,FALSE,"Lewis River";#N/A,#N/A,FALSE,"NrthUmpq";#N/A,#N/A,FALSE,"KlamRog"}</definedName>
    <definedName name="_______OM1_4" localSheetId="29" hidden="1">{#N/A,#N/A,FALSE,"Summary";#N/A,#N/A,FALSE,"SmPlants";#N/A,#N/A,FALSE,"Utah";#N/A,#N/A,FALSE,"Idaho";#N/A,#N/A,FALSE,"Lewis River";#N/A,#N/A,FALSE,"NrthUmpq";#N/A,#N/A,FALSE,"KlamRog"}</definedName>
    <definedName name="_______OM1_4" localSheetId="30" hidden="1">{#N/A,#N/A,FALSE,"Summary";#N/A,#N/A,FALSE,"SmPlants";#N/A,#N/A,FALSE,"Utah";#N/A,#N/A,FALSE,"Idaho";#N/A,#N/A,FALSE,"Lewis River";#N/A,#N/A,FALSE,"NrthUmpq";#N/A,#N/A,FALSE,"KlamRog"}</definedName>
    <definedName name="_______OM1_4" localSheetId="31" hidden="1">{#N/A,#N/A,FALSE,"Summary";#N/A,#N/A,FALSE,"SmPlants";#N/A,#N/A,FALSE,"Utah";#N/A,#N/A,FALSE,"Idaho";#N/A,#N/A,FALSE,"Lewis River";#N/A,#N/A,FALSE,"NrthUmpq";#N/A,#N/A,FALSE,"KlamRog"}</definedName>
    <definedName name="_______OM1_4" localSheetId="37" hidden="1">{#N/A,#N/A,FALSE,"Summary";#N/A,#N/A,FALSE,"SmPlants";#N/A,#N/A,FALSE,"Utah";#N/A,#N/A,FALSE,"Idaho";#N/A,#N/A,FALSE,"Lewis River";#N/A,#N/A,FALSE,"NrthUmpq";#N/A,#N/A,FALSE,"KlamRog"}</definedName>
    <definedName name="_______OM1_4" localSheetId="41" hidden="1">{#N/A,#N/A,FALSE,"Summary";#N/A,#N/A,FALSE,"SmPlants";#N/A,#N/A,FALSE,"Utah";#N/A,#N/A,FALSE,"Idaho";#N/A,#N/A,FALSE,"Lewis River";#N/A,#N/A,FALSE,"NrthUmpq";#N/A,#N/A,FALSE,"KlamRog"}</definedName>
    <definedName name="_______OM1_4" localSheetId="42" hidden="1">{#N/A,#N/A,FALSE,"Summary";#N/A,#N/A,FALSE,"SmPlants";#N/A,#N/A,FALSE,"Utah";#N/A,#N/A,FALSE,"Idaho";#N/A,#N/A,FALSE,"Lewis River";#N/A,#N/A,FALSE,"NrthUmpq";#N/A,#N/A,FALSE,"KlamRog"}</definedName>
    <definedName name="_______OM1_4" localSheetId="0" hidden="1">{#N/A,#N/A,FALSE,"Summary";#N/A,#N/A,FALSE,"SmPlants";#N/A,#N/A,FALSE,"Utah";#N/A,#N/A,FALSE,"Idaho";#N/A,#N/A,FALSE,"Lewis River";#N/A,#N/A,FALSE,"NrthUmpq";#N/A,#N/A,FALSE,"KlamRog"}</definedName>
    <definedName name="_______OM1_4" hidden="1">{#N/A,#N/A,FALSE,"Summary";#N/A,#N/A,FALSE,"SmPlants";#N/A,#N/A,FALSE,"Utah";#N/A,#N/A,FALSE,"Idaho";#N/A,#N/A,FALSE,"Lewis River";#N/A,#N/A,FALSE,"NrthUmpq";#N/A,#N/A,FALSE,"KlamRog"}</definedName>
    <definedName name="_______OM1_5" localSheetId="1" hidden="1">{#N/A,#N/A,FALSE,"Summary";#N/A,#N/A,FALSE,"SmPlants";#N/A,#N/A,FALSE,"Utah";#N/A,#N/A,FALSE,"Idaho";#N/A,#N/A,FALSE,"Lewis River";#N/A,#N/A,FALSE,"NrthUmpq";#N/A,#N/A,FALSE,"KlamRog"}</definedName>
    <definedName name="_______OM1_5" localSheetId="3" hidden="1">{#N/A,#N/A,FALSE,"Summary";#N/A,#N/A,FALSE,"SmPlants";#N/A,#N/A,FALSE,"Utah";#N/A,#N/A,FALSE,"Idaho";#N/A,#N/A,FALSE,"Lewis River";#N/A,#N/A,FALSE,"NrthUmpq";#N/A,#N/A,FALSE,"KlamRog"}</definedName>
    <definedName name="_______OM1_5" localSheetId="4" hidden="1">{#N/A,#N/A,FALSE,"Summary";#N/A,#N/A,FALSE,"SmPlants";#N/A,#N/A,FALSE,"Utah";#N/A,#N/A,FALSE,"Idaho";#N/A,#N/A,FALSE,"Lewis River";#N/A,#N/A,FALSE,"NrthUmpq";#N/A,#N/A,FALSE,"KlamRog"}</definedName>
    <definedName name="_______OM1_5" localSheetId="18" hidden="1">{#N/A,#N/A,FALSE,"Summary";#N/A,#N/A,FALSE,"SmPlants";#N/A,#N/A,FALSE,"Utah";#N/A,#N/A,FALSE,"Idaho";#N/A,#N/A,FALSE,"Lewis River";#N/A,#N/A,FALSE,"NrthUmpq";#N/A,#N/A,FALSE,"KlamRog"}</definedName>
    <definedName name="_______OM1_5" localSheetId="19" hidden="1">{#N/A,#N/A,FALSE,"Summary";#N/A,#N/A,FALSE,"SmPlants";#N/A,#N/A,FALSE,"Utah";#N/A,#N/A,FALSE,"Idaho";#N/A,#N/A,FALSE,"Lewis River";#N/A,#N/A,FALSE,"NrthUmpq";#N/A,#N/A,FALSE,"KlamRog"}</definedName>
    <definedName name="_______OM1_5" localSheetId="20" hidden="1">{#N/A,#N/A,FALSE,"Summary";#N/A,#N/A,FALSE,"SmPlants";#N/A,#N/A,FALSE,"Utah";#N/A,#N/A,FALSE,"Idaho";#N/A,#N/A,FALSE,"Lewis River";#N/A,#N/A,FALSE,"NrthUmpq";#N/A,#N/A,FALSE,"KlamRog"}</definedName>
    <definedName name="_______OM1_5" localSheetId="21" hidden="1">{#N/A,#N/A,FALSE,"Summary";#N/A,#N/A,FALSE,"SmPlants";#N/A,#N/A,FALSE,"Utah";#N/A,#N/A,FALSE,"Idaho";#N/A,#N/A,FALSE,"Lewis River";#N/A,#N/A,FALSE,"NrthUmpq";#N/A,#N/A,FALSE,"KlamRog"}</definedName>
    <definedName name="_______OM1_5" localSheetId="24" hidden="1">{#N/A,#N/A,FALSE,"Summary";#N/A,#N/A,FALSE,"SmPlants";#N/A,#N/A,FALSE,"Utah";#N/A,#N/A,FALSE,"Idaho";#N/A,#N/A,FALSE,"Lewis River";#N/A,#N/A,FALSE,"NrthUmpq";#N/A,#N/A,FALSE,"KlamRog"}</definedName>
    <definedName name="_______OM1_5" localSheetId="27" hidden="1">{#N/A,#N/A,FALSE,"Summary";#N/A,#N/A,FALSE,"SmPlants";#N/A,#N/A,FALSE,"Utah";#N/A,#N/A,FALSE,"Idaho";#N/A,#N/A,FALSE,"Lewis River";#N/A,#N/A,FALSE,"NrthUmpq";#N/A,#N/A,FALSE,"KlamRog"}</definedName>
    <definedName name="_______OM1_5" localSheetId="28" hidden="1">{#N/A,#N/A,FALSE,"Summary";#N/A,#N/A,FALSE,"SmPlants";#N/A,#N/A,FALSE,"Utah";#N/A,#N/A,FALSE,"Idaho";#N/A,#N/A,FALSE,"Lewis River";#N/A,#N/A,FALSE,"NrthUmpq";#N/A,#N/A,FALSE,"KlamRog"}</definedName>
    <definedName name="_______OM1_5" localSheetId="29" hidden="1">{#N/A,#N/A,FALSE,"Summary";#N/A,#N/A,FALSE,"SmPlants";#N/A,#N/A,FALSE,"Utah";#N/A,#N/A,FALSE,"Idaho";#N/A,#N/A,FALSE,"Lewis River";#N/A,#N/A,FALSE,"NrthUmpq";#N/A,#N/A,FALSE,"KlamRog"}</definedName>
    <definedName name="_______OM1_5" localSheetId="30" hidden="1">{#N/A,#N/A,FALSE,"Summary";#N/A,#N/A,FALSE,"SmPlants";#N/A,#N/A,FALSE,"Utah";#N/A,#N/A,FALSE,"Idaho";#N/A,#N/A,FALSE,"Lewis River";#N/A,#N/A,FALSE,"NrthUmpq";#N/A,#N/A,FALSE,"KlamRog"}</definedName>
    <definedName name="_______OM1_5" localSheetId="31" hidden="1">{#N/A,#N/A,FALSE,"Summary";#N/A,#N/A,FALSE,"SmPlants";#N/A,#N/A,FALSE,"Utah";#N/A,#N/A,FALSE,"Idaho";#N/A,#N/A,FALSE,"Lewis River";#N/A,#N/A,FALSE,"NrthUmpq";#N/A,#N/A,FALSE,"KlamRog"}</definedName>
    <definedName name="_______OM1_5" localSheetId="37" hidden="1">{#N/A,#N/A,FALSE,"Summary";#N/A,#N/A,FALSE,"SmPlants";#N/A,#N/A,FALSE,"Utah";#N/A,#N/A,FALSE,"Idaho";#N/A,#N/A,FALSE,"Lewis River";#N/A,#N/A,FALSE,"NrthUmpq";#N/A,#N/A,FALSE,"KlamRog"}</definedName>
    <definedName name="_______OM1_5" localSheetId="41" hidden="1">{#N/A,#N/A,FALSE,"Summary";#N/A,#N/A,FALSE,"SmPlants";#N/A,#N/A,FALSE,"Utah";#N/A,#N/A,FALSE,"Idaho";#N/A,#N/A,FALSE,"Lewis River";#N/A,#N/A,FALSE,"NrthUmpq";#N/A,#N/A,FALSE,"KlamRog"}</definedName>
    <definedName name="_______OM1_5" localSheetId="42" hidden="1">{#N/A,#N/A,FALSE,"Summary";#N/A,#N/A,FALSE,"SmPlants";#N/A,#N/A,FALSE,"Utah";#N/A,#N/A,FALSE,"Idaho";#N/A,#N/A,FALSE,"Lewis River";#N/A,#N/A,FALSE,"NrthUmpq";#N/A,#N/A,FALSE,"KlamRog"}</definedName>
    <definedName name="_______OM1_5" localSheetId="0" hidden="1">{#N/A,#N/A,FALSE,"Summary";#N/A,#N/A,FALSE,"SmPlants";#N/A,#N/A,FALSE,"Utah";#N/A,#N/A,FALSE,"Idaho";#N/A,#N/A,FALSE,"Lewis River";#N/A,#N/A,FALSE,"NrthUmpq";#N/A,#N/A,FALSE,"KlamRog"}</definedName>
    <definedName name="_______OM1_5" hidden="1">{#N/A,#N/A,FALSE,"Summary";#N/A,#N/A,FALSE,"SmPlants";#N/A,#N/A,FALSE,"Utah";#N/A,#N/A,FALSE,"Idaho";#N/A,#N/A,FALSE,"Lewis River";#N/A,#N/A,FALSE,"NrthUmpq";#N/A,#N/A,FALSE,"KlamRog"}</definedName>
    <definedName name="_____OM1" localSheetId="1" hidden="1">{#N/A,#N/A,FALSE,"Summary";#N/A,#N/A,FALSE,"SmPlants";#N/A,#N/A,FALSE,"Utah";#N/A,#N/A,FALSE,"Idaho";#N/A,#N/A,FALSE,"Lewis River";#N/A,#N/A,FALSE,"NrthUmpq";#N/A,#N/A,FALSE,"KlamRog"}</definedName>
    <definedName name="_____OM1" localSheetId="3" hidden="1">{#N/A,#N/A,FALSE,"Summary";#N/A,#N/A,FALSE,"SmPlants";#N/A,#N/A,FALSE,"Utah";#N/A,#N/A,FALSE,"Idaho";#N/A,#N/A,FALSE,"Lewis River";#N/A,#N/A,FALSE,"NrthUmpq";#N/A,#N/A,FALSE,"KlamRog"}</definedName>
    <definedName name="_____OM1" localSheetId="4" hidden="1">{#N/A,#N/A,FALSE,"Summary";#N/A,#N/A,FALSE,"SmPlants";#N/A,#N/A,FALSE,"Utah";#N/A,#N/A,FALSE,"Idaho";#N/A,#N/A,FALSE,"Lewis River";#N/A,#N/A,FALSE,"NrthUmpq";#N/A,#N/A,FALSE,"KlamRog"}</definedName>
    <definedName name="_____OM1" localSheetId="18" hidden="1">{#N/A,#N/A,FALSE,"Summary";#N/A,#N/A,FALSE,"SmPlants";#N/A,#N/A,FALSE,"Utah";#N/A,#N/A,FALSE,"Idaho";#N/A,#N/A,FALSE,"Lewis River";#N/A,#N/A,FALSE,"NrthUmpq";#N/A,#N/A,FALSE,"KlamRog"}</definedName>
    <definedName name="_____OM1" localSheetId="19" hidden="1">{#N/A,#N/A,FALSE,"Summary";#N/A,#N/A,FALSE,"SmPlants";#N/A,#N/A,FALSE,"Utah";#N/A,#N/A,FALSE,"Idaho";#N/A,#N/A,FALSE,"Lewis River";#N/A,#N/A,FALSE,"NrthUmpq";#N/A,#N/A,FALSE,"KlamRog"}</definedName>
    <definedName name="_____OM1" localSheetId="20" hidden="1">{#N/A,#N/A,FALSE,"Summary";#N/A,#N/A,FALSE,"SmPlants";#N/A,#N/A,FALSE,"Utah";#N/A,#N/A,FALSE,"Idaho";#N/A,#N/A,FALSE,"Lewis River";#N/A,#N/A,FALSE,"NrthUmpq";#N/A,#N/A,FALSE,"KlamRog"}</definedName>
    <definedName name="_____OM1" localSheetId="21" hidden="1">{#N/A,#N/A,FALSE,"Summary";#N/A,#N/A,FALSE,"SmPlants";#N/A,#N/A,FALSE,"Utah";#N/A,#N/A,FALSE,"Idaho";#N/A,#N/A,FALSE,"Lewis River";#N/A,#N/A,FALSE,"NrthUmpq";#N/A,#N/A,FALSE,"KlamRog"}</definedName>
    <definedName name="_____OM1" localSheetId="24" hidden="1">{#N/A,#N/A,FALSE,"Summary";#N/A,#N/A,FALSE,"SmPlants";#N/A,#N/A,FALSE,"Utah";#N/A,#N/A,FALSE,"Idaho";#N/A,#N/A,FALSE,"Lewis River";#N/A,#N/A,FALSE,"NrthUmpq";#N/A,#N/A,FALSE,"KlamRog"}</definedName>
    <definedName name="_____OM1" localSheetId="27" hidden="1">{#N/A,#N/A,FALSE,"Summary";#N/A,#N/A,FALSE,"SmPlants";#N/A,#N/A,FALSE,"Utah";#N/A,#N/A,FALSE,"Idaho";#N/A,#N/A,FALSE,"Lewis River";#N/A,#N/A,FALSE,"NrthUmpq";#N/A,#N/A,FALSE,"KlamRog"}</definedName>
    <definedName name="_____OM1" localSheetId="28" hidden="1">{#N/A,#N/A,FALSE,"Summary";#N/A,#N/A,FALSE,"SmPlants";#N/A,#N/A,FALSE,"Utah";#N/A,#N/A,FALSE,"Idaho";#N/A,#N/A,FALSE,"Lewis River";#N/A,#N/A,FALSE,"NrthUmpq";#N/A,#N/A,FALSE,"KlamRog"}</definedName>
    <definedName name="_____OM1" localSheetId="29" hidden="1">{#N/A,#N/A,FALSE,"Summary";#N/A,#N/A,FALSE,"SmPlants";#N/A,#N/A,FALSE,"Utah";#N/A,#N/A,FALSE,"Idaho";#N/A,#N/A,FALSE,"Lewis River";#N/A,#N/A,FALSE,"NrthUmpq";#N/A,#N/A,FALSE,"KlamRog"}</definedName>
    <definedName name="_____OM1" localSheetId="30" hidden="1">{#N/A,#N/A,FALSE,"Summary";#N/A,#N/A,FALSE,"SmPlants";#N/A,#N/A,FALSE,"Utah";#N/A,#N/A,FALSE,"Idaho";#N/A,#N/A,FALSE,"Lewis River";#N/A,#N/A,FALSE,"NrthUmpq";#N/A,#N/A,FALSE,"KlamRog"}</definedName>
    <definedName name="_____OM1" localSheetId="31" hidden="1">{#N/A,#N/A,FALSE,"Summary";#N/A,#N/A,FALSE,"SmPlants";#N/A,#N/A,FALSE,"Utah";#N/A,#N/A,FALSE,"Idaho";#N/A,#N/A,FALSE,"Lewis River";#N/A,#N/A,FALSE,"NrthUmpq";#N/A,#N/A,FALSE,"KlamRog"}</definedName>
    <definedName name="_____OM1" localSheetId="37" hidden="1">{#N/A,#N/A,FALSE,"Summary";#N/A,#N/A,FALSE,"SmPlants";#N/A,#N/A,FALSE,"Utah";#N/A,#N/A,FALSE,"Idaho";#N/A,#N/A,FALSE,"Lewis River";#N/A,#N/A,FALSE,"NrthUmpq";#N/A,#N/A,FALSE,"KlamRog"}</definedName>
    <definedName name="_____OM1" localSheetId="41" hidden="1">{#N/A,#N/A,FALSE,"Summary";#N/A,#N/A,FALSE,"SmPlants";#N/A,#N/A,FALSE,"Utah";#N/A,#N/A,FALSE,"Idaho";#N/A,#N/A,FALSE,"Lewis River";#N/A,#N/A,FALSE,"NrthUmpq";#N/A,#N/A,FALSE,"KlamRog"}</definedName>
    <definedName name="_____OM1" localSheetId="42" hidden="1">{#N/A,#N/A,FALSE,"Summary";#N/A,#N/A,FALSE,"SmPlants";#N/A,#N/A,FALSE,"Utah";#N/A,#N/A,FALSE,"Idaho";#N/A,#N/A,FALSE,"Lewis River";#N/A,#N/A,FALSE,"NrthUmpq";#N/A,#N/A,FALSE,"KlamRog"}</definedName>
    <definedName name="_____OM1" localSheetId="0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OM1_1" localSheetId="1" hidden="1">{#N/A,#N/A,FALSE,"Summary";#N/A,#N/A,FALSE,"SmPlants";#N/A,#N/A,FALSE,"Utah";#N/A,#N/A,FALSE,"Idaho";#N/A,#N/A,FALSE,"Lewis River";#N/A,#N/A,FALSE,"NrthUmpq";#N/A,#N/A,FALSE,"KlamRog"}</definedName>
    <definedName name="_____OM1_1" localSheetId="3" hidden="1">{#N/A,#N/A,FALSE,"Summary";#N/A,#N/A,FALSE,"SmPlants";#N/A,#N/A,FALSE,"Utah";#N/A,#N/A,FALSE,"Idaho";#N/A,#N/A,FALSE,"Lewis River";#N/A,#N/A,FALSE,"NrthUmpq";#N/A,#N/A,FALSE,"KlamRog"}</definedName>
    <definedName name="_____OM1_1" localSheetId="4" hidden="1">{#N/A,#N/A,FALSE,"Summary";#N/A,#N/A,FALSE,"SmPlants";#N/A,#N/A,FALSE,"Utah";#N/A,#N/A,FALSE,"Idaho";#N/A,#N/A,FALSE,"Lewis River";#N/A,#N/A,FALSE,"NrthUmpq";#N/A,#N/A,FALSE,"KlamRog"}</definedName>
    <definedName name="_____OM1_1" localSheetId="18" hidden="1">{#N/A,#N/A,FALSE,"Summary";#N/A,#N/A,FALSE,"SmPlants";#N/A,#N/A,FALSE,"Utah";#N/A,#N/A,FALSE,"Idaho";#N/A,#N/A,FALSE,"Lewis River";#N/A,#N/A,FALSE,"NrthUmpq";#N/A,#N/A,FALSE,"KlamRog"}</definedName>
    <definedName name="_____OM1_1" localSheetId="19" hidden="1">{#N/A,#N/A,FALSE,"Summary";#N/A,#N/A,FALSE,"SmPlants";#N/A,#N/A,FALSE,"Utah";#N/A,#N/A,FALSE,"Idaho";#N/A,#N/A,FALSE,"Lewis River";#N/A,#N/A,FALSE,"NrthUmpq";#N/A,#N/A,FALSE,"KlamRog"}</definedName>
    <definedName name="_____OM1_1" localSheetId="20" hidden="1">{#N/A,#N/A,FALSE,"Summary";#N/A,#N/A,FALSE,"SmPlants";#N/A,#N/A,FALSE,"Utah";#N/A,#N/A,FALSE,"Idaho";#N/A,#N/A,FALSE,"Lewis River";#N/A,#N/A,FALSE,"NrthUmpq";#N/A,#N/A,FALSE,"KlamRog"}</definedName>
    <definedName name="_____OM1_1" localSheetId="21" hidden="1">{#N/A,#N/A,FALSE,"Summary";#N/A,#N/A,FALSE,"SmPlants";#N/A,#N/A,FALSE,"Utah";#N/A,#N/A,FALSE,"Idaho";#N/A,#N/A,FALSE,"Lewis River";#N/A,#N/A,FALSE,"NrthUmpq";#N/A,#N/A,FALSE,"KlamRog"}</definedName>
    <definedName name="_____OM1_1" localSheetId="24" hidden="1">{#N/A,#N/A,FALSE,"Summary";#N/A,#N/A,FALSE,"SmPlants";#N/A,#N/A,FALSE,"Utah";#N/A,#N/A,FALSE,"Idaho";#N/A,#N/A,FALSE,"Lewis River";#N/A,#N/A,FALSE,"NrthUmpq";#N/A,#N/A,FALSE,"KlamRog"}</definedName>
    <definedName name="_____OM1_1" localSheetId="27" hidden="1">{#N/A,#N/A,FALSE,"Summary";#N/A,#N/A,FALSE,"SmPlants";#N/A,#N/A,FALSE,"Utah";#N/A,#N/A,FALSE,"Idaho";#N/A,#N/A,FALSE,"Lewis River";#N/A,#N/A,FALSE,"NrthUmpq";#N/A,#N/A,FALSE,"KlamRog"}</definedName>
    <definedName name="_____OM1_1" localSheetId="28" hidden="1">{#N/A,#N/A,FALSE,"Summary";#N/A,#N/A,FALSE,"SmPlants";#N/A,#N/A,FALSE,"Utah";#N/A,#N/A,FALSE,"Idaho";#N/A,#N/A,FALSE,"Lewis River";#N/A,#N/A,FALSE,"NrthUmpq";#N/A,#N/A,FALSE,"KlamRog"}</definedName>
    <definedName name="_____OM1_1" localSheetId="29" hidden="1">{#N/A,#N/A,FALSE,"Summary";#N/A,#N/A,FALSE,"SmPlants";#N/A,#N/A,FALSE,"Utah";#N/A,#N/A,FALSE,"Idaho";#N/A,#N/A,FALSE,"Lewis River";#N/A,#N/A,FALSE,"NrthUmpq";#N/A,#N/A,FALSE,"KlamRog"}</definedName>
    <definedName name="_____OM1_1" localSheetId="30" hidden="1">{#N/A,#N/A,FALSE,"Summary";#N/A,#N/A,FALSE,"SmPlants";#N/A,#N/A,FALSE,"Utah";#N/A,#N/A,FALSE,"Idaho";#N/A,#N/A,FALSE,"Lewis River";#N/A,#N/A,FALSE,"NrthUmpq";#N/A,#N/A,FALSE,"KlamRog"}</definedName>
    <definedName name="_____OM1_1" localSheetId="31" hidden="1">{#N/A,#N/A,FALSE,"Summary";#N/A,#N/A,FALSE,"SmPlants";#N/A,#N/A,FALSE,"Utah";#N/A,#N/A,FALSE,"Idaho";#N/A,#N/A,FALSE,"Lewis River";#N/A,#N/A,FALSE,"NrthUmpq";#N/A,#N/A,FALSE,"KlamRog"}</definedName>
    <definedName name="_____OM1_1" localSheetId="37" hidden="1">{#N/A,#N/A,FALSE,"Summary";#N/A,#N/A,FALSE,"SmPlants";#N/A,#N/A,FALSE,"Utah";#N/A,#N/A,FALSE,"Idaho";#N/A,#N/A,FALSE,"Lewis River";#N/A,#N/A,FALSE,"NrthUmpq";#N/A,#N/A,FALSE,"KlamRog"}</definedName>
    <definedName name="_____OM1_1" localSheetId="41" hidden="1">{#N/A,#N/A,FALSE,"Summary";#N/A,#N/A,FALSE,"SmPlants";#N/A,#N/A,FALSE,"Utah";#N/A,#N/A,FALSE,"Idaho";#N/A,#N/A,FALSE,"Lewis River";#N/A,#N/A,FALSE,"NrthUmpq";#N/A,#N/A,FALSE,"KlamRog"}</definedName>
    <definedName name="_____OM1_1" localSheetId="42" hidden="1">{#N/A,#N/A,FALSE,"Summary";#N/A,#N/A,FALSE,"SmPlants";#N/A,#N/A,FALSE,"Utah";#N/A,#N/A,FALSE,"Idaho";#N/A,#N/A,FALSE,"Lewis River";#N/A,#N/A,FALSE,"NrthUmpq";#N/A,#N/A,FALSE,"KlamRog"}</definedName>
    <definedName name="_____OM1_1" localSheetId="0" hidden="1">{#N/A,#N/A,FALSE,"Summary";#N/A,#N/A,FALSE,"SmPlants";#N/A,#N/A,FALSE,"Utah";#N/A,#N/A,FALSE,"Idaho";#N/A,#N/A,FALSE,"Lewis River";#N/A,#N/A,FALSE,"NrthUmpq";#N/A,#N/A,FALSE,"KlamRog"}</definedName>
    <definedName name="_____OM1_1" hidden="1">{#N/A,#N/A,FALSE,"Summary";#N/A,#N/A,FALSE,"SmPlants";#N/A,#N/A,FALSE,"Utah";#N/A,#N/A,FALSE,"Idaho";#N/A,#N/A,FALSE,"Lewis River";#N/A,#N/A,FALSE,"NrthUmpq";#N/A,#N/A,FALSE,"KlamRog"}</definedName>
    <definedName name="_____OM1_2" localSheetId="1" hidden="1">{#N/A,#N/A,FALSE,"Summary";#N/A,#N/A,FALSE,"SmPlants";#N/A,#N/A,FALSE,"Utah";#N/A,#N/A,FALSE,"Idaho";#N/A,#N/A,FALSE,"Lewis River";#N/A,#N/A,FALSE,"NrthUmpq";#N/A,#N/A,FALSE,"KlamRog"}</definedName>
    <definedName name="_____OM1_2" localSheetId="3" hidden="1">{#N/A,#N/A,FALSE,"Summary";#N/A,#N/A,FALSE,"SmPlants";#N/A,#N/A,FALSE,"Utah";#N/A,#N/A,FALSE,"Idaho";#N/A,#N/A,FALSE,"Lewis River";#N/A,#N/A,FALSE,"NrthUmpq";#N/A,#N/A,FALSE,"KlamRog"}</definedName>
    <definedName name="_____OM1_2" localSheetId="4" hidden="1">{#N/A,#N/A,FALSE,"Summary";#N/A,#N/A,FALSE,"SmPlants";#N/A,#N/A,FALSE,"Utah";#N/A,#N/A,FALSE,"Idaho";#N/A,#N/A,FALSE,"Lewis River";#N/A,#N/A,FALSE,"NrthUmpq";#N/A,#N/A,FALSE,"KlamRog"}</definedName>
    <definedName name="_____OM1_2" localSheetId="18" hidden="1">{#N/A,#N/A,FALSE,"Summary";#N/A,#N/A,FALSE,"SmPlants";#N/A,#N/A,FALSE,"Utah";#N/A,#N/A,FALSE,"Idaho";#N/A,#N/A,FALSE,"Lewis River";#N/A,#N/A,FALSE,"NrthUmpq";#N/A,#N/A,FALSE,"KlamRog"}</definedName>
    <definedName name="_____OM1_2" localSheetId="19" hidden="1">{#N/A,#N/A,FALSE,"Summary";#N/A,#N/A,FALSE,"SmPlants";#N/A,#N/A,FALSE,"Utah";#N/A,#N/A,FALSE,"Idaho";#N/A,#N/A,FALSE,"Lewis River";#N/A,#N/A,FALSE,"NrthUmpq";#N/A,#N/A,FALSE,"KlamRog"}</definedName>
    <definedName name="_____OM1_2" localSheetId="20" hidden="1">{#N/A,#N/A,FALSE,"Summary";#N/A,#N/A,FALSE,"SmPlants";#N/A,#N/A,FALSE,"Utah";#N/A,#N/A,FALSE,"Idaho";#N/A,#N/A,FALSE,"Lewis River";#N/A,#N/A,FALSE,"NrthUmpq";#N/A,#N/A,FALSE,"KlamRog"}</definedName>
    <definedName name="_____OM1_2" localSheetId="21" hidden="1">{#N/A,#N/A,FALSE,"Summary";#N/A,#N/A,FALSE,"SmPlants";#N/A,#N/A,FALSE,"Utah";#N/A,#N/A,FALSE,"Idaho";#N/A,#N/A,FALSE,"Lewis River";#N/A,#N/A,FALSE,"NrthUmpq";#N/A,#N/A,FALSE,"KlamRog"}</definedName>
    <definedName name="_____OM1_2" localSheetId="24" hidden="1">{#N/A,#N/A,FALSE,"Summary";#N/A,#N/A,FALSE,"SmPlants";#N/A,#N/A,FALSE,"Utah";#N/A,#N/A,FALSE,"Idaho";#N/A,#N/A,FALSE,"Lewis River";#N/A,#N/A,FALSE,"NrthUmpq";#N/A,#N/A,FALSE,"KlamRog"}</definedName>
    <definedName name="_____OM1_2" localSheetId="27" hidden="1">{#N/A,#N/A,FALSE,"Summary";#N/A,#N/A,FALSE,"SmPlants";#N/A,#N/A,FALSE,"Utah";#N/A,#N/A,FALSE,"Idaho";#N/A,#N/A,FALSE,"Lewis River";#N/A,#N/A,FALSE,"NrthUmpq";#N/A,#N/A,FALSE,"KlamRog"}</definedName>
    <definedName name="_____OM1_2" localSheetId="28" hidden="1">{#N/A,#N/A,FALSE,"Summary";#N/A,#N/A,FALSE,"SmPlants";#N/A,#N/A,FALSE,"Utah";#N/A,#N/A,FALSE,"Idaho";#N/A,#N/A,FALSE,"Lewis River";#N/A,#N/A,FALSE,"NrthUmpq";#N/A,#N/A,FALSE,"KlamRog"}</definedName>
    <definedName name="_____OM1_2" localSheetId="29" hidden="1">{#N/A,#N/A,FALSE,"Summary";#N/A,#N/A,FALSE,"SmPlants";#N/A,#N/A,FALSE,"Utah";#N/A,#N/A,FALSE,"Idaho";#N/A,#N/A,FALSE,"Lewis River";#N/A,#N/A,FALSE,"NrthUmpq";#N/A,#N/A,FALSE,"KlamRog"}</definedName>
    <definedName name="_____OM1_2" localSheetId="30" hidden="1">{#N/A,#N/A,FALSE,"Summary";#N/A,#N/A,FALSE,"SmPlants";#N/A,#N/A,FALSE,"Utah";#N/A,#N/A,FALSE,"Idaho";#N/A,#N/A,FALSE,"Lewis River";#N/A,#N/A,FALSE,"NrthUmpq";#N/A,#N/A,FALSE,"KlamRog"}</definedName>
    <definedName name="_____OM1_2" localSheetId="31" hidden="1">{#N/A,#N/A,FALSE,"Summary";#N/A,#N/A,FALSE,"SmPlants";#N/A,#N/A,FALSE,"Utah";#N/A,#N/A,FALSE,"Idaho";#N/A,#N/A,FALSE,"Lewis River";#N/A,#N/A,FALSE,"NrthUmpq";#N/A,#N/A,FALSE,"KlamRog"}</definedName>
    <definedName name="_____OM1_2" localSheetId="37" hidden="1">{#N/A,#N/A,FALSE,"Summary";#N/A,#N/A,FALSE,"SmPlants";#N/A,#N/A,FALSE,"Utah";#N/A,#N/A,FALSE,"Idaho";#N/A,#N/A,FALSE,"Lewis River";#N/A,#N/A,FALSE,"NrthUmpq";#N/A,#N/A,FALSE,"KlamRog"}</definedName>
    <definedName name="_____OM1_2" localSheetId="41" hidden="1">{#N/A,#N/A,FALSE,"Summary";#N/A,#N/A,FALSE,"SmPlants";#N/A,#N/A,FALSE,"Utah";#N/A,#N/A,FALSE,"Idaho";#N/A,#N/A,FALSE,"Lewis River";#N/A,#N/A,FALSE,"NrthUmpq";#N/A,#N/A,FALSE,"KlamRog"}</definedName>
    <definedName name="_____OM1_2" localSheetId="42" hidden="1">{#N/A,#N/A,FALSE,"Summary";#N/A,#N/A,FALSE,"SmPlants";#N/A,#N/A,FALSE,"Utah";#N/A,#N/A,FALSE,"Idaho";#N/A,#N/A,FALSE,"Lewis River";#N/A,#N/A,FALSE,"NrthUmpq";#N/A,#N/A,FALSE,"KlamRog"}</definedName>
    <definedName name="_____OM1_2" localSheetId="0" hidden="1">{#N/A,#N/A,FALSE,"Summary";#N/A,#N/A,FALSE,"SmPlants";#N/A,#N/A,FALSE,"Utah";#N/A,#N/A,FALSE,"Idaho";#N/A,#N/A,FALSE,"Lewis River";#N/A,#N/A,FALSE,"NrthUmpq";#N/A,#N/A,FALSE,"KlamRog"}</definedName>
    <definedName name="_____OM1_2" hidden="1">{#N/A,#N/A,FALSE,"Summary";#N/A,#N/A,FALSE,"SmPlants";#N/A,#N/A,FALSE,"Utah";#N/A,#N/A,FALSE,"Idaho";#N/A,#N/A,FALSE,"Lewis River";#N/A,#N/A,FALSE,"NrthUmpq";#N/A,#N/A,FALSE,"KlamRog"}</definedName>
    <definedName name="_____OM1_3" localSheetId="1" hidden="1">{#N/A,#N/A,FALSE,"Summary";#N/A,#N/A,FALSE,"SmPlants";#N/A,#N/A,FALSE,"Utah";#N/A,#N/A,FALSE,"Idaho";#N/A,#N/A,FALSE,"Lewis River";#N/A,#N/A,FALSE,"NrthUmpq";#N/A,#N/A,FALSE,"KlamRog"}</definedName>
    <definedName name="_____OM1_3" localSheetId="3" hidden="1">{#N/A,#N/A,FALSE,"Summary";#N/A,#N/A,FALSE,"SmPlants";#N/A,#N/A,FALSE,"Utah";#N/A,#N/A,FALSE,"Idaho";#N/A,#N/A,FALSE,"Lewis River";#N/A,#N/A,FALSE,"NrthUmpq";#N/A,#N/A,FALSE,"KlamRog"}</definedName>
    <definedName name="_____OM1_3" localSheetId="4" hidden="1">{#N/A,#N/A,FALSE,"Summary";#N/A,#N/A,FALSE,"SmPlants";#N/A,#N/A,FALSE,"Utah";#N/A,#N/A,FALSE,"Idaho";#N/A,#N/A,FALSE,"Lewis River";#N/A,#N/A,FALSE,"NrthUmpq";#N/A,#N/A,FALSE,"KlamRog"}</definedName>
    <definedName name="_____OM1_3" localSheetId="18" hidden="1">{#N/A,#N/A,FALSE,"Summary";#N/A,#N/A,FALSE,"SmPlants";#N/A,#N/A,FALSE,"Utah";#N/A,#N/A,FALSE,"Idaho";#N/A,#N/A,FALSE,"Lewis River";#N/A,#N/A,FALSE,"NrthUmpq";#N/A,#N/A,FALSE,"KlamRog"}</definedName>
    <definedName name="_____OM1_3" localSheetId="19" hidden="1">{#N/A,#N/A,FALSE,"Summary";#N/A,#N/A,FALSE,"SmPlants";#N/A,#N/A,FALSE,"Utah";#N/A,#N/A,FALSE,"Idaho";#N/A,#N/A,FALSE,"Lewis River";#N/A,#N/A,FALSE,"NrthUmpq";#N/A,#N/A,FALSE,"KlamRog"}</definedName>
    <definedName name="_____OM1_3" localSheetId="20" hidden="1">{#N/A,#N/A,FALSE,"Summary";#N/A,#N/A,FALSE,"SmPlants";#N/A,#N/A,FALSE,"Utah";#N/A,#N/A,FALSE,"Idaho";#N/A,#N/A,FALSE,"Lewis River";#N/A,#N/A,FALSE,"NrthUmpq";#N/A,#N/A,FALSE,"KlamRog"}</definedName>
    <definedName name="_____OM1_3" localSheetId="21" hidden="1">{#N/A,#N/A,FALSE,"Summary";#N/A,#N/A,FALSE,"SmPlants";#N/A,#N/A,FALSE,"Utah";#N/A,#N/A,FALSE,"Idaho";#N/A,#N/A,FALSE,"Lewis River";#N/A,#N/A,FALSE,"NrthUmpq";#N/A,#N/A,FALSE,"KlamRog"}</definedName>
    <definedName name="_____OM1_3" localSheetId="24" hidden="1">{#N/A,#N/A,FALSE,"Summary";#N/A,#N/A,FALSE,"SmPlants";#N/A,#N/A,FALSE,"Utah";#N/A,#N/A,FALSE,"Idaho";#N/A,#N/A,FALSE,"Lewis River";#N/A,#N/A,FALSE,"NrthUmpq";#N/A,#N/A,FALSE,"KlamRog"}</definedName>
    <definedName name="_____OM1_3" localSheetId="27" hidden="1">{#N/A,#N/A,FALSE,"Summary";#N/A,#N/A,FALSE,"SmPlants";#N/A,#N/A,FALSE,"Utah";#N/A,#N/A,FALSE,"Idaho";#N/A,#N/A,FALSE,"Lewis River";#N/A,#N/A,FALSE,"NrthUmpq";#N/A,#N/A,FALSE,"KlamRog"}</definedName>
    <definedName name="_____OM1_3" localSheetId="28" hidden="1">{#N/A,#N/A,FALSE,"Summary";#N/A,#N/A,FALSE,"SmPlants";#N/A,#N/A,FALSE,"Utah";#N/A,#N/A,FALSE,"Idaho";#N/A,#N/A,FALSE,"Lewis River";#N/A,#N/A,FALSE,"NrthUmpq";#N/A,#N/A,FALSE,"KlamRog"}</definedName>
    <definedName name="_____OM1_3" localSheetId="29" hidden="1">{#N/A,#N/A,FALSE,"Summary";#N/A,#N/A,FALSE,"SmPlants";#N/A,#N/A,FALSE,"Utah";#N/A,#N/A,FALSE,"Idaho";#N/A,#N/A,FALSE,"Lewis River";#N/A,#N/A,FALSE,"NrthUmpq";#N/A,#N/A,FALSE,"KlamRog"}</definedName>
    <definedName name="_____OM1_3" localSheetId="30" hidden="1">{#N/A,#N/A,FALSE,"Summary";#N/A,#N/A,FALSE,"SmPlants";#N/A,#N/A,FALSE,"Utah";#N/A,#N/A,FALSE,"Idaho";#N/A,#N/A,FALSE,"Lewis River";#N/A,#N/A,FALSE,"NrthUmpq";#N/A,#N/A,FALSE,"KlamRog"}</definedName>
    <definedName name="_____OM1_3" localSheetId="31" hidden="1">{#N/A,#N/A,FALSE,"Summary";#N/A,#N/A,FALSE,"SmPlants";#N/A,#N/A,FALSE,"Utah";#N/A,#N/A,FALSE,"Idaho";#N/A,#N/A,FALSE,"Lewis River";#N/A,#N/A,FALSE,"NrthUmpq";#N/A,#N/A,FALSE,"KlamRog"}</definedName>
    <definedName name="_____OM1_3" localSheetId="37" hidden="1">{#N/A,#N/A,FALSE,"Summary";#N/A,#N/A,FALSE,"SmPlants";#N/A,#N/A,FALSE,"Utah";#N/A,#N/A,FALSE,"Idaho";#N/A,#N/A,FALSE,"Lewis River";#N/A,#N/A,FALSE,"NrthUmpq";#N/A,#N/A,FALSE,"KlamRog"}</definedName>
    <definedName name="_____OM1_3" localSheetId="41" hidden="1">{#N/A,#N/A,FALSE,"Summary";#N/A,#N/A,FALSE,"SmPlants";#N/A,#N/A,FALSE,"Utah";#N/A,#N/A,FALSE,"Idaho";#N/A,#N/A,FALSE,"Lewis River";#N/A,#N/A,FALSE,"NrthUmpq";#N/A,#N/A,FALSE,"KlamRog"}</definedName>
    <definedName name="_____OM1_3" localSheetId="42" hidden="1">{#N/A,#N/A,FALSE,"Summary";#N/A,#N/A,FALSE,"SmPlants";#N/A,#N/A,FALSE,"Utah";#N/A,#N/A,FALSE,"Idaho";#N/A,#N/A,FALSE,"Lewis River";#N/A,#N/A,FALSE,"NrthUmpq";#N/A,#N/A,FALSE,"KlamRog"}</definedName>
    <definedName name="_____OM1_3" localSheetId="0" hidden="1">{#N/A,#N/A,FALSE,"Summary";#N/A,#N/A,FALSE,"SmPlants";#N/A,#N/A,FALSE,"Utah";#N/A,#N/A,FALSE,"Idaho";#N/A,#N/A,FALSE,"Lewis River";#N/A,#N/A,FALSE,"NrthUmpq";#N/A,#N/A,FALSE,"KlamRog"}</definedName>
    <definedName name="_____OM1_3" hidden="1">{#N/A,#N/A,FALSE,"Summary";#N/A,#N/A,FALSE,"SmPlants";#N/A,#N/A,FALSE,"Utah";#N/A,#N/A,FALSE,"Idaho";#N/A,#N/A,FALSE,"Lewis River";#N/A,#N/A,FALSE,"NrthUmpq";#N/A,#N/A,FALSE,"KlamRog"}</definedName>
    <definedName name="_____OM1_4" localSheetId="1" hidden="1">{#N/A,#N/A,FALSE,"Summary";#N/A,#N/A,FALSE,"SmPlants";#N/A,#N/A,FALSE,"Utah";#N/A,#N/A,FALSE,"Idaho";#N/A,#N/A,FALSE,"Lewis River";#N/A,#N/A,FALSE,"NrthUmpq";#N/A,#N/A,FALSE,"KlamRog"}</definedName>
    <definedName name="_____OM1_4" localSheetId="3" hidden="1">{#N/A,#N/A,FALSE,"Summary";#N/A,#N/A,FALSE,"SmPlants";#N/A,#N/A,FALSE,"Utah";#N/A,#N/A,FALSE,"Idaho";#N/A,#N/A,FALSE,"Lewis River";#N/A,#N/A,FALSE,"NrthUmpq";#N/A,#N/A,FALSE,"KlamRog"}</definedName>
    <definedName name="_____OM1_4" localSheetId="4" hidden="1">{#N/A,#N/A,FALSE,"Summary";#N/A,#N/A,FALSE,"SmPlants";#N/A,#N/A,FALSE,"Utah";#N/A,#N/A,FALSE,"Idaho";#N/A,#N/A,FALSE,"Lewis River";#N/A,#N/A,FALSE,"NrthUmpq";#N/A,#N/A,FALSE,"KlamRog"}</definedName>
    <definedName name="_____OM1_4" localSheetId="18" hidden="1">{#N/A,#N/A,FALSE,"Summary";#N/A,#N/A,FALSE,"SmPlants";#N/A,#N/A,FALSE,"Utah";#N/A,#N/A,FALSE,"Idaho";#N/A,#N/A,FALSE,"Lewis River";#N/A,#N/A,FALSE,"NrthUmpq";#N/A,#N/A,FALSE,"KlamRog"}</definedName>
    <definedName name="_____OM1_4" localSheetId="19" hidden="1">{#N/A,#N/A,FALSE,"Summary";#N/A,#N/A,FALSE,"SmPlants";#N/A,#N/A,FALSE,"Utah";#N/A,#N/A,FALSE,"Idaho";#N/A,#N/A,FALSE,"Lewis River";#N/A,#N/A,FALSE,"NrthUmpq";#N/A,#N/A,FALSE,"KlamRog"}</definedName>
    <definedName name="_____OM1_4" localSheetId="20" hidden="1">{#N/A,#N/A,FALSE,"Summary";#N/A,#N/A,FALSE,"SmPlants";#N/A,#N/A,FALSE,"Utah";#N/A,#N/A,FALSE,"Idaho";#N/A,#N/A,FALSE,"Lewis River";#N/A,#N/A,FALSE,"NrthUmpq";#N/A,#N/A,FALSE,"KlamRog"}</definedName>
    <definedName name="_____OM1_4" localSheetId="21" hidden="1">{#N/A,#N/A,FALSE,"Summary";#N/A,#N/A,FALSE,"SmPlants";#N/A,#N/A,FALSE,"Utah";#N/A,#N/A,FALSE,"Idaho";#N/A,#N/A,FALSE,"Lewis River";#N/A,#N/A,FALSE,"NrthUmpq";#N/A,#N/A,FALSE,"KlamRog"}</definedName>
    <definedName name="_____OM1_4" localSheetId="24" hidden="1">{#N/A,#N/A,FALSE,"Summary";#N/A,#N/A,FALSE,"SmPlants";#N/A,#N/A,FALSE,"Utah";#N/A,#N/A,FALSE,"Idaho";#N/A,#N/A,FALSE,"Lewis River";#N/A,#N/A,FALSE,"NrthUmpq";#N/A,#N/A,FALSE,"KlamRog"}</definedName>
    <definedName name="_____OM1_4" localSheetId="27" hidden="1">{#N/A,#N/A,FALSE,"Summary";#N/A,#N/A,FALSE,"SmPlants";#N/A,#N/A,FALSE,"Utah";#N/A,#N/A,FALSE,"Idaho";#N/A,#N/A,FALSE,"Lewis River";#N/A,#N/A,FALSE,"NrthUmpq";#N/A,#N/A,FALSE,"KlamRog"}</definedName>
    <definedName name="_____OM1_4" localSheetId="28" hidden="1">{#N/A,#N/A,FALSE,"Summary";#N/A,#N/A,FALSE,"SmPlants";#N/A,#N/A,FALSE,"Utah";#N/A,#N/A,FALSE,"Idaho";#N/A,#N/A,FALSE,"Lewis River";#N/A,#N/A,FALSE,"NrthUmpq";#N/A,#N/A,FALSE,"KlamRog"}</definedName>
    <definedName name="_____OM1_4" localSheetId="29" hidden="1">{#N/A,#N/A,FALSE,"Summary";#N/A,#N/A,FALSE,"SmPlants";#N/A,#N/A,FALSE,"Utah";#N/A,#N/A,FALSE,"Idaho";#N/A,#N/A,FALSE,"Lewis River";#N/A,#N/A,FALSE,"NrthUmpq";#N/A,#N/A,FALSE,"KlamRog"}</definedName>
    <definedName name="_____OM1_4" localSheetId="30" hidden="1">{#N/A,#N/A,FALSE,"Summary";#N/A,#N/A,FALSE,"SmPlants";#N/A,#N/A,FALSE,"Utah";#N/A,#N/A,FALSE,"Idaho";#N/A,#N/A,FALSE,"Lewis River";#N/A,#N/A,FALSE,"NrthUmpq";#N/A,#N/A,FALSE,"KlamRog"}</definedName>
    <definedName name="_____OM1_4" localSheetId="31" hidden="1">{#N/A,#N/A,FALSE,"Summary";#N/A,#N/A,FALSE,"SmPlants";#N/A,#N/A,FALSE,"Utah";#N/A,#N/A,FALSE,"Idaho";#N/A,#N/A,FALSE,"Lewis River";#N/A,#N/A,FALSE,"NrthUmpq";#N/A,#N/A,FALSE,"KlamRog"}</definedName>
    <definedName name="_____OM1_4" localSheetId="37" hidden="1">{#N/A,#N/A,FALSE,"Summary";#N/A,#N/A,FALSE,"SmPlants";#N/A,#N/A,FALSE,"Utah";#N/A,#N/A,FALSE,"Idaho";#N/A,#N/A,FALSE,"Lewis River";#N/A,#N/A,FALSE,"NrthUmpq";#N/A,#N/A,FALSE,"KlamRog"}</definedName>
    <definedName name="_____OM1_4" localSheetId="41" hidden="1">{#N/A,#N/A,FALSE,"Summary";#N/A,#N/A,FALSE,"SmPlants";#N/A,#N/A,FALSE,"Utah";#N/A,#N/A,FALSE,"Idaho";#N/A,#N/A,FALSE,"Lewis River";#N/A,#N/A,FALSE,"NrthUmpq";#N/A,#N/A,FALSE,"KlamRog"}</definedName>
    <definedName name="_____OM1_4" localSheetId="42" hidden="1">{#N/A,#N/A,FALSE,"Summary";#N/A,#N/A,FALSE,"SmPlants";#N/A,#N/A,FALSE,"Utah";#N/A,#N/A,FALSE,"Idaho";#N/A,#N/A,FALSE,"Lewis River";#N/A,#N/A,FALSE,"NrthUmpq";#N/A,#N/A,FALSE,"KlamRog"}</definedName>
    <definedName name="_____OM1_4" localSheetId="0" hidden="1">{#N/A,#N/A,FALSE,"Summary";#N/A,#N/A,FALSE,"SmPlants";#N/A,#N/A,FALSE,"Utah";#N/A,#N/A,FALSE,"Idaho";#N/A,#N/A,FALSE,"Lewis River";#N/A,#N/A,FALSE,"NrthUmpq";#N/A,#N/A,FALSE,"KlamRog"}</definedName>
    <definedName name="_____OM1_4" hidden="1">{#N/A,#N/A,FALSE,"Summary";#N/A,#N/A,FALSE,"SmPlants";#N/A,#N/A,FALSE,"Utah";#N/A,#N/A,FALSE,"Idaho";#N/A,#N/A,FALSE,"Lewis River";#N/A,#N/A,FALSE,"NrthUmpq";#N/A,#N/A,FALSE,"KlamRog"}</definedName>
    <definedName name="_____OM1_5" localSheetId="1" hidden="1">{#N/A,#N/A,FALSE,"Summary";#N/A,#N/A,FALSE,"SmPlants";#N/A,#N/A,FALSE,"Utah";#N/A,#N/A,FALSE,"Idaho";#N/A,#N/A,FALSE,"Lewis River";#N/A,#N/A,FALSE,"NrthUmpq";#N/A,#N/A,FALSE,"KlamRog"}</definedName>
    <definedName name="_____OM1_5" localSheetId="3" hidden="1">{#N/A,#N/A,FALSE,"Summary";#N/A,#N/A,FALSE,"SmPlants";#N/A,#N/A,FALSE,"Utah";#N/A,#N/A,FALSE,"Idaho";#N/A,#N/A,FALSE,"Lewis River";#N/A,#N/A,FALSE,"NrthUmpq";#N/A,#N/A,FALSE,"KlamRog"}</definedName>
    <definedName name="_____OM1_5" localSheetId="4" hidden="1">{#N/A,#N/A,FALSE,"Summary";#N/A,#N/A,FALSE,"SmPlants";#N/A,#N/A,FALSE,"Utah";#N/A,#N/A,FALSE,"Idaho";#N/A,#N/A,FALSE,"Lewis River";#N/A,#N/A,FALSE,"NrthUmpq";#N/A,#N/A,FALSE,"KlamRog"}</definedName>
    <definedName name="_____OM1_5" localSheetId="18" hidden="1">{#N/A,#N/A,FALSE,"Summary";#N/A,#N/A,FALSE,"SmPlants";#N/A,#N/A,FALSE,"Utah";#N/A,#N/A,FALSE,"Idaho";#N/A,#N/A,FALSE,"Lewis River";#N/A,#N/A,FALSE,"NrthUmpq";#N/A,#N/A,FALSE,"KlamRog"}</definedName>
    <definedName name="_____OM1_5" localSheetId="19" hidden="1">{#N/A,#N/A,FALSE,"Summary";#N/A,#N/A,FALSE,"SmPlants";#N/A,#N/A,FALSE,"Utah";#N/A,#N/A,FALSE,"Idaho";#N/A,#N/A,FALSE,"Lewis River";#N/A,#N/A,FALSE,"NrthUmpq";#N/A,#N/A,FALSE,"KlamRog"}</definedName>
    <definedName name="_____OM1_5" localSheetId="20" hidden="1">{#N/A,#N/A,FALSE,"Summary";#N/A,#N/A,FALSE,"SmPlants";#N/A,#N/A,FALSE,"Utah";#N/A,#N/A,FALSE,"Idaho";#N/A,#N/A,FALSE,"Lewis River";#N/A,#N/A,FALSE,"NrthUmpq";#N/A,#N/A,FALSE,"KlamRog"}</definedName>
    <definedName name="_____OM1_5" localSheetId="21" hidden="1">{#N/A,#N/A,FALSE,"Summary";#N/A,#N/A,FALSE,"SmPlants";#N/A,#N/A,FALSE,"Utah";#N/A,#N/A,FALSE,"Idaho";#N/A,#N/A,FALSE,"Lewis River";#N/A,#N/A,FALSE,"NrthUmpq";#N/A,#N/A,FALSE,"KlamRog"}</definedName>
    <definedName name="_____OM1_5" localSheetId="24" hidden="1">{#N/A,#N/A,FALSE,"Summary";#N/A,#N/A,FALSE,"SmPlants";#N/A,#N/A,FALSE,"Utah";#N/A,#N/A,FALSE,"Idaho";#N/A,#N/A,FALSE,"Lewis River";#N/A,#N/A,FALSE,"NrthUmpq";#N/A,#N/A,FALSE,"KlamRog"}</definedName>
    <definedName name="_____OM1_5" localSheetId="27" hidden="1">{#N/A,#N/A,FALSE,"Summary";#N/A,#N/A,FALSE,"SmPlants";#N/A,#N/A,FALSE,"Utah";#N/A,#N/A,FALSE,"Idaho";#N/A,#N/A,FALSE,"Lewis River";#N/A,#N/A,FALSE,"NrthUmpq";#N/A,#N/A,FALSE,"KlamRog"}</definedName>
    <definedName name="_____OM1_5" localSheetId="28" hidden="1">{#N/A,#N/A,FALSE,"Summary";#N/A,#N/A,FALSE,"SmPlants";#N/A,#N/A,FALSE,"Utah";#N/A,#N/A,FALSE,"Idaho";#N/A,#N/A,FALSE,"Lewis River";#N/A,#N/A,FALSE,"NrthUmpq";#N/A,#N/A,FALSE,"KlamRog"}</definedName>
    <definedName name="_____OM1_5" localSheetId="29" hidden="1">{#N/A,#N/A,FALSE,"Summary";#N/A,#N/A,FALSE,"SmPlants";#N/A,#N/A,FALSE,"Utah";#N/A,#N/A,FALSE,"Idaho";#N/A,#N/A,FALSE,"Lewis River";#N/A,#N/A,FALSE,"NrthUmpq";#N/A,#N/A,FALSE,"KlamRog"}</definedName>
    <definedName name="_____OM1_5" localSheetId="30" hidden="1">{#N/A,#N/A,FALSE,"Summary";#N/A,#N/A,FALSE,"SmPlants";#N/A,#N/A,FALSE,"Utah";#N/A,#N/A,FALSE,"Idaho";#N/A,#N/A,FALSE,"Lewis River";#N/A,#N/A,FALSE,"NrthUmpq";#N/A,#N/A,FALSE,"KlamRog"}</definedName>
    <definedName name="_____OM1_5" localSheetId="31" hidden="1">{#N/A,#N/A,FALSE,"Summary";#N/A,#N/A,FALSE,"SmPlants";#N/A,#N/A,FALSE,"Utah";#N/A,#N/A,FALSE,"Idaho";#N/A,#N/A,FALSE,"Lewis River";#N/A,#N/A,FALSE,"NrthUmpq";#N/A,#N/A,FALSE,"KlamRog"}</definedName>
    <definedName name="_____OM1_5" localSheetId="37" hidden="1">{#N/A,#N/A,FALSE,"Summary";#N/A,#N/A,FALSE,"SmPlants";#N/A,#N/A,FALSE,"Utah";#N/A,#N/A,FALSE,"Idaho";#N/A,#N/A,FALSE,"Lewis River";#N/A,#N/A,FALSE,"NrthUmpq";#N/A,#N/A,FALSE,"KlamRog"}</definedName>
    <definedName name="_____OM1_5" localSheetId="41" hidden="1">{#N/A,#N/A,FALSE,"Summary";#N/A,#N/A,FALSE,"SmPlants";#N/A,#N/A,FALSE,"Utah";#N/A,#N/A,FALSE,"Idaho";#N/A,#N/A,FALSE,"Lewis River";#N/A,#N/A,FALSE,"NrthUmpq";#N/A,#N/A,FALSE,"KlamRog"}</definedName>
    <definedName name="_____OM1_5" localSheetId="42" hidden="1">{#N/A,#N/A,FALSE,"Summary";#N/A,#N/A,FALSE,"SmPlants";#N/A,#N/A,FALSE,"Utah";#N/A,#N/A,FALSE,"Idaho";#N/A,#N/A,FALSE,"Lewis River";#N/A,#N/A,FALSE,"NrthUmpq";#N/A,#N/A,FALSE,"KlamRog"}</definedName>
    <definedName name="_____OM1_5" localSheetId="0" hidden="1">{#N/A,#N/A,FALSE,"Summary";#N/A,#N/A,FALSE,"SmPlants";#N/A,#N/A,FALSE,"Utah";#N/A,#N/A,FALSE,"Idaho";#N/A,#N/A,FALSE,"Lewis River";#N/A,#N/A,FALSE,"NrthUmpq";#N/A,#N/A,FALSE,"KlamRog"}</definedName>
    <definedName name="_____OM1_5" hidden="1">{#N/A,#N/A,FALSE,"Summary";#N/A,#N/A,FALSE,"SmPlants";#N/A,#N/A,FALSE,"Utah";#N/A,#N/A,FALSE,"Idaho";#N/A,#N/A,FALSE,"Lewis River";#N/A,#N/A,FALSE,"NrthUmpq";#N/A,#N/A,FALSE,"KlamRog"}</definedName>
    <definedName name="____OM1" localSheetId="1" hidden="1">{#N/A,#N/A,FALSE,"Summary";#N/A,#N/A,FALSE,"SmPlants";#N/A,#N/A,FALSE,"Utah";#N/A,#N/A,FALSE,"Idaho";#N/A,#N/A,FALSE,"Lewis River";#N/A,#N/A,FALSE,"NrthUmpq";#N/A,#N/A,FALSE,"KlamRog"}</definedName>
    <definedName name="____OM1" localSheetId="3" hidden="1">{#N/A,#N/A,FALSE,"Summary";#N/A,#N/A,FALSE,"SmPlants";#N/A,#N/A,FALSE,"Utah";#N/A,#N/A,FALSE,"Idaho";#N/A,#N/A,FALSE,"Lewis River";#N/A,#N/A,FALSE,"NrthUmpq";#N/A,#N/A,FALSE,"KlamRog"}</definedName>
    <definedName name="____OM1" localSheetId="4" hidden="1">{#N/A,#N/A,FALSE,"Summary";#N/A,#N/A,FALSE,"SmPlants";#N/A,#N/A,FALSE,"Utah";#N/A,#N/A,FALSE,"Idaho";#N/A,#N/A,FALSE,"Lewis River";#N/A,#N/A,FALSE,"NrthUmpq";#N/A,#N/A,FALSE,"KlamRog"}</definedName>
    <definedName name="____OM1" localSheetId="18" hidden="1">{#N/A,#N/A,FALSE,"Summary";#N/A,#N/A,FALSE,"SmPlants";#N/A,#N/A,FALSE,"Utah";#N/A,#N/A,FALSE,"Idaho";#N/A,#N/A,FALSE,"Lewis River";#N/A,#N/A,FALSE,"NrthUmpq";#N/A,#N/A,FALSE,"KlamRog"}</definedName>
    <definedName name="____OM1" localSheetId="19" hidden="1">{#N/A,#N/A,FALSE,"Summary";#N/A,#N/A,FALSE,"SmPlants";#N/A,#N/A,FALSE,"Utah";#N/A,#N/A,FALSE,"Idaho";#N/A,#N/A,FALSE,"Lewis River";#N/A,#N/A,FALSE,"NrthUmpq";#N/A,#N/A,FALSE,"KlamRog"}</definedName>
    <definedName name="____OM1" localSheetId="20" hidden="1">{#N/A,#N/A,FALSE,"Summary";#N/A,#N/A,FALSE,"SmPlants";#N/A,#N/A,FALSE,"Utah";#N/A,#N/A,FALSE,"Idaho";#N/A,#N/A,FALSE,"Lewis River";#N/A,#N/A,FALSE,"NrthUmpq";#N/A,#N/A,FALSE,"KlamRog"}</definedName>
    <definedName name="____OM1" localSheetId="21" hidden="1">{#N/A,#N/A,FALSE,"Summary";#N/A,#N/A,FALSE,"SmPlants";#N/A,#N/A,FALSE,"Utah";#N/A,#N/A,FALSE,"Idaho";#N/A,#N/A,FALSE,"Lewis River";#N/A,#N/A,FALSE,"NrthUmpq";#N/A,#N/A,FALSE,"KlamRog"}</definedName>
    <definedName name="____OM1" localSheetId="24" hidden="1">{#N/A,#N/A,FALSE,"Summary";#N/A,#N/A,FALSE,"SmPlants";#N/A,#N/A,FALSE,"Utah";#N/A,#N/A,FALSE,"Idaho";#N/A,#N/A,FALSE,"Lewis River";#N/A,#N/A,FALSE,"NrthUmpq";#N/A,#N/A,FALSE,"KlamRog"}</definedName>
    <definedName name="____OM1" localSheetId="27" hidden="1">{#N/A,#N/A,FALSE,"Summary";#N/A,#N/A,FALSE,"SmPlants";#N/A,#N/A,FALSE,"Utah";#N/A,#N/A,FALSE,"Idaho";#N/A,#N/A,FALSE,"Lewis River";#N/A,#N/A,FALSE,"NrthUmpq";#N/A,#N/A,FALSE,"KlamRog"}</definedName>
    <definedName name="____OM1" localSheetId="28" hidden="1">{#N/A,#N/A,FALSE,"Summary";#N/A,#N/A,FALSE,"SmPlants";#N/A,#N/A,FALSE,"Utah";#N/A,#N/A,FALSE,"Idaho";#N/A,#N/A,FALSE,"Lewis River";#N/A,#N/A,FALSE,"NrthUmpq";#N/A,#N/A,FALSE,"KlamRog"}</definedName>
    <definedName name="____OM1" localSheetId="29" hidden="1">{#N/A,#N/A,FALSE,"Summary";#N/A,#N/A,FALSE,"SmPlants";#N/A,#N/A,FALSE,"Utah";#N/A,#N/A,FALSE,"Idaho";#N/A,#N/A,FALSE,"Lewis River";#N/A,#N/A,FALSE,"NrthUmpq";#N/A,#N/A,FALSE,"KlamRog"}</definedName>
    <definedName name="____OM1" localSheetId="30" hidden="1">{#N/A,#N/A,FALSE,"Summary";#N/A,#N/A,FALSE,"SmPlants";#N/A,#N/A,FALSE,"Utah";#N/A,#N/A,FALSE,"Idaho";#N/A,#N/A,FALSE,"Lewis River";#N/A,#N/A,FALSE,"NrthUmpq";#N/A,#N/A,FALSE,"KlamRog"}</definedName>
    <definedName name="____OM1" localSheetId="31" hidden="1">{#N/A,#N/A,FALSE,"Summary";#N/A,#N/A,FALSE,"SmPlants";#N/A,#N/A,FALSE,"Utah";#N/A,#N/A,FALSE,"Idaho";#N/A,#N/A,FALSE,"Lewis River";#N/A,#N/A,FALSE,"NrthUmpq";#N/A,#N/A,FALSE,"KlamRog"}</definedName>
    <definedName name="____OM1" localSheetId="37" hidden="1">{#N/A,#N/A,FALSE,"Summary";#N/A,#N/A,FALSE,"SmPlants";#N/A,#N/A,FALSE,"Utah";#N/A,#N/A,FALSE,"Idaho";#N/A,#N/A,FALSE,"Lewis River";#N/A,#N/A,FALSE,"NrthUmpq";#N/A,#N/A,FALSE,"KlamRog"}</definedName>
    <definedName name="____OM1" localSheetId="41" hidden="1">{#N/A,#N/A,FALSE,"Summary";#N/A,#N/A,FALSE,"SmPlants";#N/A,#N/A,FALSE,"Utah";#N/A,#N/A,FALSE,"Idaho";#N/A,#N/A,FALSE,"Lewis River";#N/A,#N/A,FALSE,"NrthUmpq";#N/A,#N/A,FALSE,"KlamRog"}</definedName>
    <definedName name="____OM1" localSheetId="42" hidden="1">{#N/A,#N/A,FALSE,"Summary";#N/A,#N/A,FALSE,"SmPlants";#N/A,#N/A,FALSE,"Utah";#N/A,#N/A,FALSE,"Idaho";#N/A,#N/A,FALSE,"Lewis River";#N/A,#N/A,FALSE,"NrthUmpq";#N/A,#N/A,FALSE,"KlamRog"}</definedName>
    <definedName name="____OM1" localSheetId="0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OM1_1" localSheetId="1" hidden="1">{#N/A,#N/A,FALSE,"Summary";#N/A,#N/A,FALSE,"SmPlants";#N/A,#N/A,FALSE,"Utah";#N/A,#N/A,FALSE,"Idaho";#N/A,#N/A,FALSE,"Lewis River";#N/A,#N/A,FALSE,"NrthUmpq";#N/A,#N/A,FALSE,"KlamRog"}</definedName>
    <definedName name="____OM1_1" localSheetId="3" hidden="1">{#N/A,#N/A,FALSE,"Summary";#N/A,#N/A,FALSE,"SmPlants";#N/A,#N/A,FALSE,"Utah";#N/A,#N/A,FALSE,"Idaho";#N/A,#N/A,FALSE,"Lewis River";#N/A,#N/A,FALSE,"NrthUmpq";#N/A,#N/A,FALSE,"KlamRog"}</definedName>
    <definedName name="____OM1_1" localSheetId="4" hidden="1">{#N/A,#N/A,FALSE,"Summary";#N/A,#N/A,FALSE,"SmPlants";#N/A,#N/A,FALSE,"Utah";#N/A,#N/A,FALSE,"Idaho";#N/A,#N/A,FALSE,"Lewis River";#N/A,#N/A,FALSE,"NrthUmpq";#N/A,#N/A,FALSE,"KlamRog"}</definedName>
    <definedName name="____OM1_1" localSheetId="18" hidden="1">{#N/A,#N/A,FALSE,"Summary";#N/A,#N/A,FALSE,"SmPlants";#N/A,#N/A,FALSE,"Utah";#N/A,#N/A,FALSE,"Idaho";#N/A,#N/A,FALSE,"Lewis River";#N/A,#N/A,FALSE,"NrthUmpq";#N/A,#N/A,FALSE,"KlamRog"}</definedName>
    <definedName name="____OM1_1" localSheetId="19" hidden="1">{#N/A,#N/A,FALSE,"Summary";#N/A,#N/A,FALSE,"SmPlants";#N/A,#N/A,FALSE,"Utah";#N/A,#N/A,FALSE,"Idaho";#N/A,#N/A,FALSE,"Lewis River";#N/A,#N/A,FALSE,"NrthUmpq";#N/A,#N/A,FALSE,"KlamRog"}</definedName>
    <definedName name="____OM1_1" localSheetId="20" hidden="1">{#N/A,#N/A,FALSE,"Summary";#N/A,#N/A,FALSE,"SmPlants";#N/A,#N/A,FALSE,"Utah";#N/A,#N/A,FALSE,"Idaho";#N/A,#N/A,FALSE,"Lewis River";#N/A,#N/A,FALSE,"NrthUmpq";#N/A,#N/A,FALSE,"KlamRog"}</definedName>
    <definedName name="____OM1_1" localSheetId="21" hidden="1">{#N/A,#N/A,FALSE,"Summary";#N/A,#N/A,FALSE,"SmPlants";#N/A,#N/A,FALSE,"Utah";#N/A,#N/A,FALSE,"Idaho";#N/A,#N/A,FALSE,"Lewis River";#N/A,#N/A,FALSE,"NrthUmpq";#N/A,#N/A,FALSE,"KlamRog"}</definedName>
    <definedName name="____OM1_1" localSheetId="24" hidden="1">{#N/A,#N/A,FALSE,"Summary";#N/A,#N/A,FALSE,"SmPlants";#N/A,#N/A,FALSE,"Utah";#N/A,#N/A,FALSE,"Idaho";#N/A,#N/A,FALSE,"Lewis River";#N/A,#N/A,FALSE,"NrthUmpq";#N/A,#N/A,FALSE,"KlamRog"}</definedName>
    <definedName name="____OM1_1" localSheetId="27" hidden="1">{#N/A,#N/A,FALSE,"Summary";#N/A,#N/A,FALSE,"SmPlants";#N/A,#N/A,FALSE,"Utah";#N/A,#N/A,FALSE,"Idaho";#N/A,#N/A,FALSE,"Lewis River";#N/A,#N/A,FALSE,"NrthUmpq";#N/A,#N/A,FALSE,"KlamRog"}</definedName>
    <definedName name="____OM1_1" localSheetId="28" hidden="1">{#N/A,#N/A,FALSE,"Summary";#N/A,#N/A,FALSE,"SmPlants";#N/A,#N/A,FALSE,"Utah";#N/A,#N/A,FALSE,"Idaho";#N/A,#N/A,FALSE,"Lewis River";#N/A,#N/A,FALSE,"NrthUmpq";#N/A,#N/A,FALSE,"KlamRog"}</definedName>
    <definedName name="____OM1_1" localSheetId="29" hidden="1">{#N/A,#N/A,FALSE,"Summary";#N/A,#N/A,FALSE,"SmPlants";#N/A,#N/A,FALSE,"Utah";#N/A,#N/A,FALSE,"Idaho";#N/A,#N/A,FALSE,"Lewis River";#N/A,#N/A,FALSE,"NrthUmpq";#N/A,#N/A,FALSE,"KlamRog"}</definedName>
    <definedName name="____OM1_1" localSheetId="30" hidden="1">{#N/A,#N/A,FALSE,"Summary";#N/A,#N/A,FALSE,"SmPlants";#N/A,#N/A,FALSE,"Utah";#N/A,#N/A,FALSE,"Idaho";#N/A,#N/A,FALSE,"Lewis River";#N/A,#N/A,FALSE,"NrthUmpq";#N/A,#N/A,FALSE,"KlamRog"}</definedName>
    <definedName name="____OM1_1" localSheetId="31" hidden="1">{#N/A,#N/A,FALSE,"Summary";#N/A,#N/A,FALSE,"SmPlants";#N/A,#N/A,FALSE,"Utah";#N/A,#N/A,FALSE,"Idaho";#N/A,#N/A,FALSE,"Lewis River";#N/A,#N/A,FALSE,"NrthUmpq";#N/A,#N/A,FALSE,"KlamRog"}</definedName>
    <definedName name="____OM1_1" localSheetId="37" hidden="1">{#N/A,#N/A,FALSE,"Summary";#N/A,#N/A,FALSE,"SmPlants";#N/A,#N/A,FALSE,"Utah";#N/A,#N/A,FALSE,"Idaho";#N/A,#N/A,FALSE,"Lewis River";#N/A,#N/A,FALSE,"NrthUmpq";#N/A,#N/A,FALSE,"KlamRog"}</definedName>
    <definedName name="____OM1_1" localSheetId="41" hidden="1">{#N/A,#N/A,FALSE,"Summary";#N/A,#N/A,FALSE,"SmPlants";#N/A,#N/A,FALSE,"Utah";#N/A,#N/A,FALSE,"Idaho";#N/A,#N/A,FALSE,"Lewis River";#N/A,#N/A,FALSE,"NrthUmpq";#N/A,#N/A,FALSE,"KlamRog"}</definedName>
    <definedName name="____OM1_1" localSheetId="42" hidden="1">{#N/A,#N/A,FALSE,"Summary";#N/A,#N/A,FALSE,"SmPlants";#N/A,#N/A,FALSE,"Utah";#N/A,#N/A,FALSE,"Idaho";#N/A,#N/A,FALSE,"Lewis River";#N/A,#N/A,FALSE,"NrthUmpq";#N/A,#N/A,FALSE,"KlamRog"}</definedName>
    <definedName name="____OM1_1" localSheetId="0" hidden="1">{#N/A,#N/A,FALSE,"Summary";#N/A,#N/A,FALSE,"SmPlants";#N/A,#N/A,FALSE,"Utah";#N/A,#N/A,FALSE,"Idaho";#N/A,#N/A,FALSE,"Lewis River";#N/A,#N/A,FALSE,"NrthUmpq";#N/A,#N/A,FALSE,"KlamRog"}</definedName>
    <definedName name="____OM1_1" hidden="1">{#N/A,#N/A,FALSE,"Summary";#N/A,#N/A,FALSE,"SmPlants";#N/A,#N/A,FALSE,"Utah";#N/A,#N/A,FALSE,"Idaho";#N/A,#N/A,FALSE,"Lewis River";#N/A,#N/A,FALSE,"NrthUmpq";#N/A,#N/A,FALSE,"KlamRog"}</definedName>
    <definedName name="____OM1_2" localSheetId="1" hidden="1">{#N/A,#N/A,FALSE,"Summary";#N/A,#N/A,FALSE,"SmPlants";#N/A,#N/A,FALSE,"Utah";#N/A,#N/A,FALSE,"Idaho";#N/A,#N/A,FALSE,"Lewis River";#N/A,#N/A,FALSE,"NrthUmpq";#N/A,#N/A,FALSE,"KlamRog"}</definedName>
    <definedName name="____OM1_2" localSheetId="3" hidden="1">{#N/A,#N/A,FALSE,"Summary";#N/A,#N/A,FALSE,"SmPlants";#N/A,#N/A,FALSE,"Utah";#N/A,#N/A,FALSE,"Idaho";#N/A,#N/A,FALSE,"Lewis River";#N/A,#N/A,FALSE,"NrthUmpq";#N/A,#N/A,FALSE,"KlamRog"}</definedName>
    <definedName name="____OM1_2" localSheetId="4" hidden="1">{#N/A,#N/A,FALSE,"Summary";#N/A,#N/A,FALSE,"SmPlants";#N/A,#N/A,FALSE,"Utah";#N/A,#N/A,FALSE,"Idaho";#N/A,#N/A,FALSE,"Lewis River";#N/A,#N/A,FALSE,"NrthUmpq";#N/A,#N/A,FALSE,"KlamRog"}</definedName>
    <definedName name="____OM1_2" localSheetId="18" hidden="1">{#N/A,#N/A,FALSE,"Summary";#N/A,#N/A,FALSE,"SmPlants";#N/A,#N/A,FALSE,"Utah";#N/A,#N/A,FALSE,"Idaho";#N/A,#N/A,FALSE,"Lewis River";#N/A,#N/A,FALSE,"NrthUmpq";#N/A,#N/A,FALSE,"KlamRog"}</definedName>
    <definedName name="____OM1_2" localSheetId="19" hidden="1">{#N/A,#N/A,FALSE,"Summary";#N/A,#N/A,FALSE,"SmPlants";#N/A,#N/A,FALSE,"Utah";#N/A,#N/A,FALSE,"Idaho";#N/A,#N/A,FALSE,"Lewis River";#N/A,#N/A,FALSE,"NrthUmpq";#N/A,#N/A,FALSE,"KlamRog"}</definedName>
    <definedName name="____OM1_2" localSheetId="20" hidden="1">{#N/A,#N/A,FALSE,"Summary";#N/A,#N/A,FALSE,"SmPlants";#N/A,#N/A,FALSE,"Utah";#N/A,#N/A,FALSE,"Idaho";#N/A,#N/A,FALSE,"Lewis River";#N/A,#N/A,FALSE,"NrthUmpq";#N/A,#N/A,FALSE,"KlamRog"}</definedName>
    <definedName name="____OM1_2" localSheetId="21" hidden="1">{#N/A,#N/A,FALSE,"Summary";#N/A,#N/A,FALSE,"SmPlants";#N/A,#N/A,FALSE,"Utah";#N/A,#N/A,FALSE,"Idaho";#N/A,#N/A,FALSE,"Lewis River";#N/A,#N/A,FALSE,"NrthUmpq";#N/A,#N/A,FALSE,"KlamRog"}</definedName>
    <definedName name="____OM1_2" localSheetId="24" hidden="1">{#N/A,#N/A,FALSE,"Summary";#N/A,#N/A,FALSE,"SmPlants";#N/A,#N/A,FALSE,"Utah";#N/A,#N/A,FALSE,"Idaho";#N/A,#N/A,FALSE,"Lewis River";#N/A,#N/A,FALSE,"NrthUmpq";#N/A,#N/A,FALSE,"KlamRog"}</definedName>
    <definedName name="____OM1_2" localSheetId="27" hidden="1">{#N/A,#N/A,FALSE,"Summary";#N/A,#N/A,FALSE,"SmPlants";#N/A,#N/A,FALSE,"Utah";#N/A,#N/A,FALSE,"Idaho";#N/A,#N/A,FALSE,"Lewis River";#N/A,#N/A,FALSE,"NrthUmpq";#N/A,#N/A,FALSE,"KlamRog"}</definedName>
    <definedName name="____OM1_2" localSheetId="28" hidden="1">{#N/A,#N/A,FALSE,"Summary";#N/A,#N/A,FALSE,"SmPlants";#N/A,#N/A,FALSE,"Utah";#N/A,#N/A,FALSE,"Idaho";#N/A,#N/A,FALSE,"Lewis River";#N/A,#N/A,FALSE,"NrthUmpq";#N/A,#N/A,FALSE,"KlamRog"}</definedName>
    <definedName name="____OM1_2" localSheetId="29" hidden="1">{#N/A,#N/A,FALSE,"Summary";#N/A,#N/A,FALSE,"SmPlants";#N/A,#N/A,FALSE,"Utah";#N/A,#N/A,FALSE,"Idaho";#N/A,#N/A,FALSE,"Lewis River";#N/A,#N/A,FALSE,"NrthUmpq";#N/A,#N/A,FALSE,"KlamRog"}</definedName>
    <definedName name="____OM1_2" localSheetId="30" hidden="1">{#N/A,#N/A,FALSE,"Summary";#N/A,#N/A,FALSE,"SmPlants";#N/A,#N/A,FALSE,"Utah";#N/A,#N/A,FALSE,"Idaho";#N/A,#N/A,FALSE,"Lewis River";#N/A,#N/A,FALSE,"NrthUmpq";#N/A,#N/A,FALSE,"KlamRog"}</definedName>
    <definedName name="____OM1_2" localSheetId="31" hidden="1">{#N/A,#N/A,FALSE,"Summary";#N/A,#N/A,FALSE,"SmPlants";#N/A,#N/A,FALSE,"Utah";#N/A,#N/A,FALSE,"Idaho";#N/A,#N/A,FALSE,"Lewis River";#N/A,#N/A,FALSE,"NrthUmpq";#N/A,#N/A,FALSE,"KlamRog"}</definedName>
    <definedName name="____OM1_2" localSheetId="37" hidden="1">{#N/A,#N/A,FALSE,"Summary";#N/A,#N/A,FALSE,"SmPlants";#N/A,#N/A,FALSE,"Utah";#N/A,#N/A,FALSE,"Idaho";#N/A,#N/A,FALSE,"Lewis River";#N/A,#N/A,FALSE,"NrthUmpq";#N/A,#N/A,FALSE,"KlamRog"}</definedName>
    <definedName name="____OM1_2" localSheetId="41" hidden="1">{#N/A,#N/A,FALSE,"Summary";#N/A,#N/A,FALSE,"SmPlants";#N/A,#N/A,FALSE,"Utah";#N/A,#N/A,FALSE,"Idaho";#N/A,#N/A,FALSE,"Lewis River";#N/A,#N/A,FALSE,"NrthUmpq";#N/A,#N/A,FALSE,"KlamRog"}</definedName>
    <definedName name="____OM1_2" localSheetId="42" hidden="1">{#N/A,#N/A,FALSE,"Summary";#N/A,#N/A,FALSE,"SmPlants";#N/A,#N/A,FALSE,"Utah";#N/A,#N/A,FALSE,"Idaho";#N/A,#N/A,FALSE,"Lewis River";#N/A,#N/A,FALSE,"NrthUmpq";#N/A,#N/A,FALSE,"KlamRog"}</definedName>
    <definedName name="____OM1_2" localSheetId="0" hidden="1">{#N/A,#N/A,FALSE,"Summary";#N/A,#N/A,FALSE,"SmPlants";#N/A,#N/A,FALSE,"Utah";#N/A,#N/A,FALSE,"Idaho";#N/A,#N/A,FALSE,"Lewis River";#N/A,#N/A,FALSE,"NrthUmpq";#N/A,#N/A,FALSE,"KlamRog"}</definedName>
    <definedName name="____OM1_2" hidden="1">{#N/A,#N/A,FALSE,"Summary";#N/A,#N/A,FALSE,"SmPlants";#N/A,#N/A,FALSE,"Utah";#N/A,#N/A,FALSE,"Idaho";#N/A,#N/A,FALSE,"Lewis River";#N/A,#N/A,FALSE,"NrthUmpq";#N/A,#N/A,FALSE,"KlamRog"}</definedName>
    <definedName name="____OM1_3" localSheetId="1" hidden="1">{#N/A,#N/A,FALSE,"Summary";#N/A,#N/A,FALSE,"SmPlants";#N/A,#N/A,FALSE,"Utah";#N/A,#N/A,FALSE,"Idaho";#N/A,#N/A,FALSE,"Lewis River";#N/A,#N/A,FALSE,"NrthUmpq";#N/A,#N/A,FALSE,"KlamRog"}</definedName>
    <definedName name="____OM1_3" localSheetId="3" hidden="1">{#N/A,#N/A,FALSE,"Summary";#N/A,#N/A,FALSE,"SmPlants";#N/A,#N/A,FALSE,"Utah";#N/A,#N/A,FALSE,"Idaho";#N/A,#N/A,FALSE,"Lewis River";#N/A,#N/A,FALSE,"NrthUmpq";#N/A,#N/A,FALSE,"KlamRog"}</definedName>
    <definedName name="____OM1_3" localSheetId="4" hidden="1">{#N/A,#N/A,FALSE,"Summary";#N/A,#N/A,FALSE,"SmPlants";#N/A,#N/A,FALSE,"Utah";#N/A,#N/A,FALSE,"Idaho";#N/A,#N/A,FALSE,"Lewis River";#N/A,#N/A,FALSE,"NrthUmpq";#N/A,#N/A,FALSE,"KlamRog"}</definedName>
    <definedName name="____OM1_3" localSheetId="18" hidden="1">{#N/A,#N/A,FALSE,"Summary";#N/A,#N/A,FALSE,"SmPlants";#N/A,#N/A,FALSE,"Utah";#N/A,#N/A,FALSE,"Idaho";#N/A,#N/A,FALSE,"Lewis River";#N/A,#N/A,FALSE,"NrthUmpq";#N/A,#N/A,FALSE,"KlamRog"}</definedName>
    <definedName name="____OM1_3" localSheetId="19" hidden="1">{#N/A,#N/A,FALSE,"Summary";#N/A,#N/A,FALSE,"SmPlants";#N/A,#N/A,FALSE,"Utah";#N/A,#N/A,FALSE,"Idaho";#N/A,#N/A,FALSE,"Lewis River";#N/A,#N/A,FALSE,"NrthUmpq";#N/A,#N/A,FALSE,"KlamRog"}</definedName>
    <definedName name="____OM1_3" localSheetId="20" hidden="1">{#N/A,#N/A,FALSE,"Summary";#N/A,#N/A,FALSE,"SmPlants";#N/A,#N/A,FALSE,"Utah";#N/A,#N/A,FALSE,"Idaho";#N/A,#N/A,FALSE,"Lewis River";#N/A,#N/A,FALSE,"NrthUmpq";#N/A,#N/A,FALSE,"KlamRog"}</definedName>
    <definedName name="____OM1_3" localSheetId="21" hidden="1">{#N/A,#N/A,FALSE,"Summary";#N/A,#N/A,FALSE,"SmPlants";#N/A,#N/A,FALSE,"Utah";#N/A,#N/A,FALSE,"Idaho";#N/A,#N/A,FALSE,"Lewis River";#N/A,#N/A,FALSE,"NrthUmpq";#N/A,#N/A,FALSE,"KlamRog"}</definedName>
    <definedName name="____OM1_3" localSheetId="24" hidden="1">{#N/A,#N/A,FALSE,"Summary";#N/A,#N/A,FALSE,"SmPlants";#N/A,#N/A,FALSE,"Utah";#N/A,#N/A,FALSE,"Idaho";#N/A,#N/A,FALSE,"Lewis River";#N/A,#N/A,FALSE,"NrthUmpq";#N/A,#N/A,FALSE,"KlamRog"}</definedName>
    <definedName name="____OM1_3" localSheetId="27" hidden="1">{#N/A,#N/A,FALSE,"Summary";#N/A,#N/A,FALSE,"SmPlants";#N/A,#N/A,FALSE,"Utah";#N/A,#N/A,FALSE,"Idaho";#N/A,#N/A,FALSE,"Lewis River";#N/A,#N/A,FALSE,"NrthUmpq";#N/A,#N/A,FALSE,"KlamRog"}</definedName>
    <definedName name="____OM1_3" localSheetId="28" hidden="1">{#N/A,#N/A,FALSE,"Summary";#N/A,#N/A,FALSE,"SmPlants";#N/A,#N/A,FALSE,"Utah";#N/A,#N/A,FALSE,"Idaho";#N/A,#N/A,FALSE,"Lewis River";#N/A,#N/A,FALSE,"NrthUmpq";#N/A,#N/A,FALSE,"KlamRog"}</definedName>
    <definedName name="____OM1_3" localSheetId="29" hidden="1">{#N/A,#N/A,FALSE,"Summary";#N/A,#N/A,FALSE,"SmPlants";#N/A,#N/A,FALSE,"Utah";#N/A,#N/A,FALSE,"Idaho";#N/A,#N/A,FALSE,"Lewis River";#N/A,#N/A,FALSE,"NrthUmpq";#N/A,#N/A,FALSE,"KlamRog"}</definedName>
    <definedName name="____OM1_3" localSheetId="30" hidden="1">{#N/A,#N/A,FALSE,"Summary";#N/A,#N/A,FALSE,"SmPlants";#N/A,#N/A,FALSE,"Utah";#N/A,#N/A,FALSE,"Idaho";#N/A,#N/A,FALSE,"Lewis River";#N/A,#N/A,FALSE,"NrthUmpq";#N/A,#N/A,FALSE,"KlamRog"}</definedName>
    <definedName name="____OM1_3" localSheetId="31" hidden="1">{#N/A,#N/A,FALSE,"Summary";#N/A,#N/A,FALSE,"SmPlants";#N/A,#N/A,FALSE,"Utah";#N/A,#N/A,FALSE,"Idaho";#N/A,#N/A,FALSE,"Lewis River";#N/A,#N/A,FALSE,"NrthUmpq";#N/A,#N/A,FALSE,"KlamRog"}</definedName>
    <definedName name="____OM1_3" localSheetId="37" hidden="1">{#N/A,#N/A,FALSE,"Summary";#N/A,#N/A,FALSE,"SmPlants";#N/A,#N/A,FALSE,"Utah";#N/A,#N/A,FALSE,"Idaho";#N/A,#N/A,FALSE,"Lewis River";#N/A,#N/A,FALSE,"NrthUmpq";#N/A,#N/A,FALSE,"KlamRog"}</definedName>
    <definedName name="____OM1_3" localSheetId="41" hidden="1">{#N/A,#N/A,FALSE,"Summary";#N/A,#N/A,FALSE,"SmPlants";#N/A,#N/A,FALSE,"Utah";#N/A,#N/A,FALSE,"Idaho";#N/A,#N/A,FALSE,"Lewis River";#N/A,#N/A,FALSE,"NrthUmpq";#N/A,#N/A,FALSE,"KlamRog"}</definedName>
    <definedName name="____OM1_3" localSheetId="42" hidden="1">{#N/A,#N/A,FALSE,"Summary";#N/A,#N/A,FALSE,"SmPlants";#N/A,#N/A,FALSE,"Utah";#N/A,#N/A,FALSE,"Idaho";#N/A,#N/A,FALSE,"Lewis River";#N/A,#N/A,FALSE,"NrthUmpq";#N/A,#N/A,FALSE,"KlamRog"}</definedName>
    <definedName name="____OM1_3" localSheetId="0" hidden="1">{#N/A,#N/A,FALSE,"Summary";#N/A,#N/A,FALSE,"SmPlants";#N/A,#N/A,FALSE,"Utah";#N/A,#N/A,FALSE,"Idaho";#N/A,#N/A,FALSE,"Lewis River";#N/A,#N/A,FALSE,"NrthUmpq";#N/A,#N/A,FALSE,"KlamRog"}</definedName>
    <definedName name="____OM1_3" hidden="1">{#N/A,#N/A,FALSE,"Summary";#N/A,#N/A,FALSE,"SmPlants";#N/A,#N/A,FALSE,"Utah";#N/A,#N/A,FALSE,"Idaho";#N/A,#N/A,FALSE,"Lewis River";#N/A,#N/A,FALSE,"NrthUmpq";#N/A,#N/A,FALSE,"KlamRog"}</definedName>
    <definedName name="____OM1_4" localSheetId="1" hidden="1">{#N/A,#N/A,FALSE,"Summary";#N/A,#N/A,FALSE,"SmPlants";#N/A,#N/A,FALSE,"Utah";#N/A,#N/A,FALSE,"Idaho";#N/A,#N/A,FALSE,"Lewis River";#N/A,#N/A,FALSE,"NrthUmpq";#N/A,#N/A,FALSE,"KlamRog"}</definedName>
    <definedName name="____OM1_4" localSheetId="3" hidden="1">{#N/A,#N/A,FALSE,"Summary";#N/A,#N/A,FALSE,"SmPlants";#N/A,#N/A,FALSE,"Utah";#N/A,#N/A,FALSE,"Idaho";#N/A,#N/A,FALSE,"Lewis River";#N/A,#N/A,FALSE,"NrthUmpq";#N/A,#N/A,FALSE,"KlamRog"}</definedName>
    <definedName name="____OM1_4" localSheetId="4" hidden="1">{#N/A,#N/A,FALSE,"Summary";#N/A,#N/A,FALSE,"SmPlants";#N/A,#N/A,FALSE,"Utah";#N/A,#N/A,FALSE,"Idaho";#N/A,#N/A,FALSE,"Lewis River";#N/A,#N/A,FALSE,"NrthUmpq";#N/A,#N/A,FALSE,"KlamRog"}</definedName>
    <definedName name="____OM1_4" localSheetId="18" hidden="1">{#N/A,#N/A,FALSE,"Summary";#N/A,#N/A,FALSE,"SmPlants";#N/A,#N/A,FALSE,"Utah";#N/A,#N/A,FALSE,"Idaho";#N/A,#N/A,FALSE,"Lewis River";#N/A,#N/A,FALSE,"NrthUmpq";#N/A,#N/A,FALSE,"KlamRog"}</definedName>
    <definedName name="____OM1_4" localSheetId="19" hidden="1">{#N/A,#N/A,FALSE,"Summary";#N/A,#N/A,FALSE,"SmPlants";#N/A,#N/A,FALSE,"Utah";#N/A,#N/A,FALSE,"Idaho";#N/A,#N/A,FALSE,"Lewis River";#N/A,#N/A,FALSE,"NrthUmpq";#N/A,#N/A,FALSE,"KlamRog"}</definedName>
    <definedName name="____OM1_4" localSheetId="20" hidden="1">{#N/A,#N/A,FALSE,"Summary";#N/A,#N/A,FALSE,"SmPlants";#N/A,#N/A,FALSE,"Utah";#N/A,#N/A,FALSE,"Idaho";#N/A,#N/A,FALSE,"Lewis River";#N/A,#N/A,FALSE,"NrthUmpq";#N/A,#N/A,FALSE,"KlamRog"}</definedName>
    <definedName name="____OM1_4" localSheetId="21" hidden="1">{#N/A,#N/A,FALSE,"Summary";#N/A,#N/A,FALSE,"SmPlants";#N/A,#N/A,FALSE,"Utah";#N/A,#N/A,FALSE,"Idaho";#N/A,#N/A,FALSE,"Lewis River";#N/A,#N/A,FALSE,"NrthUmpq";#N/A,#N/A,FALSE,"KlamRog"}</definedName>
    <definedName name="____OM1_4" localSheetId="24" hidden="1">{#N/A,#N/A,FALSE,"Summary";#N/A,#N/A,FALSE,"SmPlants";#N/A,#N/A,FALSE,"Utah";#N/A,#N/A,FALSE,"Idaho";#N/A,#N/A,FALSE,"Lewis River";#N/A,#N/A,FALSE,"NrthUmpq";#N/A,#N/A,FALSE,"KlamRog"}</definedName>
    <definedName name="____OM1_4" localSheetId="27" hidden="1">{#N/A,#N/A,FALSE,"Summary";#N/A,#N/A,FALSE,"SmPlants";#N/A,#N/A,FALSE,"Utah";#N/A,#N/A,FALSE,"Idaho";#N/A,#N/A,FALSE,"Lewis River";#N/A,#N/A,FALSE,"NrthUmpq";#N/A,#N/A,FALSE,"KlamRog"}</definedName>
    <definedName name="____OM1_4" localSheetId="28" hidden="1">{#N/A,#N/A,FALSE,"Summary";#N/A,#N/A,FALSE,"SmPlants";#N/A,#N/A,FALSE,"Utah";#N/A,#N/A,FALSE,"Idaho";#N/A,#N/A,FALSE,"Lewis River";#N/A,#N/A,FALSE,"NrthUmpq";#N/A,#N/A,FALSE,"KlamRog"}</definedName>
    <definedName name="____OM1_4" localSheetId="29" hidden="1">{#N/A,#N/A,FALSE,"Summary";#N/A,#N/A,FALSE,"SmPlants";#N/A,#N/A,FALSE,"Utah";#N/A,#N/A,FALSE,"Idaho";#N/A,#N/A,FALSE,"Lewis River";#N/A,#N/A,FALSE,"NrthUmpq";#N/A,#N/A,FALSE,"KlamRog"}</definedName>
    <definedName name="____OM1_4" localSheetId="30" hidden="1">{#N/A,#N/A,FALSE,"Summary";#N/A,#N/A,FALSE,"SmPlants";#N/A,#N/A,FALSE,"Utah";#N/A,#N/A,FALSE,"Idaho";#N/A,#N/A,FALSE,"Lewis River";#N/A,#N/A,FALSE,"NrthUmpq";#N/A,#N/A,FALSE,"KlamRog"}</definedName>
    <definedName name="____OM1_4" localSheetId="31" hidden="1">{#N/A,#N/A,FALSE,"Summary";#N/A,#N/A,FALSE,"SmPlants";#N/A,#N/A,FALSE,"Utah";#N/A,#N/A,FALSE,"Idaho";#N/A,#N/A,FALSE,"Lewis River";#N/A,#N/A,FALSE,"NrthUmpq";#N/A,#N/A,FALSE,"KlamRog"}</definedName>
    <definedName name="____OM1_4" localSheetId="37" hidden="1">{#N/A,#N/A,FALSE,"Summary";#N/A,#N/A,FALSE,"SmPlants";#N/A,#N/A,FALSE,"Utah";#N/A,#N/A,FALSE,"Idaho";#N/A,#N/A,FALSE,"Lewis River";#N/A,#N/A,FALSE,"NrthUmpq";#N/A,#N/A,FALSE,"KlamRog"}</definedName>
    <definedName name="____OM1_4" localSheetId="41" hidden="1">{#N/A,#N/A,FALSE,"Summary";#N/A,#N/A,FALSE,"SmPlants";#N/A,#N/A,FALSE,"Utah";#N/A,#N/A,FALSE,"Idaho";#N/A,#N/A,FALSE,"Lewis River";#N/A,#N/A,FALSE,"NrthUmpq";#N/A,#N/A,FALSE,"KlamRog"}</definedName>
    <definedName name="____OM1_4" localSheetId="42" hidden="1">{#N/A,#N/A,FALSE,"Summary";#N/A,#N/A,FALSE,"SmPlants";#N/A,#N/A,FALSE,"Utah";#N/A,#N/A,FALSE,"Idaho";#N/A,#N/A,FALSE,"Lewis River";#N/A,#N/A,FALSE,"NrthUmpq";#N/A,#N/A,FALSE,"KlamRog"}</definedName>
    <definedName name="____OM1_4" localSheetId="0" hidden="1">{#N/A,#N/A,FALSE,"Summary";#N/A,#N/A,FALSE,"SmPlants";#N/A,#N/A,FALSE,"Utah";#N/A,#N/A,FALSE,"Idaho";#N/A,#N/A,FALSE,"Lewis River";#N/A,#N/A,FALSE,"NrthUmpq";#N/A,#N/A,FALSE,"KlamRog"}</definedName>
    <definedName name="____OM1_4" hidden="1">{#N/A,#N/A,FALSE,"Summary";#N/A,#N/A,FALSE,"SmPlants";#N/A,#N/A,FALSE,"Utah";#N/A,#N/A,FALSE,"Idaho";#N/A,#N/A,FALSE,"Lewis River";#N/A,#N/A,FALSE,"NrthUmpq";#N/A,#N/A,FALSE,"KlamRog"}</definedName>
    <definedName name="____OM1_5" localSheetId="1" hidden="1">{#N/A,#N/A,FALSE,"Summary";#N/A,#N/A,FALSE,"SmPlants";#N/A,#N/A,FALSE,"Utah";#N/A,#N/A,FALSE,"Idaho";#N/A,#N/A,FALSE,"Lewis River";#N/A,#N/A,FALSE,"NrthUmpq";#N/A,#N/A,FALSE,"KlamRog"}</definedName>
    <definedName name="____OM1_5" localSheetId="3" hidden="1">{#N/A,#N/A,FALSE,"Summary";#N/A,#N/A,FALSE,"SmPlants";#N/A,#N/A,FALSE,"Utah";#N/A,#N/A,FALSE,"Idaho";#N/A,#N/A,FALSE,"Lewis River";#N/A,#N/A,FALSE,"NrthUmpq";#N/A,#N/A,FALSE,"KlamRog"}</definedName>
    <definedName name="____OM1_5" localSheetId="4" hidden="1">{#N/A,#N/A,FALSE,"Summary";#N/A,#N/A,FALSE,"SmPlants";#N/A,#N/A,FALSE,"Utah";#N/A,#N/A,FALSE,"Idaho";#N/A,#N/A,FALSE,"Lewis River";#N/A,#N/A,FALSE,"NrthUmpq";#N/A,#N/A,FALSE,"KlamRog"}</definedName>
    <definedName name="____OM1_5" localSheetId="18" hidden="1">{#N/A,#N/A,FALSE,"Summary";#N/A,#N/A,FALSE,"SmPlants";#N/A,#N/A,FALSE,"Utah";#N/A,#N/A,FALSE,"Idaho";#N/A,#N/A,FALSE,"Lewis River";#N/A,#N/A,FALSE,"NrthUmpq";#N/A,#N/A,FALSE,"KlamRog"}</definedName>
    <definedName name="____OM1_5" localSheetId="19" hidden="1">{#N/A,#N/A,FALSE,"Summary";#N/A,#N/A,FALSE,"SmPlants";#N/A,#N/A,FALSE,"Utah";#N/A,#N/A,FALSE,"Idaho";#N/A,#N/A,FALSE,"Lewis River";#N/A,#N/A,FALSE,"NrthUmpq";#N/A,#N/A,FALSE,"KlamRog"}</definedName>
    <definedName name="____OM1_5" localSheetId="20" hidden="1">{#N/A,#N/A,FALSE,"Summary";#N/A,#N/A,FALSE,"SmPlants";#N/A,#N/A,FALSE,"Utah";#N/A,#N/A,FALSE,"Idaho";#N/A,#N/A,FALSE,"Lewis River";#N/A,#N/A,FALSE,"NrthUmpq";#N/A,#N/A,FALSE,"KlamRog"}</definedName>
    <definedName name="____OM1_5" localSheetId="21" hidden="1">{#N/A,#N/A,FALSE,"Summary";#N/A,#N/A,FALSE,"SmPlants";#N/A,#N/A,FALSE,"Utah";#N/A,#N/A,FALSE,"Idaho";#N/A,#N/A,FALSE,"Lewis River";#N/A,#N/A,FALSE,"NrthUmpq";#N/A,#N/A,FALSE,"KlamRog"}</definedName>
    <definedName name="____OM1_5" localSheetId="24" hidden="1">{#N/A,#N/A,FALSE,"Summary";#N/A,#N/A,FALSE,"SmPlants";#N/A,#N/A,FALSE,"Utah";#N/A,#N/A,FALSE,"Idaho";#N/A,#N/A,FALSE,"Lewis River";#N/A,#N/A,FALSE,"NrthUmpq";#N/A,#N/A,FALSE,"KlamRog"}</definedName>
    <definedName name="____OM1_5" localSheetId="27" hidden="1">{#N/A,#N/A,FALSE,"Summary";#N/A,#N/A,FALSE,"SmPlants";#N/A,#N/A,FALSE,"Utah";#N/A,#N/A,FALSE,"Idaho";#N/A,#N/A,FALSE,"Lewis River";#N/A,#N/A,FALSE,"NrthUmpq";#N/A,#N/A,FALSE,"KlamRog"}</definedName>
    <definedName name="____OM1_5" localSheetId="28" hidden="1">{#N/A,#N/A,FALSE,"Summary";#N/A,#N/A,FALSE,"SmPlants";#N/A,#N/A,FALSE,"Utah";#N/A,#N/A,FALSE,"Idaho";#N/A,#N/A,FALSE,"Lewis River";#N/A,#N/A,FALSE,"NrthUmpq";#N/A,#N/A,FALSE,"KlamRog"}</definedName>
    <definedName name="____OM1_5" localSheetId="29" hidden="1">{#N/A,#N/A,FALSE,"Summary";#N/A,#N/A,FALSE,"SmPlants";#N/A,#N/A,FALSE,"Utah";#N/A,#N/A,FALSE,"Idaho";#N/A,#N/A,FALSE,"Lewis River";#N/A,#N/A,FALSE,"NrthUmpq";#N/A,#N/A,FALSE,"KlamRog"}</definedName>
    <definedName name="____OM1_5" localSheetId="30" hidden="1">{#N/A,#N/A,FALSE,"Summary";#N/A,#N/A,FALSE,"SmPlants";#N/A,#N/A,FALSE,"Utah";#N/A,#N/A,FALSE,"Idaho";#N/A,#N/A,FALSE,"Lewis River";#N/A,#N/A,FALSE,"NrthUmpq";#N/A,#N/A,FALSE,"KlamRog"}</definedName>
    <definedName name="____OM1_5" localSheetId="31" hidden="1">{#N/A,#N/A,FALSE,"Summary";#N/A,#N/A,FALSE,"SmPlants";#N/A,#N/A,FALSE,"Utah";#N/A,#N/A,FALSE,"Idaho";#N/A,#N/A,FALSE,"Lewis River";#N/A,#N/A,FALSE,"NrthUmpq";#N/A,#N/A,FALSE,"KlamRog"}</definedName>
    <definedName name="____OM1_5" localSheetId="37" hidden="1">{#N/A,#N/A,FALSE,"Summary";#N/A,#N/A,FALSE,"SmPlants";#N/A,#N/A,FALSE,"Utah";#N/A,#N/A,FALSE,"Idaho";#N/A,#N/A,FALSE,"Lewis River";#N/A,#N/A,FALSE,"NrthUmpq";#N/A,#N/A,FALSE,"KlamRog"}</definedName>
    <definedName name="____OM1_5" localSheetId="41" hidden="1">{#N/A,#N/A,FALSE,"Summary";#N/A,#N/A,FALSE,"SmPlants";#N/A,#N/A,FALSE,"Utah";#N/A,#N/A,FALSE,"Idaho";#N/A,#N/A,FALSE,"Lewis River";#N/A,#N/A,FALSE,"NrthUmpq";#N/A,#N/A,FALSE,"KlamRog"}</definedName>
    <definedName name="____OM1_5" localSheetId="42" hidden="1">{#N/A,#N/A,FALSE,"Summary";#N/A,#N/A,FALSE,"SmPlants";#N/A,#N/A,FALSE,"Utah";#N/A,#N/A,FALSE,"Idaho";#N/A,#N/A,FALSE,"Lewis River";#N/A,#N/A,FALSE,"NrthUmpq";#N/A,#N/A,FALSE,"KlamRog"}</definedName>
    <definedName name="____OM1_5" localSheetId="0" hidden="1">{#N/A,#N/A,FALSE,"Summary";#N/A,#N/A,FALSE,"SmPlants";#N/A,#N/A,FALSE,"Utah";#N/A,#N/A,FALSE,"Idaho";#N/A,#N/A,FALSE,"Lewis River";#N/A,#N/A,FALSE,"NrthUmpq";#N/A,#N/A,FALSE,"KlamRog"}</definedName>
    <definedName name="____OM1_5" hidden="1">{#N/A,#N/A,FALSE,"Summary";#N/A,#N/A,FALSE,"SmPlants";#N/A,#N/A,FALSE,"Utah";#N/A,#N/A,FALSE,"Idaho";#N/A,#N/A,FALSE,"Lewis River";#N/A,#N/A,FALSE,"NrthUmpq";#N/A,#N/A,FALSE,"KlamRog"}</definedName>
    <definedName name="__OM1" localSheetId="1" hidden="1">{#N/A,#N/A,FALSE,"Summary";#N/A,#N/A,FALSE,"SmPlants";#N/A,#N/A,FALSE,"Utah";#N/A,#N/A,FALSE,"Idaho";#N/A,#N/A,FALSE,"Lewis River";#N/A,#N/A,FALSE,"NrthUmpq";#N/A,#N/A,FALSE,"KlamRog"}</definedName>
    <definedName name="__OM1" localSheetId="3" hidden="1">{#N/A,#N/A,FALSE,"Summary";#N/A,#N/A,FALSE,"SmPlants";#N/A,#N/A,FALSE,"Utah";#N/A,#N/A,FALSE,"Idaho";#N/A,#N/A,FALSE,"Lewis River";#N/A,#N/A,FALSE,"NrthUmpq";#N/A,#N/A,FALSE,"KlamRog"}</definedName>
    <definedName name="__OM1" localSheetId="4" hidden="1">{#N/A,#N/A,FALSE,"Summary";#N/A,#N/A,FALSE,"SmPlants";#N/A,#N/A,FALSE,"Utah";#N/A,#N/A,FALSE,"Idaho";#N/A,#N/A,FALSE,"Lewis River";#N/A,#N/A,FALSE,"NrthUmpq";#N/A,#N/A,FALSE,"KlamRog"}</definedName>
    <definedName name="__OM1" localSheetId="18" hidden="1">{#N/A,#N/A,FALSE,"Summary";#N/A,#N/A,FALSE,"SmPlants";#N/A,#N/A,FALSE,"Utah";#N/A,#N/A,FALSE,"Idaho";#N/A,#N/A,FALSE,"Lewis River";#N/A,#N/A,FALSE,"NrthUmpq";#N/A,#N/A,FALSE,"KlamRog"}</definedName>
    <definedName name="__OM1" localSheetId="19" hidden="1">{#N/A,#N/A,FALSE,"Summary";#N/A,#N/A,FALSE,"SmPlants";#N/A,#N/A,FALSE,"Utah";#N/A,#N/A,FALSE,"Idaho";#N/A,#N/A,FALSE,"Lewis River";#N/A,#N/A,FALSE,"NrthUmpq";#N/A,#N/A,FALSE,"KlamRog"}</definedName>
    <definedName name="__OM1" localSheetId="20" hidden="1">{#N/A,#N/A,FALSE,"Summary";#N/A,#N/A,FALSE,"SmPlants";#N/A,#N/A,FALSE,"Utah";#N/A,#N/A,FALSE,"Idaho";#N/A,#N/A,FALSE,"Lewis River";#N/A,#N/A,FALSE,"NrthUmpq";#N/A,#N/A,FALSE,"KlamRog"}</definedName>
    <definedName name="__OM1" localSheetId="21" hidden="1">{#N/A,#N/A,FALSE,"Summary";#N/A,#N/A,FALSE,"SmPlants";#N/A,#N/A,FALSE,"Utah";#N/A,#N/A,FALSE,"Idaho";#N/A,#N/A,FALSE,"Lewis River";#N/A,#N/A,FALSE,"NrthUmpq";#N/A,#N/A,FALSE,"KlamRog"}</definedName>
    <definedName name="__OM1" localSheetId="24" hidden="1">{#N/A,#N/A,FALSE,"Summary";#N/A,#N/A,FALSE,"SmPlants";#N/A,#N/A,FALSE,"Utah";#N/A,#N/A,FALSE,"Idaho";#N/A,#N/A,FALSE,"Lewis River";#N/A,#N/A,FALSE,"NrthUmpq";#N/A,#N/A,FALSE,"KlamRog"}</definedName>
    <definedName name="__OM1" localSheetId="27" hidden="1">{#N/A,#N/A,FALSE,"Summary";#N/A,#N/A,FALSE,"SmPlants";#N/A,#N/A,FALSE,"Utah";#N/A,#N/A,FALSE,"Idaho";#N/A,#N/A,FALSE,"Lewis River";#N/A,#N/A,FALSE,"NrthUmpq";#N/A,#N/A,FALSE,"KlamRog"}</definedName>
    <definedName name="__OM1" localSheetId="28" hidden="1">{#N/A,#N/A,FALSE,"Summary";#N/A,#N/A,FALSE,"SmPlants";#N/A,#N/A,FALSE,"Utah";#N/A,#N/A,FALSE,"Idaho";#N/A,#N/A,FALSE,"Lewis River";#N/A,#N/A,FALSE,"NrthUmpq";#N/A,#N/A,FALSE,"KlamRog"}</definedName>
    <definedName name="__OM1" localSheetId="29" hidden="1">{#N/A,#N/A,FALSE,"Summary";#N/A,#N/A,FALSE,"SmPlants";#N/A,#N/A,FALSE,"Utah";#N/A,#N/A,FALSE,"Idaho";#N/A,#N/A,FALSE,"Lewis River";#N/A,#N/A,FALSE,"NrthUmpq";#N/A,#N/A,FALSE,"KlamRog"}</definedName>
    <definedName name="__OM1" localSheetId="30" hidden="1">{#N/A,#N/A,FALSE,"Summary";#N/A,#N/A,FALSE,"SmPlants";#N/A,#N/A,FALSE,"Utah";#N/A,#N/A,FALSE,"Idaho";#N/A,#N/A,FALSE,"Lewis River";#N/A,#N/A,FALSE,"NrthUmpq";#N/A,#N/A,FALSE,"KlamRog"}</definedName>
    <definedName name="__OM1" localSheetId="31" hidden="1">{#N/A,#N/A,FALSE,"Summary";#N/A,#N/A,FALSE,"SmPlants";#N/A,#N/A,FALSE,"Utah";#N/A,#N/A,FALSE,"Idaho";#N/A,#N/A,FALSE,"Lewis River";#N/A,#N/A,FALSE,"NrthUmpq";#N/A,#N/A,FALSE,"KlamRog"}</definedName>
    <definedName name="__OM1" localSheetId="37" hidden="1">{#N/A,#N/A,FALSE,"Summary";#N/A,#N/A,FALSE,"SmPlants";#N/A,#N/A,FALSE,"Utah";#N/A,#N/A,FALSE,"Idaho";#N/A,#N/A,FALSE,"Lewis River";#N/A,#N/A,FALSE,"NrthUmpq";#N/A,#N/A,FALSE,"KlamRog"}</definedName>
    <definedName name="__OM1" localSheetId="41" hidden="1">{#N/A,#N/A,FALSE,"Summary";#N/A,#N/A,FALSE,"SmPlants";#N/A,#N/A,FALSE,"Utah";#N/A,#N/A,FALSE,"Idaho";#N/A,#N/A,FALSE,"Lewis River";#N/A,#N/A,FALSE,"NrthUmpq";#N/A,#N/A,FALSE,"KlamRog"}</definedName>
    <definedName name="__OM1" localSheetId="42" hidden="1">{#N/A,#N/A,FALSE,"Summary";#N/A,#N/A,FALSE,"SmPlants";#N/A,#N/A,FALSE,"Utah";#N/A,#N/A,FALSE,"Idaho";#N/A,#N/A,FALSE,"Lewis River";#N/A,#N/A,FALSE,"NrthUmpq";#N/A,#N/A,FALSE,"KlamRog"}</definedName>
    <definedName name="__OM1" localSheetId="0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OM1_1" localSheetId="1" hidden="1">{#N/A,#N/A,FALSE,"Summary";#N/A,#N/A,FALSE,"SmPlants";#N/A,#N/A,FALSE,"Utah";#N/A,#N/A,FALSE,"Idaho";#N/A,#N/A,FALSE,"Lewis River";#N/A,#N/A,FALSE,"NrthUmpq";#N/A,#N/A,FALSE,"KlamRog"}</definedName>
    <definedName name="__OM1_1" localSheetId="3" hidden="1">{#N/A,#N/A,FALSE,"Summary";#N/A,#N/A,FALSE,"SmPlants";#N/A,#N/A,FALSE,"Utah";#N/A,#N/A,FALSE,"Idaho";#N/A,#N/A,FALSE,"Lewis River";#N/A,#N/A,FALSE,"NrthUmpq";#N/A,#N/A,FALSE,"KlamRog"}</definedName>
    <definedName name="__OM1_1" localSheetId="4" hidden="1">{#N/A,#N/A,FALSE,"Summary";#N/A,#N/A,FALSE,"SmPlants";#N/A,#N/A,FALSE,"Utah";#N/A,#N/A,FALSE,"Idaho";#N/A,#N/A,FALSE,"Lewis River";#N/A,#N/A,FALSE,"NrthUmpq";#N/A,#N/A,FALSE,"KlamRog"}</definedName>
    <definedName name="__OM1_1" localSheetId="18" hidden="1">{#N/A,#N/A,FALSE,"Summary";#N/A,#N/A,FALSE,"SmPlants";#N/A,#N/A,FALSE,"Utah";#N/A,#N/A,FALSE,"Idaho";#N/A,#N/A,FALSE,"Lewis River";#N/A,#N/A,FALSE,"NrthUmpq";#N/A,#N/A,FALSE,"KlamRog"}</definedName>
    <definedName name="__OM1_1" localSheetId="19" hidden="1">{#N/A,#N/A,FALSE,"Summary";#N/A,#N/A,FALSE,"SmPlants";#N/A,#N/A,FALSE,"Utah";#N/A,#N/A,FALSE,"Idaho";#N/A,#N/A,FALSE,"Lewis River";#N/A,#N/A,FALSE,"NrthUmpq";#N/A,#N/A,FALSE,"KlamRog"}</definedName>
    <definedName name="__OM1_1" localSheetId="20" hidden="1">{#N/A,#N/A,FALSE,"Summary";#N/A,#N/A,FALSE,"SmPlants";#N/A,#N/A,FALSE,"Utah";#N/A,#N/A,FALSE,"Idaho";#N/A,#N/A,FALSE,"Lewis River";#N/A,#N/A,FALSE,"NrthUmpq";#N/A,#N/A,FALSE,"KlamRog"}</definedName>
    <definedName name="__OM1_1" localSheetId="21" hidden="1">{#N/A,#N/A,FALSE,"Summary";#N/A,#N/A,FALSE,"SmPlants";#N/A,#N/A,FALSE,"Utah";#N/A,#N/A,FALSE,"Idaho";#N/A,#N/A,FALSE,"Lewis River";#N/A,#N/A,FALSE,"NrthUmpq";#N/A,#N/A,FALSE,"KlamRog"}</definedName>
    <definedName name="__OM1_1" localSheetId="24" hidden="1">{#N/A,#N/A,FALSE,"Summary";#N/A,#N/A,FALSE,"SmPlants";#N/A,#N/A,FALSE,"Utah";#N/A,#N/A,FALSE,"Idaho";#N/A,#N/A,FALSE,"Lewis River";#N/A,#N/A,FALSE,"NrthUmpq";#N/A,#N/A,FALSE,"KlamRog"}</definedName>
    <definedName name="__OM1_1" localSheetId="27" hidden="1">{#N/A,#N/A,FALSE,"Summary";#N/A,#N/A,FALSE,"SmPlants";#N/A,#N/A,FALSE,"Utah";#N/A,#N/A,FALSE,"Idaho";#N/A,#N/A,FALSE,"Lewis River";#N/A,#N/A,FALSE,"NrthUmpq";#N/A,#N/A,FALSE,"KlamRog"}</definedName>
    <definedName name="__OM1_1" localSheetId="28" hidden="1">{#N/A,#N/A,FALSE,"Summary";#N/A,#N/A,FALSE,"SmPlants";#N/A,#N/A,FALSE,"Utah";#N/A,#N/A,FALSE,"Idaho";#N/A,#N/A,FALSE,"Lewis River";#N/A,#N/A,FALSE,"NrthUmpq";#N/A,#N/A,FALSE,"KlamRog"}</definedName>
    <definedName name="__OM1_1" localSheetId="29" hidden="1">{#N/A,#N/A,FALSE,"Summary";#N/A,#N/A,FALSE,"SmPlants";#N/A,#N/A,FALSE,"Utah";#N/A,#N/A,FALSE,"Idaho";#N/A,#N/A,FALSE,"Lewis River";#N/A,#N/A,FALSE,"NrthUmpq";#N/A,#N/A,FALSE,"KlamRog"}</definedName>
    <definedName name="__OM1_1" localSheetId="30" hidden="1">{#N/A,#N/A,FALSE,"Summary";#N/A,#N/A,FALSE,"SmPlants";#N/A,#N/A,FALSE,"Utah";#N/A,#N/A,FALSE,"Idaho";#N/A,#N/A,FALSE,"Lewis River";#N/A,#N/A,FALSE,"NrthUmpq";#N/A,#N/A,FALSE,"KlamRog"}</definedName>
    <definedName name="__OM1_1" localSheetId="31" hidden="1">{#N/A,#N/A,FALSE,"Summary";#N/A,#N/A,FALSE,"SmPlants";#N/A,#N/A,FALSE,"Utah";#N/A,#N/A,FALSE,"Idaho";#N/A,#N/A,FALSE,"Lewis River";#N/A,#N/A,FALSE,"NrthUmpq";#N/A,#N/A,FALSE,"KlamRog"}</definedName>
    <definedName name="__OM1_1" localSheetId="37" hidden="1">{#N/A,#N/A,FALSE,"Summary";#N/A,#N/A,FALSE,"SmPlants";#N/A,#N/A,FALSE,"Utah";#N/A,#N/A,FALSE,"Idaho";#N/A,#N/A,FALSE,"Lewis River";#N/A,#N/A,FALSE,"NrthUmpq";#N/A,#N/A,FALSE,"KlamRog"}</definedName>
    <definedName name="__OM1_1" localSheetId="41" hidden="1">{#N/A,#N/A,FALSE,"Summary";#N/A,#N/A,FALSE,"SmPlants";#N/A,#N/A,FALSE,"Utah";#N/A,#N/A,FALSE,"Idaho";#N/A,#N/A,FALSE,"Lewis River";#N/A,#N/A,FALSE,"NrthUmpq";#N/A,#N/A,FALSE,"KlamRog"}</definedName>
    <definedName name="__OM1_1" localSheetId="42" hidden="1">{#N/A,#N/A,FALSE,"Summary";#N/A,#N/A,FALSE,"SmPlants";#N/A,#N/A,FALSE,"Utah";#N/A,#N/A,FALSE,"Idaho";#N/A,#N/A,FALSE,"Lewis River";#N/A,#N/A,FALSE,"NrthUmpq";#N/A,#N/A,FALSE,"KlamRog"}</definedName>
    <definedName name="__OM1_1" localSheetId="0" hidden="1">{#N/A,#N/A,FALSE,"Summary";#N/A,#N/A,FALSE,"SmPlants";#N/A,#N/A,FALSE,"Utah";#N/A,#N/A,FALSE,"Idaho";#N/A,#N/A,FALSE,"Lewis River";#N/A,#N/A,FALSE,"NrthUmpq";#N/A,#N/A,FALSE,"KlamRog"}</definedName>
    <definedName name="__OM1_1" hidden="1">{#N/A,#N/A,FALSE,"Summary";#N/A,#N/A,FALSE,"SmPlants";#N/A,#N/A,FALSE,"Utah";#N/A,#N/A,FALSE,"Idaho";#N/A,#N/A,FALSE,"Lewis River";#N/A,#N/A,FALSE,"NrthUmpq";#N/A,#N/A,FALSE,"KlamRog"}</definedName>
    <definedName name="__OM1_2" localSheetId="1" hidden="1">{#N/A,#N/A,FALSE,"Summary";#N/A,#N/A,FALSE,"SmPlants";#N/A,#N/A,FALSE,"Utah";#N/A,#N/A,FALSE,"Idaho";#N/A,#N/A,FALSE,"Lewis River";#N/A,#N/A,FALSE,"NrthUmpq";#N/A,#N/A,FALSE,"KlamRog"}</definedName>
    <definedName name="__OM1_2" localSheetId="3" hidden="1">{#N/A,#N/A,FALSE,"Summary";#N/A,#N/A,FALSE,"SmPlants";#N/A,#N/A,FALSE,"Utah";#N/A,#N/A,FALSE,"Idaho";#N/A,#N/A,FALSE,"Lewis River";#N/A,#N/A,FALSE,"NrthUmpq";#N/A,#N/A,FALSE,"KlamRog"}</definedName>
    <definedName name="__OM1_2" localSheetId="4" hidden="1">{#N/A,#N/A,FALSE,"Summary";#N/A,#N/A,FALSE,"SmPlants";#N/A,#N/A,FALSE,"Utah";#N/A,#N/A,FALSE,"Idaho";#N/A,#N/A,FALSE,"Lewis River";#N/A,#N/A,FALSE,"NrthUmpq";#N/A,#N/A,FALSE,"KlamRog"}</definedName>
    <definedName name="__OM1_2" localSheetId="18" hidden="1">{#N/A,#N/A,FALSE,"Summary";#N/A,#N/A,FALSE,"SmPlants";#N/A,#N/A,FALSE,"Utah";#N/A,#N/A,FALSE,"Idaho";#N/A,#N/A,FALSE,"Lewis River";#N/A,#N/A,FALSE,"NrthUmpq";#N/A,#N/A,FALSE,"KlamRog"}</definedName>
    <definedName name="__OM1_2" localSheetId="19" hidden="1">{#N/A,#N/A,FALSE,"Summary";#N/A,#N/A,FALSE,"SmPlants";#N/A,#N/A,FALSE,"Utah";#N/A,#N/A,FALSE,"Idaho";#N/A,#N/A,FALSE,"Lewis River";#N/A,#N/A,FALSE,"NrthUmpq";#N/A,#N/A,FALSE,"KlamRog"}</definedName>
    <definedName name="__OM1_2" localSheetId="20" hidden="1">{#N/A,#N/A,FALSE,"Summary";#N/A,#N/A,FALSE,"SmPlants";#N/A,#N/A,FALSE,"Utah";#N/A,#N/A,FALSE,"Idaho";#N/A,#N/A,FALSE,"Lewis River";#N/A,#N/A,FALSE,"NrthUmpq";#N/A,#N/A,FALSE,"KlamRog"}</definedName>
    <definedName name="__OM1_2" localSheetId="21" hidden="1">{#N/A,#N/A,FALSE,"Summary";#N/A,#N/A,FALSE,"SmPlants";#N/A,#N/A,FALSE,"Utah";#N/A,#N/A,FALSE,"Idaho";#N/A,#N/A,FALSE,"Lewis River";#N/A,#N/A,FALSE,"NrthUmpq";#N/A,#N/A,FALSE,"KlamRog"}</definedName>
    <definedName name="__OM1_2" localSheetId="24" hidden="1">{#N/A,#N/A,FALSE,"Summary";#N/A,#N/A,FALSE,"SmPlants";#N/A,#N/A,FALSE,"Utah";#N/A,#N/A,FALSE,"Idaho";#N/A,#N/A,FALSE,"Lewis River";#N/A,#N/A,FALSE,"NrthUmpq";#N/A,#N/A,FALSE,"KlamRog"}</definedName>
    <definedName name="__OM1_2" localSheetId="27" hidden="1">{#N/A,#N/A,FALSE,"Summary";#N/A,#N/A,FALSE,"SmPlants";#N/A,#N/A,FALSE,"Utah";#N/A,#N/A,FALSE,"Idaho";#N/A,#N/A,FALSE,"Lewis River";#N/A,#N/A,FALSE,"NrthUmpq";#N/A,#N/A,FALSE,"KlamRog"}</definedName>
    <definedName name="__OM1_2" localSheetId="28" hidden="1">{#N/A,#N/A,FALSE,"Summary";#N/A,#N/A,FALSE,"SmPlants";#N/A,#N/A,FALSE,"Utah";#N/A,#N/A,FALSE,"Idaho";#N/A,#N/A,FALSE,"Lewis River";#N/A,#N/A,FALSE,"NrthUmpq";#N/A,#N/A,FALSE,"KlamRog"}</definedName>
    <definedName name="__OM1_2" localSheetId="29" hidden="1">{#N/A,#N/A,FALSE,"Summary";#N/A,#N/A,FALSE,"SmPlants";#N/A,#N/A,FALSE,"Utah";#N/A,#N/A,FALSE,"Idaho";#N/A,#N/A,FALSE,"Lewis River";#N/A,#N/A,FALSE,"NrthUmpq";#N/A,#N/A,FALSE,"KlamRog"}</definedName>
    <definedName name="__OM1_2" localSheetId="30" hidden="1">{#N/A,#N/A,FALSE,"Summary";#N/A,#N/A,FALSE,"SmPlants";#N/A,#N/A,FALSE,"Utah";#N/A,#N/A,FALSE,"Idaho";#N/A,#N/A,FALSE,"Lewis River";#N/A,#N/A,FALSE,"NrthUmpq";#N/A,#N/A,FALSE,"KlamRog"}</definedName>
    <definedName name="__OM1_2" localSheetId="31" hidden="1">{#N/A,#N/A,FALSE,"Summary";#N/A,#N/A,FALSE,"SmPlants";#N/A,#N/A,FALSE,"Utah";#N/A,#N/A,FALSE,"Idaho";#N/A,#N/A,FALSE,"Lewis River";#N/A,#N/A,FALSE,"NrthUmpq";#N/A,#N/A,FALSE,"KlamRog"}</definedName>
    <definedName name="__OM1_2" localSheetId="37" hidden="1">{#N/A,#N/A,FALSE,"Summary";#N/A,#N/A,FALSE,"SmPlants";#N/A,#N/A,FALSE,"Utah";#N/A,#N/A,FALSE,"Idaho";#N/A,#N/A,FALSE,"Lewis River";#N/A,#N/A,FALSE,"NrthUmpq";#N/A,#N/A,FALSE,"KlamRog"}</definedName>
    <definedName name="__OM1_2" localSheetId="41" hidden="1">{#N/A,#N/A,FALSE,"Summary";#N/A,#N/A,FALSE,"SmPlants";#N/A,#N/A,FALSE,"Utah";#N/A,#N/A,FALSE,"Idaho";#N/A,#N/A,FALSE,"Lewis River";#N/A,#N/A,FALSE,"NrthUmpq";#N/A,#N/A,FALSE,"KlamRog"}</definedName>
    <definedName name="__OM1_2" localSheetId="42" hidden="1">{#N/A,#N/A,FALSE,"Summary";#N/A,#N/A,FALSE,"SmPlants";#N/A,#N/A,FALSE,"Utah";#N/A,#N/A,FALSE,"Idaho";#N/A,#N/A,FALSE,"Lewis River";#N/A,#N/A,FALSE,"NrthUmpq";#N/A,#N/A,FALSE,"KlamRog"}</definedName>
    <definedName name="__OM1_2" localSheetId="0" hidden="1">{#N/A,#N/A,FALSE,"Summary";#N/A,#N/A,FALSE,"SmPlants";#N/A,#N/A,FALSE,"Utah";#N/A,#N/A,FALSE,"Idaho";#N/A,#N/A,FALSE,"Lewis River";#N/A,#N/A,FALSE,"NrthUmpq";#N/A,#N/A,FALSE,"KlamRog"}</definedName>
    <definedName name="__OM1_2" hidden="1">{#N/A,#N/A,FALSE,"Summary";#N/A,#N/A,FALSE,"SmPlants";#N/A,#N/A,FALSE,"Utah";#N/A,#N/A,FALSE,"Idaho";#N/A,#N/A,FALSE,"Lewis River";#N/A,#N/A,FALSE,"NrthUmpq";#N/A,#N/A,FALSE,"KlamRog"}</definedName>
    <definedName name="__OM1_3" localSheetId="1" hidden="1">{#N/A,#N/A,FALSE,"Summary";#N/A,#N/A,FALSE,"SmPlants";#N/A,#N/A,FALSE,"Utah";#N/A,#N/A,FALSE,"Idaho";#N/A,#N/A,FALSE,"Lewis River";#N/A,#N/A,FALSE,"NrthUmpq";#N/A,#N/A,FALSE,"KlamRog"}</definedName>
    <definedName name="__OM1_3" localSheetId="3" hidden="1">{#N/A,#N/A,FALSE,"Summary";#N/A,#N/A,FALSE,"SmPlants";#N/A,#N/A,FALSE,"Utah";#N/A,#N/A,FALSE,"Idaho";#N/A,#N/A,FALSE,"Lewis River";#N/A,#N/A,FALSE,"NrthUmpq";#N/A,#N/A,FALSE,"KlamRog"}</definedName>
    <definedName name="__OM1_3" localSheetId="4" hidden="1">{#N/A,#N/A,FALSE,"Summary";#N/A,#N/A,FALSE,"SmPlants";#N/A,#N/A,FALSE,"Utah";#N/A,#N/A,FALSE,"Idaho";#N/A,#N/A,FALSE,"Lewis River";#N/A,#N/A,FALSE,"NrthUmpq";#N/A,#N/A,FALSE,"KlamRog"}</definedName>
    <definedName name="__OM1_3" localSheetId="18" hidden="1">{#N/A,#N/A,FALSE,"Summary";#N/A,#N/A,FALSE,"SmPlants";#N/A,#N/A,FALSE,"Utah";#N/A,#N/A,FALSE,"Idaho";#N/A,#N/A,FALSE,"Lewis River";#N/A,#N/A,FALSE,"NrthUmpq";#N/A,#N/A,FALSE,"KlamRog"}</definedName>
    <definedName name="__OM1_3" localSheetId="19" hidden="1">{#N/A,#N/A,FALSE,"Summary";#N/A,#N/A,FALSE,"SmPlants";#N/A,#N/A,FALSE,"Utah";#N/A,#N/A,FALSE,"Idaho";#N/A,#N/A,FALSE,"Lewis River";#N/A,#N/A,FALSE,"NrthUmpq";#N/A,#N/A,FALSE,"KlamRog"}</definedName>
    <definedName name="__OM1_3" localSheetId="20" hidden="1">{#N/A,#N/A,FALSE,"Summary";#N/A,#N/A,FALSE,"SmPlants";#N/A,#N/A,FALSE,"Utah";#N/A,#N/A,FALSE,"Idaho";#N/A,#N/A,FALSE,"Lewis River";#N/A,#N/A,FALSE,"NrthUmpq";#N/A,#N/A,FALSE,"KlamRog"}</definedName>
    <definedName name="__OM1_3" localSheetId="21" hidden="1">{#N/A,#N/A,FALSE,"Summary";#N/A,#N/A,FALSE,"SmPlants";#N/A,#N/A,FALSE,"Utah";#N/A,#N/A,FALSE,"Idaho";#N/A,#N/A,FALSE,"Lewis River";#N/A,#N/A,FALSE,"NrthUmpq";#N/A,#N/A,FALSE,"KlamRog"}</definedName>
    <definedName name="__OM1_3" localSheetId="24" hidden="1">{#N/A,#N/A,FALSE,"Summary";#N/A,#N/A,FALSE,"SmPlants";#N/A,#N/A,FALSE,"Utah";#N/A,#N/A,FALSE,"Idaho";#N/A,#N/A,FALSE,"Lewis River";#N/A,#N/A,FALSE,"NrthUmpq";#N/A,#N/A,FALSE,"KlamRog"}</definedName>
    <definedName name="__OM1_3" localSheetId="27" hidden="1">{#N/A,#N/A,FALSE,"Summary";#N/A,#N/A,FALSE,"SmPlants";#N/A,#N/A,FALSE,"Utah";#N/A,#N/A,FALSE,"Idaho";#N/A,#N/A,FALSE,"Lewis River";#N/A,#N/A,FALSE,"NrthUmpq";#N/A,#N/A,FALSE,"KlamRog"}</definedName>
    <definedName name="__OM1_3" localSheetId="28" hidden="1">{#N/A,#N/A,FALSE,"Summary";#N/A,#N/A,FALSE,"SmPlants";#N/A,#N/A,FALSE,"Utah";#N/A,#N/A,FALSE,"Idaho";#N/A,#N/A,FALSE,"Lewis River";#N/A,#N/A,FALSE,"NrthUmpq";#N/A,#N/A,FALSE,"KlamRog"}</definedName>
    <definedName name="__OM1_3" localSheetId="29" hidden="1">{#N/A,#N/A,FALSE,"Summary";#N/A,#N/A,FALSE,"SmPlants";#N/A,#N/A,FALSE,"Utah";#N/A,#N/A,FALSE,"Idaho";#N/A,#N/A,FALSE,"Lewis River";#N/A,#N/A,FALSE,"NrthUmpq";#N/A,#N/A,FALSE,"KlamRog"}</definedName>
    <definedName name="__OM1_3" localSheetId="30" hidden="1">{#N/A,#N/A,FALSE,"Summary";#N/A,#N/A,FALSE,"SmPlants";#N/A,#N/A,FALSE,"Utah";#N/A,#N/A,FALSE,"Idaho";#N/A,#N/A,FALSE,"Lewis River";#N/A,#N/A,FALSE,"NrthUmpq";#N/A,#N/A,FALSE,"KlamRog"}</definedName>
    <definedName name="__OM1_3" localSheetId="31" hidden="1">{#N/A,#N/A,FALSE,"Summary";#N/A,#N/A,FALSE,"SmPlants";#N/A,#N/A,FALSE,"Utah";#N/A,#N/A,FALSE,"Idaho";#N/A,#N/A,FALSE,"Lewis River";#N/A,#N/A,FALSE,"NrthUmpq";#N/A,#N/A,FALSE,"KlamRog"}</definedName>
    <definedName name="__OM1_3" localSheetId="37" hidden="1">{#N/A,#N/A,FALSE,"Summary";#N/A,#N/A,FALSE,"SmPlants";#N/A,#N/A,FALSE,"Utah";#N/A,#N/A,FALSE,"Idaho";#N/A,#N/A,FALSE,"Lewis River";#N/A,#N/A,FALSE,"NrthUmpq";#N/A,#N/A,FALSE,"KlamRog"}</definedName>
    <definedName name="__OM1_3" localSheetId="41" hidden="1">{#N/A,#N/A,FALSE,"Summary";#N/A,#N/A,FALSE,"SmPlants";#N/A,#N/A,FALSE,"Utah";#N/A,#N/A,FALSE,"Idaho";#N/A,#N/A,FALSE,"Lewis River";#N/A,#N/A,FALSE,"NrthUmpq";#N/A,#N/A,FALSE,"KlamRog"}</definedName>
    <definedName name="__OM1_3" localSheetId="42" hidden="1">{#N/A,#N/A,FALSE,"Summary";#N/A,#N/A,FALSE,"SmPlants";#N/A,#N/A,FALSE,"Utah";#N/A,#N/A,FALSE,"Idaho";#N/A,#N/A,FALSE,"Lewis River";#N/A,#N/A,FALSE,"NrthUmpq";#N/A,#N/A,FALSE,"KlamRog"}</definedName>
    <definedName name="__OM1_3" localSheetId="0" hidden="1">{#N/A,#N/A,FALSE,"Summary";#N/A,#N/A,FALSE,"SmPlants";#N/A,#N/A,FALSE,"Utah";#N/A,#N/A,FALSE,"Idaho";#N/A,#N/A,FALSE,"Lewis River";#N/A,#N/A,FALSE,"NrthUmpq";#N/A,#N/A,FALSE,"KlamRog"}</definedName>
    <definedName name="__OM1_3" hidden="1">{#N/A,#N/A,FALSE,"Summary";#N/A,#N/A,FALSE,"SmPlants";#N/A,#N/A,FALSE,"Utah";#N/A,#N/A,FALSE,"Idaho";#N/A,#N/A,FALSE,"Lewis River";#N/A,#N/A,FALSE,"NrthUmpq";#N/A,#N/A,FALSE,"KlamRog"}</definedName>
    <definedName name="__OM1_4" localSheetId="1" hidden="1">{#N/A,#N/A,FALSE,"Summary";#N/A,#N/A,FALSE,"SmPlants";#N/A,#N/A,FALSE,"Utah";#N/A,#N/A,FALSE,"Idaho";#N/A,#N/A,FALSE,"Lewis River";#N/A,#N/A,FALSE,"NrthUmpq";#N/A,#N/A,FALSE,"KlamRog"}</definedName>
    <definedName name="__OM1_4" localSheetId="3" hidden="1">{#N/A,#N/A,FALSE,"Summary";#N/A,#N/A,FALSE,"SmPlants";#N/A,#N/A,FALSE,"Utah";#N/A,#N/A,FALSE,"Idaho";#N/A,#N/A,FALSE,"Lewis River";#N/A,#N/A,FALSE,"NrthUmpq";#N/A,#N/A,FALSE,"KlamRog"}</definedName>
    <definedName name="__OM1_4" localSheetId="4" hidden="1">{#N/A,#N/A,FALSE,"Summary";#N/A,#N/A,FALSE,"SmPlants";#N/A,#N/A,FALSE,"Utah";#N/A,#N/A,FALSE,"Idaho";#N/A,#N/A,FALSE,"Lewis River";#N/A,#N/A,FALSE,"NrthUmpq";#N/A,#N/A,FALSE,"KlamRog"}</definedName>
    <definedName name="__OM1_4" localSheetId="18" hidden="1">{#N/A,#N/A,FALSE,"Summary";#N/A,#N/A,FALSE,"SmPlants";#N/A,#N/A,FALSE,"Utah";#N/A,#N/A,FALSE,"Idaho";#N/A,#N/A,FALSE,"Lewis River";#N/A,#N/A,FALSE,"NrthUmpq";#N/A,#N/A,FALSE,"KlamRog"}</definedName>
    <definedName name="__OM1_4" localSheetId="19" hidden="1">{#N/A,#N/A,FALSE,"Summary";#N/A,#N/A,FALSE,"SmPlants";#N/A,#N/A,FALSE,"Utah";#N/A,#N/A,FALSE,"Idaho";#N/A,#N/A,FALSE,"Lewis River";#N/A,#N/A,FALSE,"NrthUmpq";#N/A,#N/A,FALSE,"KlamRog"}</definedName>
    <definedName name="__OM1_4" localSheetId="20" hidden="1">{#N/A,#N/A,FALSE,"Summary";#N/A,#N/A,FALSE,"SmPlants";#N/A,#N/A,FALSE,"Utah";#N/A,#N/A,FALSE,"Idaho";#N/A,#N/A,FALSE,"Lewis River";#N/A,#N/A,FALSE,"NrthUmpq";#N/A,#N/A,FALSE,"KlamRog"}</definedName>
    <definedName name="__OM1_4" localSheetId="21" hidden="1">{#N/A,#N/A,FALSE,"Summary";#N/A,#N/A,FALSE,"SmPlants";#N/A,#N/A,FALSE,"Utah";#N/A,#N/A,FALSE,"Idaho";#N/A,#N/A,FALSE,"Lewis River";#N/A,#N/A,FALSE,"NrthUmpq";#N/A,#N/A,FALSE,"KlamRog"}</definedName>
    <definedName name="__OM1_4" localSheetId="24" hidden="1">{#N/A,#N/A,FALSE,"Summary";#N/A,#N/A,FALSE,"SmPlants";#N/A,#N/A,FALSE,"Utah";#N/A,#N/A,FALSE,"Idaho";#N/A,#N/A,FALSE,"Lewis River";#N/A,#N/A,FALSE,"NrthUmpq";#N/A,#N/A,FALSE,"KlamRog"}</definedName>
    <definedName name="__OM1_4" localSheetId="27" hidden="1">{#N/A,#N/A,FALSE,"Summary";#N/A,#N/A,FALSE,"SmPlants";#N/A,#N/A,FALSE,"Utah";#N/A,#N/A,FALSE,"Idaho";#N/A,#N/A,FALSE,"Lewis River";#N/A,#N/A,FALSE,"NrthUmpq";#N/A,#N/A,FALSE,"KlamRog"}</definedName>
    <definedName name="__OM1_4" localSheetId="28" hidden="1">{#N/A,#N/A,FALSE,"Summary";#N/A,#N/A,FALSE,"SmPlants";#N/A,#N/A,FALSE,"Utah";#N/A,#N/A,FALSE,"Idaho";#N/A,#N/A,FALSE,"Lewis River";#N/A,#N/A,FALSE,"NrthUmpq";#N/A,#N/A,FALSE,"KlamRog"}</definedName>
    <definedName name="__OM1_4" localSheetId="29" hidden="1">{#N/A,#N/A,FALSE,"Summary";#N/A,#N/A,FALSE,"SmPlants";#N/A,#N/A,FALSE,"Utah";#N/A,#N/A,FALSE,"Idaho";#N/A,#N/A,FALSE,"Lewis River";#N/A,#N/A,FALSE,"NrthUmpq";#N/A,#N/A,FALSE,"KlamRog"}</definedName>
    <definedName name="__OM1_4" localSheetId="30" hidden="1">{#N/A,#N/A,FALSE,"Summary";#N/A,#N/A,FALSE,"SmPlants";#N/A,#N/A,FALSE,"Utah";#N/A,#N/A,FALSE,"Idaho";#N/A,#N/A,FALSE,"Lewis River";#N/A,#N/A,FALSE,"NrthUmpq";#N/A,#N/A,FALSE,"KlamRog"}</definedName>
    <definedName name="__OM1_4" localSheetId="31" hidden="1">{#N/A,#N/A,FALSE,"Summary";#N/A,#N/A,FALSE,"SmPlants";#N/A,#N/A,FALSE,"Utah";#N/A,#N/A,FALSE,"Idaho";#N/A,#N/A,FALSE,"Lewis River";#N/A,#N/A,FALSE,"NrthUmpq";#N/A,#N/A,FALSE,"KlamRog"}</definedName>
    <definedName name="__OM1_4" localSheetId="37" hidden="1">{#N/A,#N/A,FALSE,"Summary";#N/A,#N/A,FALSE,"SmPlants";#N/A,#N/A,FALSE,"Utah";#N/A,#N/A,FALSE,"Idaho";#N/A,#N/A,FALSE,"Lewis River";#N/A,#N/A,FALSE,"NrthUmpq";#N/A,#N/A,FALSE,"KlamRog"}</definedName>
    <definedName name="__OM1_4" localSheetId="41" hidden="1">{#N/A,#N/A,FALSE,"Summary";#N/A,#N/A,FALSE,"SmPlants";#N/A,#N/A,FALSE,"Utah";#N/A,#N/A,FALSE,"Idaho";#N/A,#N/A,FALSE,"Lewis River";#N/A,#N/A,FALSE,"NrthUmpq";#N/A,#N/A,FALSE,"KlamRog"}</definedName>
    <definedName name="__OM1_4" localSheetId="42" hidden="1">{#N/A,#N/A,FALSE,"Summary";#N/A,#N/A,FALSE,"SmPlants";#N/A,#N/A,FALSE,"Utah";#N/A,#N/A,FALSE,"Idaho";#N/A,#N/A,FALSE,"Lewis River";#N/A,#N/A,FALSE,"NrthUmpq";#N/A,#N/A,FALSE,"KlamRog"}</definedName>
    <definedName name="__OM1_4" localSheetId="0" hidden="1">{#N/A,#N/A,FALSE,"Summary";#N/A,#N/A,FALSE,"SmPlants";#N/A,#N/A,FALSE,"Utah";#N/A,#N/A,FALSE,"Idaho";#N/A,#N/A,FALSE,"Lewis River";#N/A,#N/A,FALSE,"NrthUmpq";#N/A,#N/A,FALSE,"KlamRog"}</definedName>
    <definedName name="__OM1_4" hidden="1">{#N/A,#N/A,FALSE,"Summary";#N/A,#N/A,FALSE,"SmPlants";#N/A,#N/A,FALSE,"Utah";#N/A,#N/A,FALSE,"Idaho";#N/A,#N/A,FALSE,"Lewis River";#N/A,#N/A,FALSE,"NrthUmpq";#N/A,#N/A,FALSE,"KlamRog"}</definedName>
    <definedName name="__OM1_5" localSheetId="1" hidden="1">{#N/A,#N/A,FALSE,"Summary";#N/A,#N/A,FALSE,"SmPlants";#N/A,#N/A,FALSE,"Utah";#N/A,#N/A,FALSE,"Idaho";#N/A,#N/A,FALSE,"Lewis River";#N/A,#N/A,FALSE,"NrthUmpq";#N/A,#N/A,FALSE,"KlamRog"}</definedName>
    <definedName name="__OM1_5" localSheetId="3" hidden="1">{#N/A,#N/A,FALSE,"Summary";#N/A,#N/A,FALSE,"SmPlants";#N/A,#N/A,FALSE,"Utah";#N/A,#N/A,FALSE,"Idaho";#N/A,#N/A,FALSE,"Lewis River";#N/A,#N/A,FALSE,"NrthUmpq";#N/A,#N/A,FALSE,"KlamRog"}</definedName>
    <definedName name="__OM1_5" localSheetId="4" hidden="1">{#N/A,#N/A,FALSE,"Summary";#N/A,#N/A,FALSE,"SmPlants";#N/A,#N/A,FALSE,"Utah";#N/A,#N/A,FALSE,"Idaho";#N/A,#N/A,FALSE,"Lewis River";#N/A,#N/A,FALSE,"NrthUmpq";#N/A,#N/A,FALSE,"KlamRog"}</definedName>
    <definedName name="__OM1_5" localSheetId="18" hidden="1">{#N/A,#N/A,FALSE,"Summary";#N/A,#N/A,FALSE,"SmPlants";#N/A,#N/A,FALSE,"Utah";#N/A,#N/A,FALSE,"Idaho";#N/A,#N/A,FALSE,"Lewis River";#N/A,#N/A,FALSE,"NrthUmpq";#N/A,#N/A,FALSE,"KlamRog"}</definedName>
    <definedName name="__OM1_5" localSheetId="19" hidden="1">{#N/A,#N/A,FALSE,"Summary";#N/A,#N/A,FALSE,"SmPlants";#N/A,#N/A,FALSE,"Utah";#N/A,#N/A,FALSE,"Idaho";#N/A,#N/A,FALSE,"Lewis River";#N/A,#N/A,FALSE,"NrthUmpq";#N/A,#N/A,FALSE,"KlamRog"}</definedName>
    <definedName name="__OM1_5" localSheetId="20" hidden="1">{#N/A,#N/A,FALSE,"Summary";#N/A,#N/A,FALSE,"SmPlants";#N/A,#N/A,FALSE,"Utah";#N/A,#N/A,FALSE,"Idaho";#N/A,#N/A,FALSE,"Lewis River";#N/A,#N/A,FALSE,"NrthUmpq";#N/A,#N/A,FALSE,"KlamRog"}</definedName>
    <definedName name="__OM1_5" localSheetId="21" hidden="1">{#N/A,#N/A,FALSE,"Summary";#N/A,#N/A,FALSE,"SmPlants";#N/A,#N/A,FALSE,"Utah";#N/A,#N/A,FALSE,"Idaho";#N/A,#N/A,FALSE,"Lewis River";#N/A,#N/A,FALSE,"NrthUmpq";#N/A,#N/A,FALSE,"KlamRog"}</definedName>
    <definedName name="__OM1_5" localSheetId="24" hidden="1">{#N/A,#N/A,FALSE,"Summary";#N/A,#N/A,FALSE,"SmPlants";#N/A,#N/A,FALSE,"Utah";#N/A,#N/A,FALSE,"Idaho";#N/A,#N/A,FALSE,"Lewis River";#N/A,#N/A,FALSE,"NrthUmpq";#N/A,#N/A,FALSE,"KlamRog"}</definedName>
    <definedName name="__OM1_5" localSheetId="27" hidden="1">{#N/A,#N/A,FALSE,"Summary";#N/A,#N/A,FALSE,"SmPlants";#N/A,#N/A,FALSE,"Utah";#N/A,#N/A,FALSE,"Idaho";#N/A,#N/A,FALSE,"Lewis River";#N/A,#N/A,FALSE,"NrthUmpq";#N/A,#N/A,FALSE,"KlamRog"}</definedName>
    <definedName name="__OM1_5" localSheetId="28" hidden="1">{#N/A,#N/A,FALSE,"Summary";#N/A,#N/A,FALSE,"SmPlants";#N/A,#N/A,FALSE,"Utah";#N/A,#N/A,FALSE,"Idaho";#N/A,#N/A,FALSE,"Lewis River";#N/A,#N/A,FALSE,"NrthUmpq";#N/A,#N/A,FALSE,"KlamRog"}</definedName>
    <definedName name="__OM1_5" localSheetId="29" hidden="1">{#N/A,#N/A,FALSE,"Summary";#N/A,#N/A,FALSE,"SmPlants";#N/A,#N/A,FALSE,"Utah";#N/A,#N/A,FALSE,"Idaho";#N/A,#N/A,FALSE,"Lewis River";#N/A,#N/A,FALSE,"NrthUmpq";#N/A,#N/A,FALSE,"KlamRog"}</definedName>
    <definedName name="__OM1_5" localSheetId="30" hidden="1">{#N/A,#N/A,FALSE,"Summary";#N/A,#N/A,FALSE,"SmPlants";#N/A,#N/A,FALSE,"Utah";#N/A,#N/A,FALSE,"Idaho";#N/A,#N/A,FALSE,"Lewis River";#N/A,#N/A,FALSE,"NrthUmpq";#N/A,#N/A,FALSE,"KlamRog"}</definedName>
    <definedName name="__OM1_5" localSheetId="31" hidden="1">{#N/A,#N/A,FALSE,"Summary";#N/A,#N/A,FALSE,"SmPlants";#N/A,#N/A,FALSE,"Utah";#N/A,#N/A,FALSE,"Idaho";#N/A,#N/A,FALSE,"Lewis River";#N/A,#N/A,FALSE,"NrthUmpq";#N/A,#N/A,FALSE,"KlamRog"}</definedName>
    <definedName name="__OM1_5" localSheetId="37" hidden="1">{#N/A,#N/A,FALSE,"Summary";#N/A,#N/A,FALSE,"SmPlants";#N/A,#N/A,FALSE,"Utah";#N/A,#N/A,FALSE,"Idaho";#N/A,#N/A,FALSE,"Lewis River";#N/A,#N/A,FALSE,"NrthUmpq";#N/A,#N/A,FALSE,"KlamRog"}</definedName>
    <definedName name="__OM1_5" localSheetId="41" hidden="1">{#N/A,#N/A,FALSE,"Summary";#N/A,#N/A,FALSE,"SmPlants";#N/A,#N/A,FALSE,"Utah";#N/A,#N/A,FALSE,"Idaho";#N/A,#N/A,FALSE,"Lewis River";#N/A,#N/A,FALSE,"NrthUmpq";#N/A,#N/A,FALSE,"KlamRog"}</definedName>
    <definedName name="__OM1_5" localSheetId="42" hidden="1">{#N/A,#N/A,FALSE,"Summary";#N/A,#N/A,FALSE,"SmPlants";#N/A,#N/A,FALSE,"Utah";#N/A,#N/A,FALSE,"Idaho";#N/A,#N/A,FALSE,"Lewis River";#N/A,#N/A,FALSE,"NrthUmpq";#N/A,#N/A,FALSE,"KlamRog"}</definedName>
    <definedName name="__OM1_5" localSheetId="0" hidden="1">{#N/A,#N/A,FALSE,"Summary";#N/A,#N/A,FALSE,"SmPlants";#N/A,#N/A,FALSE,"Utah";#N/A,#N/A,FALSE,"Idaho";#N/A,#N/A,FALSE,"Lewis River";#N/A,#N/A,FALSE,"NrthUmpq";#N/A,#N/A,FALSE,"KlamRog"}</definedName>
    <definedName name="__OM1_5" hidden="1">{#N/A,#N/A,FALSE,"Summary";#N/A,#N/A,FALSE,"SmPlants";#N/A,#N/A,FALSE,"Utah";#N/A,#N/A,FALSE,"Idaho";#N/A,#N/A,FALSE,"Lewis River";#N/A,#N/A,FALSE,"NrthUmpq";#N/A,#N/A,FALSE,"KlamRog"}</definedName>
    <definedName name="_xlnm._FilterDatabase" localSheetId="2" hidden="1">'(1.2)_Lvl_Resource_'!$A$8:$M$55</definedName>
    <definedName name="_OM1" localSheetId="1" hidden="1">{#N/A,#N/A,FALSE,"Summary";#N/A,#N/A,FALSE,"SmPlants";#N/A,#N/A,FALSE,"Utah";#N/A,#N/A,FALSE,"Idaho";#N/A,#N/A,FALSE,"Lewis River";#N/A,#N/A,FALSE,"NrthUmpq";#N/A,#N/A,FALSE,"KlamRog"}</definedName>
    <definedName name="_OM1" localSheetId="3" hidden="1">{#N/A,#N/A,FALSE,"Summary";#N/A,#N/A,FALSE,"SmPlants";#N/A,#N/A,FALSE,"Utah";#N/A,#N/A,FALSE,"Idaho";#N/A,#N/A,FALSE,"Lewis River";#N/A,#N/A,FALSE,"NrthUmpq";#N/A,#N/A,FALSE,"KlamRog"}</definedName>
    <definedName name="_OM1" localSheetId="4" hidden="1">{#N/A,#N/A,FALSE,"Summary";#N/A,#N/A,FALSE,"SmPlants";#N/A,#N/A,FALSE,"Utah";#N/A,#N/A,FALSE,"Idaho";#N/A,#N/A,FALSE,"Lewis River";#N/A,#N/A,FALSE,"NrthUmpq";#N/A,#N/A,FALSE,"KlamRog"}</definedName>
    <definedName name="_OM1" localSheetId="18" hidden="1">{#N/A,#N/A,FALSE,"Summary";#N/A,#N/A,FALSE,"SmPlants";#N/A,#N/A,FALSE,"Utah";#N/A,#N/A,FALSE,"Idaho";#N/A,#N/A,FALSE,"Lewis River";#N/A,#N/A,FALSE,"NrthUmpq";#N/A,#N/A,FALSE,"KlamRog"}</definedName>
    <definedName name="_OM1" localSheetId="19" hidden="1">{#N/A,#N/A,FALSE,"Summary";#N/A,#N/A,FALSE,"SmPlants";#N/A,#N/A,FALSE,"Utah";#N/A,#N/A,FALSE,"Idaho";#N/A,#N/A,FALSE,"Lewis River";#N/A,#N/A,FALSE,"NrthUmpq";#N/A,#N/A,FALSE,"KlamRog"}</definedName>
    <definedName name="_OM1" localSheetId="20" hidden="1">{#N/A,#N/A,FALSE,"Summary";#N/A,#N/A,FALSE,"SmPlants";#N/A,#N/A,FALSE,"Utah";#N/A,#N/A,FALSE,"Idaho";#N/A,#N/A,FALSE,"Lewis River";#N/A,#N/A,FALSE,"NrthUmpq";#N/A,#N/A,FALSE,"KlamRog"}</definedName>
    <definedName name="_OM1" localSheetId="21" hidden="1">{#N/A,#N/A,FALSE,"Summary";#N/A,#N/A,FALSE,"SmPlants";#N/A,#N/A,FALSE,"Utah";#N/A,#N/A,FALSE,"Idaho";#N/A,#N/A,FALSE,"Lewis River";#N/A,#N/A,FALSE,"NrthUmpq";#N/A,#N/A,FALSE,"KlamRog"}</definedName>
    <definedName name="_OM1" localSheetId="24" hidden="1">{#N/A,#N/A,FALSE,"Summary";#N/A,#N/A,FALSE,"SmPlants";#N/A,#N/A,FALSE,"Utah";#N/A,#N/A,FALSE,"Idaho";#N/A,#N/A,FALSE,"Lewis River";#N/A,#N/A,FALSE,"NrthUmpq";#N/A,#N/A,FALSE,"KlamRog"}</definedName>
    <definedName name="_OM1" localSheetId="27" hidden="1">{#N/A,#N/A,FALSE,"Summary";#N/A,#N/A,FALSE,"SmPlants";#N/A,#N/A,FALSE,"Utah";#N/A,#N/A,FALSE,"Idaho";#N/A,#N/A,FALSE,"Lewis River";#N/A,#N/A,FALSE,"NrthUmpq";#N/A,#N/A,FALSE,"KlamRog"}</definedName>
    <definedName name="_OM1" localSheetId="28" hidden="1">{#N/A,#N/A,FALSE,"Summary";#N/A,#N/A,FALSE,"SmPlants";#N/A,#N/A,FALSE,"Utah";#N/A,#N/A,FALSE,"Idaho";#N/A,#N/A,FALSE,"Lewis River";#N/A,#N/A,FALSE,"NrthUmpq";#N/A,#N/A,FALSE,"KlamRog"}</definedName>
    <definedName name="_OM1" localSheetId="29" hidden="1">{#N/A,#N/A,FALSE,"Summary";#N/A,#N/A,FALSE,"SmPlants";#N/A,#N/A,FALSE,"Utah";#N/A,#N/A,FALSE,"Idaho";#N/A,#N/A,FALSE,"Lewis River";#N/A,#N/A,FALSE,"NrthUmpq";#N/A,#N/A,FALSE,"KlamRog"}</definedName>
    <definedName name="_OM1" localSheetId="30" hidden="1">{#N/A,#N/A,FALSE,"Summary";#N/A,#N/A,FALSE,"SmPlants";#N/A,#N/A,FALSE,"Utah";#N/A,#N/A,FALSE,"Idaho";#N/A,#N/A,FALSE,"Lewis River";#N/A,#N/A,FALSE,"NrthUmpq";#N/A,#N/A,FALSE,"KlamRog"}</definedName>
    <definedName name="_OM1" localSheetId="31" hidden="1">{#N/A,#N/A,FALSE,"Summary";#N/A,#N/A,FALSE,"SmPlants";#N/A,#N/A,FALSE,"Utah";#N/A,#N/A,FALSE,"Idaho";#N/A,#N/A,FALSE,"Lewis River";#N/A,#N/A,FALSE,"NrthUmpq";#N/A,#N/A,FALSE,"KlamRog"}</definedName>
    <definedName name="_OM1" localSheetId="37" hidden="1">{#N/A,#N/A,FALSE,"Summary";#N/A,#N/A,FALSE,"SmPlants";#N/A,#N/A,FALSE,"Utah";#N/A,#N/A,FALSE,"Idaho";#N/A,#N/A,FALSE,"Lewis River";#N/A,#N/A,FALSE,"NrthUmpq";#N/A,#N/A,FALSE,"KlamRog"}</definedName>
    <definedName name="_OM1" localSheetId="41" hidden="1">{#N/A,#N/A,FALSE,"Summary";#N/A,#N/A,FALSE,"SmPlants";#N/A,#N/A,FALSE,"Utah";#N/A,#N/A,FALSE,"Idaho";#N/A,#N/A,FALSE,"Lewis River";#N/A,#N/A,FALSE,"NrthUmpq";#N/A,#N/A,FALSE,"KlamRog"}</definedName>
    <definedName name="_OM1" localSheetId="42" hidden="1">{#N/A,#N/A,FALSE,"Summary";#N/A,#N/A,FALSE,"SmPlants";#N/A,#N/A,FALSE,"Utah";#N/A,#N/A,FALSE,"Idaho";#N/A,#N/A,FALSE,"Lewis River";#N/A,#N/A,FALSE,"NrthUmpq";#N/A,#N/A,FALSE,"KlamRog"}</definedName>
    <definedName name="_OM1" localSheetId="0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M1_1" localSheetId="1" hidden="1">{#N/A,#N/A,FALSE,"Summary";#N/A,#N/A,FALSE,"SmPlants";#N/A,#N/A,FALSE,"Utah";#N/A,#N/A,FALSE,"Idaho";#N/A,#N/A,FALSE,"Lewis River";#N/A,#N/A,FALSE,"NrthUmpq";#N/A,#N/A,FALSE,"KlamRog"}</definedName>
    <definedName name="_OM1_1" localSheetId="3" hidden="1">{#N/A,#N/A,FALSE,"Summary";#N/A,#N/A,FALSE,"SmPlants";#N/A,#N/A,FALSE,"Utah";#N/A,#N/A,FALSE,"Idaho";#N/A,#N/A,FALSE,"Lewis River";#N/A,#N/A,FALSE,"NrthUmpq";#N/A,#N/A,FALSE,"KlamRog"}</definedName>
    <definedName name="_OM1_1" localSheetId="4" hidden="1">{#N/A,#N/A,FALSE,"Summary";#N/A,#N/A,FALSE,"SmPlants";#N/A,#N/A,FALSE,"Utah";#N/A,#N/A,FALSE,"Idaho";#N/A,#N/A,FALSE,"Lewis River";#N/A,#N/A,FALSE,"NrthUmpq";#N/A,#N/A,FALSE,"KlamRog"}</definedName>
    <definedName name="_OM1_1" localSheetId="18" hidden="1">{#N/A,#N/A,FALSE,"Summary";#N/A,#N/A,FALSE,"SmPlants";#N/A,#N/A,FALSE,"Utah";#N/A,#N/A,FALSE,"Idaho";#N/A,#N/A,FALSE,"Lewis River";#N/A,#N/A,FALSE,"NrthUmpq";#N/A,#N/A,FALSE,"KlamRog"}</definedName>
    <definedName name="_OM1_1" localSheetId="19" hidden="1">{#N/A,#N/A,FALSE,"Summary";#N/A,#N/A,FALSE,"SmPlants";#N/A,#N/A,FALSE,"Utah";#N/A,#N/A,FALSE,"Idaho";#N/A,#N/A,FALSE,"Lewis River";#N/A,#N/A,FALSE,"NrthUmpq";#N/A,#N/A,FALSE,"KlamRog"}</definedName>
    <definedName name="_OM1_1" localSheetId="20" hidden="1">{#N/A,#N/A,FALSE,"Summary";#N/A,#N/A,FALSE,"SmPlants";#N/A,#N/A,FALSE,"Utah";#N/A,#N/A,FALSE,"Idaho";#N/A,#N/A,FALSE,"Lewis River";#N/A,#N/A,FALSE,"NrthUmpq";#N/A,#N/A,FALSE,"KlamRog"}</definedName>
    <definedName name="_OM1_1" localSheetId="21" hidden="1">{#N/A,#N/A,FALSE,"Summary";#N/A,#N/A,FALSE,"SmPlants";#N/A,#N/A,FALSE,"Utah";#N/A,#N/A,FALSE,"Idaho";#N/A,#N/A,FALSE,"Lewis River";#N/A,#N/A,FALSE,"NrthUmpq";#N/A,#N/A,FALSE,"KlamRog"}</definedName>
    <definedName name="_OM1_1" localSheetId="24" hidden="1">{#N/A,#N/A,FALSE,"Summary";#N/A,#N/A,FALSE,"SmPlants";#N/A,#N/A,FALSE,"Utah";#N/A,#N/A,FALSE,"Idaho";#N/A,#N/A,FALSE,"Lewis River";#N/A,#N/A,FALSE,"NrthUmpq";#N/A,#N/A,FALSE,"KlamRog"}</definedName>
    <definedName name="_OM1_1" localSheetId="27" hidden="1">{#N/A,#N/A,FALSE,"Summary";#N/A,#N/A,FALSE,"SmPlants";#N/A,#N/A,FALSE,"Utah";#N/A,#N/A,FALSE,"Idaho";#N/A,#N/A,FALSE,"Lewis River";#N/A,#N/A,FALSE,"NrthUmpq";#N/A,#N/A,FALSE,"KlamRog"}</definedName>
    <definedName name="_OM1_1" localSheetId="28" hidden="1">{#N/A,#N/A,FALSE,"Summary";#N/A,#N/A,FALSE,"SmPlants";#N/A,#N/A,FALSE,"Utah";#N/A,#N/A,FALSE,"Idaho";#N/A,#N/A,FALSE,"Lewis River";#N/A,#N/A,FALSE,"NrthUmpq";#N/A,#N/A,FALSE,"KlamRog"}</definedName>
    <definedName name="_OM1_1" localSheetId="29" hidden="1">{#N/A,#N/A,FALSE,"Summary";#N/A,#N/A,FALSE,"SmPlants";#N/A,#N/A,FALSE,"Utah";#N/A,#N/A,FALSE,"Idaho";#N/A,#N/A,FALSE,"Lewis River";#N/A,#N/A,FALSE,"NrthUmpq";#N/A,#N/A,FALSE,"KlamRog"}</definedName>
    <definedName name="_OM1_1" localSheetId="30" hidden="1">{#N/A,#N/A,FALSE,"Summary";#N/A,#N/A,FALSE,"SmPlants";#N/A,#N/A,FALSE,"Utah";#N/A,#N/A,FALSE,"Idaho";#N/A,#N/A,FALSE,"Lewis River";#N/A,#N/A,FALSE,"NrthUmpq";#N/A,#N/A,FALSE,"KlamRog"}</definedName>
    <definedName name="_OM1_1" localSheetId="31" hidden="1">{#N/A,#N/A,FALSE,"Summary";#N/A,#N/A,FALSE,"SmPlants";#N/A,#N/A,FALSE,"Utah";#N/A,#N/A,FALSE,"Idaho";#N/A,#N/A,FALSE,"Lewis River";#N/A,#N/A,FALSE,"NrthUmpq";#N/A,#N/A,FALSE,"KlamRog"}</definedName>
    <definedName name="_OM1_1" localSheetId="37" hidden="1">{#N/A,#N/A,FALSE,"Summary";#N/A,#N/A,FALSE,"SmPlants";#N/A,#N/A,FALSE,"Utah";#N/A,#N/A,FALSE,"Idaho";#N/A,#N/A,FALSE,"Lewis River";#N/A,#N/A,FALSE,"NrthUmpq";#N/A,#N/A,FALSE,"KlamRog"}</definedName>
    <definedName name="_OM1_1" localSheetId="41" hidden="1">{#N/A,#N/A,FALSE,"Summary";#N/A,#N/A,FALSE,"SmPlants";#N/A,#N/A,FALSE,"Utah";#N/A,#N/A,FALSE,"Idaho";#N/A,#N/A,FALSE,"Lewis River";#N/A,#N/A,FALSE,"NrthUmpq";#N/A,#N/A,FALSE,"KlamRog"}</definedName>
    <definedName name="_OM1_1" localSheetId="42" hidden="1">{#N/A,#N/A,FALSE,"Summary";#N/A,#N/A,FALSE,"SmPlants";#N/A,#N/A,FALSE,"Utah";#N/A,#N/A,FALSE,"Idaho";#N/A,#N/A,FALSE,"Lewis River";#N/A,#N/A,FALSE,"NrthUmpq";#N/A,#N/A,FALSE,"KlamRog"}</definedName>
    <definedName name="_OM1_1" localSheetId="0" hidden="1">{#N/A,#N/A,FALSE,"Summary";#N/A,#N/A,FALSE,"SmPlants";#N/A,#N/A,FALSE,"Utah";#N/A,#N/A,FALSE,"Idaho";#N/A,#N/A,FALSE,"Lewis River";#N/A,#N/A,FALSE,"NrthUmpq";#N/A,#N/A,FALSE,"KlamRog"}</definedName>
    <definedName name="_OM1_1" hidden="1">{#N/A,#N/A,FALSE,"Summary";#N/A,#N/A,FALSE,"SmPlants";#N/A,#N/A,FALSE,"Utah";#N/A,#N/A,FALSE,"Idaho";#N/A,#N/A,FALSE,"Lewis River";#N/A,#N/A,FALSE,"NrthUmpq";#N/A,#N/A,FALSE,"KlamRog"}</definedName>
    <definedName name="_OM1_2" localSheetId="1" hidden="1">{#N/A,#N/A,FALSE,"Summary";#N/A,#N/A,FALSE,"SmPlants";#N/A,#N/A,FALSE,"Utah";#N/A,#N/A,FALSE,"Idaho";#N/A,#N/A,FALSE,"Lewis River";#N/A,#N/A,FALSE,"NrthUmpq";#N/A,#N/A,FALSE,"KlamRog"}</definedName>
    <definedName name="_OM1_2" localSheetId="3" hidden="1">{#N/A,#N/A,FALSE,"Summary";#N/A,#N/A,FALSE,"SmPlants";#N/A,#N/A,FALSE,"Utah";#N/A,#N/A,FALSE,"Idaho";#N/A,#N/A,FALSE,"Lewis River";#N/A,#N/A,FALSE,"NrthUmpq";#N/A,#N/A,FALSE,"KlamRog"}</definedName>
    <definedName name="_OM1_2" localSheetId="4" hidden="1">{#N/A,#N/A,FALSE,"Summary";#N/A,#N/A,FALSE,"SmPlants";#N/A,#N/A,FALSE,"Utah";#N/A,#N/A,FALSE,"Idaho";#N/A,#N/A,FALSE,"Lewis River";#N/A,#N/A,FALSE,"NrthUmpq";#N/A,#N/A,FALSE,"KlamRog"}</definedName>
    <definedName name="_OM1_2" localSheetId="18" hidden="1">{#N/A,#N/A,FALSE,"Summary";#N/A,#N/A,FALSE,"SmPlants";#N/A,#N/A,FALSE,"Utah";#N/A,#N/A,FALSE,"Idaho";#N/A,#N/A,FALSE,"Lewis River";#N/A,#N/A,FALSE,"NrthUmpq";#N/A,#N/A,FALSE,"KlamRog"}</definedName>
    <definedName name="_OM1_2" localSheetId="19" hidden="1">{#N/A,#N/A,FALSE,"Summary";#N/A,#N/A,FALSE,"SmPlants";#N/A,#N/A,FALSE,"Utah";#N/A,#N/A,FALSE,"Idaho";#N/A,#N/A,FALSE,"Lewis River";#N/A,#N/A,FALSE,"NrthUmpq";#N/A,#N/A,FALSE,"KlamRog"}</definedName>
    <definedName name="_OM1_2" localSheetId="20" hidden="1">{#N/A,#N/A,FALSE,"Summary";#N/A,#N/A,FALSE,"SmPlants";#N/A,#N/A,FALSE,"Utah";#N/A,#N/A,FALSE,"Idaho";#N/A,#N/A,FALSE,"Lewis River";#N/A,#N/A,FALSE,"NrthUmpq";#N/A,#N/A,FALSE,"KlamRog"}</definedName>
    <definedName name="_OM1_2" localSheetId="21" hidden="1">{#N/A,#N/A,FALSE,"Summary";#N/A,#N/A,FALSE,"SmPlants";#N/A,#N/A,FALSE,"Utah";#N/A,#N/A,FALSE,"Idaho";#N/A,#N/A,FALSE,"Lewis River";#N/A,#N/A,FALSE,"NrthUmpq";#N/A,#N/A,FALSE,"KlamRog"}</definedName>
    <definedName name="_OM1_2" localSheetId="24" hidden="1">{#N/A,#N/A,FALSE,"Summary";#N/A,#N/A,FALSE,"SmPlants";#N/A,#N/A,FALSE,"Utah";#N/A,#N/A,FALSE,"Idaho";#N/A,#N/A,FALSE,"Lewis River";#N/A,#N/A,FALSE,"NrthUmpq";#N/A,#N/A,FALSE,"KlamRog"}</definedName>
    <definedName name="_OM1_2" localSheetId="27" hidden="1">{#N/A,#N/A,FALSE,"Summary";#N/A,#N/A,FALSE,"SmPlants";#N/A,#N/A,FALSE,"Utah";#N/A,#N/A,FALSE,"Idaho";#N/A,#N/A,FALSE,"Lewis River";#N/A,#N/A,FALSE,"NrthUmpq";#N/A,#N/A,FALSE,"KlamRog"}</definedName>
    <definedName name="_OM1_2" localSheetId="28" hidden="1">{#N/A,#N/A,FALSE,"Summary";#N/A,#N/A,FALSE,"SmPlants";#N/A,#N/A,FALSE,"Utah";#N/A,#N/A,FALSE,"Idaho";#N/A,#N/A,FALSE,"Lewis River";#N/A,#N/A,FALSE,"NrthUmpq";#N/A,#N/A,FALSE,"KlamRog"}</definedName>
    <definedName name="_OM1_2" localSheetId="29" hidden="1">{#N/A,#N/A,FALSE,"Summary";#N/A,#N/A,FALSE,"SmPlants";#N/A,#N/A,FALSE,"Utah";#N/A,#N/A,FALSE,"Idaho";#N/A,#N/A,FALSE,"Lewis River";#N/A,#N/A,FALSE,"NrthUmpq";#N/A,#N/A,FALSE,"KlamRog"}</definedName>
    <definedName name="_OM1_2" localSheetId="30" hidden="1">{#N/A,#N/A,FALSE,"Summary";#N/A,#N/A,FALSE,"SmPlants";#N/A,#N/A,FALSE,"Utah";#N/A,#N/A,FALSE,"Idaho";#N/A,#N/A,FALSE,"Lewis River";#N/A,#N/A,FALSE,"NrthUmpq";#N/A,#N/A,FALSE,"KlamRog"}</definedName>
    <definedName name="_OM1_2" localSheetId="31" hidden="1">{#N/A,#N/A,FALSE,"Summary";#N/A,#N/A,FALSE,"SmPlants";#N/A,#N/A,FALSE,"Utah";#N/A,#N/A,FALSE,"Idaho";#N/A,#N/A,FALSE,"Lewis River";#N/A,#N/A,FALSE,"NrthUmpq";#N/A,#N/A,FALSE,"KlamRog"}</definedName>
    <definedName name="_OM1_2" localSheetId="37" hidden="1">{#N/A,#N/A,FALSE,"Summary";#N/A,#N/A,FALSE,"SmPlants";#N/A,#N/A,FALSE,"Utah";#N/A,#N/A,FALSE,"Idaho";#N/A,#N/A,FALSE,"Lewis River";#N/A,#N/A,FALSE,"NrthUmpq";#N/A,#N/A,FALSE,"KlamRog"}</definedName>
    <definedName name="_OM1_2" localSheetId="41" hidden="1">{#N/A,#N/A,FALSE,"Summary";#N/A,#N/A,FALSE,"SmPlants";#N/A,#N/A,FALSE,"Utah";#N/A,#N/A,FALSE,"Idaho";#N/A,#N/A,FALSE,"Lewis River";#N/A,#N/A,FALSE,"NrthUmpq";#N/A,#N/A,FALSE,"KlamRog"}</definedName>
    <definedName name="_OM1_2" localSheetId="42" hidden="1">{#N/A,#N/A,FALSE,"Summary";#N/A,#N/A,FALSE,"SmPlants";#N/A,#N/A,FALSE,"Utah";#N/A,#N/A,FALSE,"Idaho";#N/A,#N/A,FALSE,"Lewis River";#N/A,#N/A,FALSE,"NrthUmpq";#N/A,#N/A,FALSE,"KlamRog"}</definedName>
    <definedName name="_OM1_2" localSheetId="0" hidden="1">{#N/A,#N/A,FALSE,"Summary";#N/A,#N/A,FALSE,"SmPlants";#N/A,#N/A,FALSE,"Utah";#N/A,#N/A,FALSE,"Idaho";#N/A,#N/A,FALSE,"Lewis River";#N/A,#N/A,FALSE,"NrthUmpq";#N/A,#N/A,FALSE,"KlamRog"}</definedName>
    <definedName name="_OM1_2" hidden="1">{#N/A,#N/A,FALSE,"Summary";#N/A,#N/A,FALSE,"SmPlants";#N/A,#N/A,FALSE,"Utah";#N/A,#N/A,FALSE,"Idaho";#N/A,#N/A,FALSE,"Lewis River";#N/A,#N/A,FALSE,"NrthUmpq";#N/A,#N/A,FALSE,"KlamRog"}</definedName>
    <definedName name="_OM1_3" localSheetId="1" hidden="1">{#N/A,#N/A,FALSE,"Summary";#N/A,#N/A,FALSE,"SmPlants";#N/A,#N/A,FALSE,"Utah";#N/A,#N/A,FALSE,"Idaho";#N/A,#N/A,FALSE,"Lewis River";#N/A,#N/A,FALSE,"NrthUmpq";#N/A,#N/A,FALSE,"KlamRog"}</definedName>
    <definedName name="_OM1_3" localSheetId="3" hidden="1">{#N/A,#N/A,FALSE,"Summary";#N/A,#N/A,FALSE,"SmPlants";#N/A,#N/A,FALSE,"Utah";#N/A,#N/A,FALSE,"Idaho";#N/A,#N/A,FALSE,"Lewis River";#N/A,#N/A,FALSE,"NrthUmpq";#N/A,#N/A,FALSE,"KlamRog"}</definedName>
    <definedName name="_OM1_3" localSheetId="4" hidden="1">{#N/A,#N/A,FALSE,"Summary";#N/A,#N/A,FALSE,"SmPlants";#N/A,#N/A,FALSE,"Utah";#N/A,#N/A,FALSE,"Idaho";#N/A,#N/A,FALSE,"Lewis River";#N/A,#N/A,FALSE,"NrthUmpq";#N/A,#N/A,FALSE,"KlamRog"}</definedName>
    <definedName name="_OM1_3" localSheetId="18" hidden="1">{#N/A,#N/A,FALSE,"Summary";#N/A,#N/A,FALSE,"SmPlants";#N/A,#N/A,FALSE,"Utah";#N/A,#N/A,FALSE,"Idaho";#N/A,#N/A,FALSE,"Lewis River";#N/A,#N/A,FALSE,"NrthUmpq";#N/A,#N/A,FALSE,"KlamRog"}</definedName>
    <definedName name="_OM1_3" localSheetId="19" hidden="1">{#N/A,#N/A,FALSE,"Summary";#N/A,#N/A,FALSE,"SmPlants";#N/A,#N/A,FALSE,"Utah";#N/A,#N/A,FALSE,"Idaho";#N/A,#N/A,FALSE,"Lewis River";#N/A,#N/A,FALSE,"NrthUmpq";#N/A,#N/A,FALSE,"KlamRog"}</definedName>
    <definedName name="_OM1_3" localSheetId="20" hidden="1">{#N/A,#N/A,FALSE,"Summary";#N/A,#N/A,FALSE,"SmPlants";#N/A,#N/A,FALSE,"Utah";#N/A,#N/A,FALSE,"Idaho";#N/A,#N/A,FALSE,"Lewis River";#N/A,#N/A,FALSE,"NrthUmpq";#N/A,#N/A,FALSE,"KlamRog"}</definedName>
    <definedName name="_OM1_3" localSheetId="21" hidden="1">{#N/A,#N/A,FALSE,"Summary";#N/A,#N/A,FALSE,"SmPlants";#N/A,#N/A,FALSE,"Utah";#N/A,#N/A,FALSE,"Idaho";#N/A,#N/A,FALSE,"Lewis River";#N/A,#N/A,FALSE,"NrthUmpq";#N/A,#N/A,FALSE,"KlamRog"}</definedName>
    <definedName name="_OM1_3" localSheetId="24" hidden="1">{#N/A,#N/A,FALSE,"Summary";#N/A,#N/A,FALSE,"SmPlants";#N/A,#N/A,FALSE,"Utah";#N/A,#N/A,FALSE,"Idaho";#N/A,#N/A,FALSE,"Lewis River";#N/A,#N/A,FALSE,"NrthUmpq";#N/A,#N/A,FALSE,"KlamRog"}</definedName>
    <definedName name="_OM1_3" localSheetId="27" hidden="1">{#N/A,#N/A,FALSE,"Summary";#N/A,#N/A,FALSE,"SmPlants";#N/A,#N/A,FALSE,"Utah";#N/A,#N/A,FALSE,"Idaho";#N/A,#N/A,FALSE,"Lewis River";#N/A,#N/A,FALSE,"NrthUmpq";#N/A,#N/A,FALSE,"KlamRog"}</definedName>
    <definedName name="_OM1_3" localSheetId="28" hidden="1">{#N/A,#N/A,FALSE,"Summary";#N/A,#N/A,FALSE,"SmPlants";#N/A,#N/A,FALSE,"Utah";#N/A,#N/A,FALSE,"Idaho";#N/A,#N/A,FALSE,"Lewis River";#N/A,#N/A,FALSE,"NrthUmpq";#N/A,#N/A,FALSE,"KlamRog"}</definedName>
    <definedName name="_OM1_3" localSheetId="29" hidden="1">{#N/A,#N/A,FALSE,"Summary";#N/A,#N/A,FALSE,"SmPlants";#N/A,#N/A,FALSE,"Utah";#N/A,#N/A,FALSE,"Idaho";#N/A,#N/A,FALSE,"Lewis River";#N/A,#N/A,FALSE,"NrthUmpq";#N/A,#N/A,FALSE,"KlamRog"}</definedName>
    <definedName name="_OM1_3" localSheetId="30" hidden="1">{#N/A,#N/A,FALSE,"Summary";#N/A,#N/A,FALSE,"SmPlants";#N/A,#N/A,FALSE,"Utah";#N/A,#N/A,FALSE,"Idaho";#N/A,#N/A,FALSE,"Lewis River";#N/A,#N/A,FALSE,"NrthUmpq";#N/A,#N/A,FALSE,"KlamRog"}</definedName>
    <definedName name="_OM1_3" localSheetId="31" hidden="1">{#N/A,#N/A,FALSE,"Summary";#N/A,#N/A,FALSE,"SmPlants";#N/A,#N/A,FALSE,"Utah";#N/A,#N/A,FALSE,"Idaho";#N/A,#N/A,FALSE,"Lewis River";#N/A,#N/A,FALSE,"NrthUmpq";#N/A,#N/A,FALSE,"KlamRog"}</definedName>
    <definedName name="_OM1_3" localSheetId="37" hidden="1">{#N/A,#N/A,FALSE,"Summary";#N/A,#N/A,FALSE,"SmPlants";#N/A,#N/A,FALSE,"Utah";#N/A,#N/A,FALSE,"Idaho";#N/A,#N/A,FALSE,"Lewis River";#N/A,#N/A,FALSE,"NrthUmpq";#N/A,#N/A,FALSE,"KlamRog"}</definedName>
    <definedName name="_OM1_3" localSheetId="41" hidden="1">{#N/A,#N/A,FALSE,"Summary";#N/A,#N/A,FALSE,"SmPlants";#N/A,#N/A,FALSE,"Utah";#N/A,#N/A,FALSE,"Idaho";#N/A,#N/A,FALSE,"Lewis River";#N/A,#N/A,FALSE,"NrthUmpq";#N/A,#N/A,FALSE,"KlamRog"}</definedName>
    <definedName name="_OM1_3" localSheetId="42" hidden="1">{#N/A,#N/A,FALSE,"Summary";#N/A,#N/A,FALSE,"SmPlants";#N/A,#N/A,FALSE,"Utah";#N/A,#N/A,FALSE,"Idaho";#N/A,#N/A,FALSE,"Lewis River";#N/A,#N/A,FALSE,"NrthUmpq";#N/A,#N/A,FALSE,"KlamRog"}</definedName>
    <definedName name="_OM1_3" localSheetId="0" hidden="1">{#N/A,#N/A,FALSE,"Summary";#N/A,#N/A,FALSE,"SmPlants";#N/A,#N/A,FALSE,"Utah";#N/A,#N/A,FALSE,"Idaho";#N/A,#N/A,FALSE,"Lewis River";#N/A,#N/A,FALSE,"NrthUmpq";#N/A,#N/A,FALSE,"KlamRog"}</definedName>
    <definedName name="_OM1_3" hidden="1">{#N/A,#N/A,FALSE,"Summary";#N/A,#N/A,FALSE,"SmPlants";#N/A,#N/A,FALSE,"Utah";#N/A,#N/A,FALSE,"Idaho";#N/A,#N/A,FALSE,"Lewis River";#N/A,#N/A,FALSE,"NrthUmpq";#N/A,#N/A,FALSE,"KlamRog"}</definedName>
    <definedName name="_OM1_4" localSheetId="1" hidden="1">{#N/A,#N/A,FALSE,"Summary";#N/A,#N/A,FALSE,"SmPlants";#N/A,#N/A,FALSE,"Utah";#N/A,#N/A,FALSE,"Idaho";#N/A,#N/A,FALSE,"Lewis River";#N/A,#N/A,FALSE,"NrthUmpq";#N/A,#N/A,FALSE,"KlamRog"}</definedName>
    <definedName name="_OM1_4" localSheetId="3" hidden="1">{#N/A,#N/A,FALSE,"Summary";#N/A,#N/A,FALSE,"SmPlants";#N/A,#N/A,FALSE,"Utah";#N/A,#N/A,FALSE,"Idaho";#N/A,#N/A,FALSE,"Lewis River";#N/A,#N/A,FALSE,"NrthUmpq";#N/A,#N/A,FALSE,"KlamRog"}</definedName>
    <definedName name="_OM1_4" localSheetId="4" hidden="1">{#N/A,#N/A,FALSE,"Summary";#N/A,#N/A,FALSE,"SmPlants";#N/A,#N/A,FALSE,"Utah";#N/A,#N/A,FALSE,"Idaho";#N/A,#N/A,FALSE,"Lewis River";#N/A,#N/A,FALSE,"NrthUmpq";#N/A,#N/A,FALSE,"KlamRog"}</definedName>
    <definedName name="_OM1_4" localSheetId="18" hidden="1">{#N/A,#N/A,FALSE,"Summary";#N/A,#N/A,FALSE,"SmPlants";#N/A,#N/A,FALSE,"Utah";#N/A,#N/A,FALSE,"Idaho";#N/A,#N/A,FALSE,"Lewis River";#N/A,#N/A,FALSE,"NrthUmpq";#N/A,#N/A,FALSE,"KlamRog"}</definedName>
    <definedName name="_OM1_4" localSheetId="19" hidden="1">{#N/A,#N/A,FALSE,"Summary";#N/A,#N/A,FALSE,"SmPlants";#N/A,#N/A,FALSE,"Utah";#N/A,#N/A,FALSE,"Idaho";#N/A,#N/A,FALSE,"Lewis River";#N/A,#N/A,FALSE,"NrthUmpq";#N/A,#N/A,FALSE,"KlamRog"}</definedName>
    <definedName name="_OM1_4" localSheetId="20" hidden="1">{#N/A,#N/A,FALSE,"Summary";#N/A,#N/A,FALSE,"SmPlants";#N/A,#N/A,FALSE,"Utah";#N/A,#N/A,FALSE,"Idaho";#N/A,#N/A,FALSE,"Lewis River";#N/A,#N/A,FALSE,"NrthUmpq";#N/A,#N/A,FALSE,"KlamRog"}</definedName>
    <definedName name="_OM1_4" localSheetId="21" hidden="1">{#N/A,#N/A,FALSE,"Summary";#N/A,#N/A,FALSE,"SmPlants";#N/A,#N/A,FALSE,"Utah";#N/A,#N/A,FALSE,"Idaho";#N/A,#N/A,FALSE,"Lewis River";#N/A,#N/A,FALSE,"NrthUmpq";#N/A,#N/A,FALSE,"KlamRog"}</definedName>
    <definedName name="_OM1_4" localSheetId="24" hidden="1">{#N/A,#N/A,FALSE,"Summary";#N/A,#N/A,FALSE,"SmPlants";#N/A,#N/A,FALSE,"Utah";#N/A,#N/A,FALSE,"Idaho";#N/A,#N/A,FALSE,"Lewis River";#N/A,#N/A,FALSE,"NrthUmpq";#N/A,#N/A,FALSE,"KlamRog"}</definedName>
    <definedName name="_OM1_4" localSheetId="27" hidden="1">{#N/A,#N/A,FALSE,"Summary";#N/A,#N/A,FALSE,"SmPlants";#N/A,#N/A,FALSE,"Utah";#N/A,#N/A,FALSE,"Idaho";#N/A,#N/A,FALSE,"Lewis River";#N/A,#N/A,FALSE,"NrthUmpq";#N/A,#N/A,FALSE,"KlamRog"}</definedName>
    <definedName name="_OM1_4" localSheetId="28" hidden="1">{#N/A,#N/A,FALSE,"Summary";#N/A,#N/A,FALSE,"SmPlants";#N/A,#N/A,FALSE,"Utah";#N/A,#N/A,FALSE,"Idaho";#N/A,#N/A,FALSE,"Lewis River";#N/A,#N/A,FALSE,"NrthUmpq";#N/A,#N/A,FALSE,"KlamRog"}</definedName>
    <definedName name="_OM1_4" localSheetId="29" hidden="1">{#N/A,#N/A,FALSE,"Summary";#N/A,#N/A,FALSE,"SmPlants";#N/A,#N/A,FALSE,"Utah";#N/A,#N/A,FALSE,"Idaho";#N/A,#N/A,FALSE,"Lewis River";#N/A,#N/A,FALSE,"NrthUmpq";#N/A,#N/A,FALSE,"KlamRog"}</definedName>
    <definedName name="_OM1_4" localSheetId="30" hidden="1">{#N/A,#N/A,FALSE,"Summary";#N/A,#N/A,FALSE,"SmPlants";#N/A,#N/A,FALSE,"Utah";#N/A,#N/A,FALSE,"Idaho";#N/A,#N/A,FALSE,"Lewis River";#N/A,#N/A,FALSE,"NrthUmpq";#N/A,#N/A,FALSE,"KlamRog"}</definedName>
    <definedName name="_OM1_4" localSheetId="31" hidden="1">{#N/A,#N/A,FALSE,"Summary";#N/A,#N/A,FALSE,"SmPlants";#N/A,#N/A,FALSE,"Utah";#N/A,#N/A,FALSE,"Idaho";#N/A,#N/A,FALSE,"Lewis River";#N/A,#N/A,FALSE,"NrthUmpq";#N/A,#N/A,FALSE,"KlamRog"}</definedName>
    <definedName name="_OM1_4" localSheetId="37" hidden="1">{#N/A,#N/A,FALSE,"Summary";#N/A,#N/A,FALSE,"SmPlants";#N/A,#N/A,FALSE,"Utah";#N/A,#N/A,FALSE,"Idaho";#N/A,#N/A,FALSE,"Lewis River";#N/A,#N/A,FALSE,"NrthUmpq";#N/A,#N/A,FALSE,"KlamRog"}</definedName>
    <definedName name="_OM1_4" localSheetId="41" hidden="1">{#N/A,#N/A,FALSE,"Summary";#N/A,#N/A,FALSE,"SmPlants";#N/A,#N/A,FALSE,"Utah";#N/A,#N/A,FALSE,"Idaho";#N/A,#N/A,FALSE,"Lewis River";#N/A,#N/A,FALSE,"NrthUmpq";#N/A,#N/A,FALSE,"KlamRog"}</definedName>
    <definedName name="_OM1_4" localSheetId="42" hidden="1">{#N/A,#N/A,FALSE,"Summary";#N/A,#N/A,FALSE,"SmPlants";#N/A,#N/A,FALSE,"Utah";#N/A,#N/A,FALSE,"Idaho";#N/A,#N/A,FALSE,"Lewis River";#N/A,#N/A,FALSE,"NrthUmpq";#N/A,#N/A,FALSE,"KlamRog"}</definedName>
    <definedName name="_OM1_4" localSheetId="0" hidden="1">{#N/A,#N/A,FALSE,"Summary";#N/A,#N/A,FALSE,"SmPlants";#N/A,#N/A,FALSE,"Utah";#N/A,#N/A,FALSE,"Idaho";#N/A,#N/A,FALSE,"Lewis River";#N/A,#N/A,FALSE,"NrthUmpq";#N/A,#N/A,FALSE,"KlamRog"}</definedName>
    <definedName name="_OM1_4" hidden="1">{#N/A,#N/A,FALSE,"Summary";#N/A,#N/A,FALSE,"SmPlants";#N/A,#N/A,FALSE,"Utah";#N/A,#N/A,FALSE,"Idaho";#N/A,#N/A,FALSE,"Lewis River";#N/A,#N/A,FALSE,"NrthUmpq";#N/A,#N/A,FALSE,"KlamRog"}</definedName>
    <definedName name="_OM1_5" localSheetId="1" hidden="1">{#N/A,#N/A,FALSE,"Summary";#N/A,#N/A,FALSE,"SmPlants";#N/A,#N/A,FALSE,"Utah";#N/A,#N/A,FALSE,"Idaho";#N/A,#N/A,FALSE,"Lewis River";#N/A,#N/A,FALSE,"NrthUmpq";#N/A,#N/A,FALSE,"KlamRog"}</definedName>
    <definedName name="_OM1_5" localSheetId="3" hidden="1">{#N/A,#N/A,FALSE,"Summary";#N/A,#N/A,FALSE,"SmPlants";#N/A,#N/A,FALSE,"Utah";#N/A,#N/A,FALSE,"Idaho";#N/A,#N/A,FALSE,"Lewis River";#N/A,#N/A,FALSE,"NrthUmpq";#N/A,#N/A,FALSE,"KlamRog"}</definedName>
    <definedName name="_OM1_5" localSheetId="4" hidden="1">{#N/A,#N/A,FALSE,"Summary";#N/A,#N/A,FALSE,"SmPlants";#N/A,#N/A,FALSE,"Utah";#N/A,#N/A,FALSE,"Idaho";#N/A,#N/A,FALSE,"Lewis River";#N/A,#N/A,FALSE,"NrthUmpq";#N/A,#N/A,FALSE,"KlamRog"}</definedName>
    <definedName name="_OM1_5" localSheetId="18" hidden="1">{#N/A,#N/A,FALSE,"Summary";#N/A,#N/A,FALSE,"SmPlants";#N/A,#N/A,FALSE,"Utah";#N/A,#N/A,FALSE,"Idaho";#N/A,#N/A,FALSE,"Lewis River";#N/A,#N/A,FALSE,"NrthUmpq";#N/A,#N/A,FALSE,"KlamRog"}</definedName>
    <definedName name="_OM1_5" localSheetId="19" hidden="1">{#N/A,#N/A,FALSE,"Summary";#N/A,#N/A,FALSE,"SmPlants";#N/A,#N/A,FALSE,"Utah";#N/A,#N/A,FALSE,"Idaho";#N/A,#N/A,FALSE,"Lewis River";#N/A,#N/A,FALSE,"NrthUmpq";#N/A,#N/A,FALSE,"KlamRog"}</definedName>
    <definedName name="_OM1_5" localSheetId="20" hidden="1">{#N/A,#N/A,FALSE,"Summary";#N/A,#N/A,FALSE,"SmPlants";#N/A,#N/A,FALSE,"Utah";#N/A,#N/A,FALSE,"Idaho";#N/A,#N/A,FALSE,"Lewis River";#N/A,#N/A,FALSE,"NrthUmpq";#N/A,#N/A,FALSE,"KlamRog"}</definedName>
    <definedName name="_OM1_5" localSheetId="21" hidden="1">{#N/A,#N/A,FALSE,"Summary";#N/A,#N/A,FALSE,"SmPlants";#N/A,#N/A,FALSE,"Utah";#N/A,#N/A,FALSE,"Idaho";#N/A,#N/A,FALSE,"Lewis River";#N/A,#N/A,FALSE,"NrthUmpq";#N/A,#N/A,FALSE,"KlamRog"}</definedName>
    <definedName name="_OM1_5" localSheetId="24" hidden="1">{#N/A,#N/A,FALSE,"Summary";#N/A,#N/A,FALSE,"SmPlants";#N/A,#N/A,FALSE,"Utah";#N/A,#N/A,FALSE,"Idaho";#N/A,#N/A,FALSE,"Lewis River";#N/A,#N/A,FALSE,"NrthUmpq";#N/A,#N/A,FALSE,"KlamRog"}</definedName>
    <definedName name="_OM1_5" localSheetId="27" hidden="1">{#N/A,#N/A,FALSE,"Summary";#N/A,#N/A,FALSE,"SmPlants";#N/A,#N/A,FALSE,"Utah";#N/A,#N/A,FALSE,"Idaho";#N/A,#N/A,FALSE,"Lewis River";#N/A,#N/A,FALSE,"NrthUmpq";#N/A,#N/A,FALSE,"KlamRog"}</definedName>
    <definedName name="_OM1_5" localSheetId="28" hidden="1">{#N/A,#N/A,FALSE,"Summary";#N/A,#N/A,FALSE,"SmPlants";#N/A,#N/A,FALSE,"Utah";#N/A,#N/A,FALSE,"Idaho";#N/A,#N/A,FALSE,"Lewis River";#N/A,#N/A,FALSE,"NrthUmpq";#N/A,#N/A,FALSE,"KlamRog"}</definedName>
    <definedName name="_OM1_5" localSheetId="29" hidden="1">{#N/A,#N/A,FALSE,"Summary";#N/A,#N/A,FALSE,"SmPlants";#N/A,#N/A,FALSE,"Utah";#N/A,#N/A,FALSE,"Idaho";#N/A,#N/A,FALSE,"Lewis River";#N/A,#N/A,FALSE,"NrthUmpq";#N/A,#N/A,FALSE,"KlamRog"}</definedName>
    <definedName name="_OM1_5" localSheetId="30" hidden="1">{#N/A,#N/A,FALSE,"Summary";#N/A,#N/A,FALSE,"SmPlants";#N/A,#N/A,FALSE,"Utah";#N/A,#N/A,FALSE,"Idaho";#N/A,#N/A,FALSE,"Lewis River";#N/A,#N/A,FALSE,"NrthUmpq";#N/A,#N/A,FALSE,"KlamRog"}</definedName>
    <definedName name="_OM1_5" localSheetId="31" hidden="1">{#N/A,#N/A,FALSE,"Summary";#N/A,#N/A,FALSE,"SmPlants";#N/A,#N/A,FALSE,"Utah";#N/A,#N/A,FALSE,"Idaho";#N/A,#N/A,FALSE,"Lewis River";#N/A,#N/A,FALSE,"NrthUmpq";#N/A,#N/A,FALSE,"KlamRog"}</definedName>
    <definedName name="_OM1_5" localSheetId="37" hidden="1">{#N/A,#N/A,FALSE,"Summary";#N/A,#N/A,FALSE,"SmPlants";#N/A,#N/A,FALSE,"Utah";#N/A,#N/A,FALSE,"Idaho";#N/A,#N/A,FALSE,"Lewis River";#N/A,#N/A,FALSE,"NrthUmpq";#N/A,#N/A,FALSE,"KlamRog"}</definedName>
    <definedName name="_OM1_5" localSheetId="41" hidden="1">{#N/A,#N/A,FALSE,"Summary";#N/A,#N/A,FALSE,"SmPlants";#N/A,#N/A,FALSE,"Utah";#N/A,#N/A,FALSE,"Idaho";#N/A,#N/A,FALSE,"Lewis River";#N/A,#N/A,FALSE,"NrthUmpq";#N/A,#N/A,FALSE,"KlamRog"}</definedName>
    <definedName name="_OM1_5" localSheetId="42" hidden="1">{#N/A,#N/A,FALSE,"Summary";#N/A,#N/A,FALSE,"SmPlants";#N/A,#N/A,FALSE,"Utah";#N/A,#N/A,FALSE,"Idaho";#N/A,#N/A,FALSE,"Lewis River";#N/A,#N/A,FALSE,"NrthUmpq";#N/A,#N/A,FALSE,"KlamRog"}</definedName>
    <definedName name="_OM1_5" localSheetId="0" hidden="1">{#N/A,#N/A,FALSE,"Summary";#N/A,#N/A,FALSE,"SmPlants";#N/A,#N/A,FALSE,"Utah";#N/A,#N/A,FALSE,"Idaho";#N/A,#N/A,FALSE,"Lewis River";#N/A,#N/A,FALSE,"NrthUmpq";#N/A,#N/A,FALSE,"KlamRog"}</definedName>
    <definedName name="_OM1_5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Access_Button1" hidden="1">"Headcount_Workbook_Schedules_List"</definedName>
    <definedName name="AccessDatabase" hidden="1">"P:\HR\SharonPlummer\Headcount Workbook.mdb"</definedName>
    <definedName name="Camas" localSheetId="1" hidden="1">{#N/A,#N/A,FALSE,"Summary";#N/A,#N/A,FALSE,"SmPlants";#N/A,#N/A,FALSE,"Utah";#N/A,#N/A,FALSE,"Idaho";#N/A,#N/A,FALSE,"Lewis River";#N/A,#N/A,FALSE,"NrthUmpq";#N/A,#N/A,FALSE,"KlamRog"}</definedName>
    <definedName name="Camas" localSheetId="3" hidden="1">{#N/A,#N/A,FALSE,"Summary";#N/A,#N/A,FALSE,"SmPlants";#N/A,#N/A,FALSE,"Utah";#N/A,#N/A,FALSE,"Idaho";#N/A,#N/A,FALSE,"Lewis River";#N/A,#N/A,FALSE,"NrthUmpq";#N/A,#N/A,FALSE,"KlamRog"}</definedName>
    <definedName name="Camas" localSheetId="4" hidden="1">{#N/A,#N/A,FALSE,"Summary";#N/A,#N/A,FALSE,"SmPlants";#N/A,#N/A,FALSE,"Utah";#N/A,#N/A,FALSE,"Idaho";#N/A,#N/A,FALSE,"Lewis River";#N/A,#N/A,FALSE,"NrthUmpq";#N/A,#N/A,FALSE,"KlamRog"}</definedName>
    <definedName name="Camas" localSheetId="18" hidden="1">{#N/A,#N/A,FALSE,"Summary";#N/A,#N/A,FALSE,"SmPlants";#N/A,#N/A,FALSE,"Utah";#N/A,#N/A,FALSE,"Idaho";#N/A,#N/A,FALSE,"Lewis River";#N/A,#N/A,FALSE,"NrthUmpq";#N/A,#N/A,FALSE,"KlamRog"}</definedName>
    <definedName name="Camas" localSheetId="19" hidden="1">{#N/A,#N/A,FALSE,"Summary";#N/A,#N/A,FALSE,"SmPlants";#N/A,#N/A,FALSE,"Utah";#N/A,#N/A,FALSE,"Idaho";#N/A,#N/A,FALSE,"Lewis River";#N/A,#N/A,FALSE,"NrthUmpq";#N/A,#N/A,FALSE,"KlamRog"}</definedName>
    <definedName name="Camas" localSheetId="20" hidden="1">{#N/A,#N/A,FALSE,"Summary";#N/A,#N/A,FALSE,"SmPlants";#N/A,#N/A,FALSE,"Utah";#N/A,#N/A,FALSE,"Idaho";#N/A,#N/A,FALSE,"Lewis River";#N/A,#N/A,FALSE,"NrthUmpq";#N/A,#N/A,FALSE,"KlamRog"}</definedName>
    <definedName name="Camas" localSheetId="21" hidden="1">{#N/A,#N/A,FALSE,"Summary";#N/A,#N/A,FALSE,"SmPlants";#N/A,#N/A,FALSE,"Utah";#N/A,#N/A,FALSE,"Idaho";#N/A,#N/A,FALSE,"Lewis River";#N/A,#N/A,FALSE,"NrthUmpq";#N/A,#N/A,FALSE,"KlamRog"}</definedName>
    <definedName name="Camas" localSheetId="24" hidden="1">{#N/A,#N/A,FALSE,"Summary";#N/A,#N/A,FALSE,"SmPlants";#N/A,#N/A,FALSE,"Utah";#N/A,#N/A,FALSE,"Idaho";#N/A,#N/A,FALSE,"Lewis River";#N/A,#N/A,FALSE,"NrthUmpq";#N/A,#N/A,FALSE,"KlamRog"}</definedName>
    <definedName name="Camas" localSheetId="27" hidden="1">{#N/A,#N/A,FALSE,"Summary";#N/A,#N/A,FALSE,"SmPlants";#N/A,#N/A,FALSE,"Utah";#N/A,#N/A,FALSE,"Idaho";#N/A,#N/A,FALSE,"Lewis River";#N/A,#N/A,FALSE,"NrthUmpq";#N/A,#N/A,FALSE,"KlamRog"}</definedName>
    <definedName name="Camas" localSheetId="28" hidden="1">{#N/A,#N/A,FALSE,"Summary";#N/A,#N/A,FALSE,"SmPlants";#N/A,#N/A,FALSE,"Utah";#N/A,#N/A,FALSE,"Idaho";#N/A,#N/A,FALSE,"Lewis River";#N/A,#N/A,FALSE,"NrthUmpq";#N/A,#N/A,FALSE,"KlamRog"}</definedName>
    <definedName name="Camas" localSheetId="29" hidden="1">{#N/A,#N/A,FALSE,"Summary";#N/A,#N/A,FALSE,"SmPlants";#N/A,#N/A,FALSE,"Utah";#N/A,#N/A,FALSE,"Idaho";#N/A,#N/A,FALSE,"Lewis River";#N/A,#N/A,FALSE,"NrthUmpq";#N/A,#N/A,FALSE,"KlamRog"}</definedName>
    <definedName name="Camas" localSheetId="30" hidden="1">{#N/A,#N/A,FALSE,"Summary";#N/A,#N/A,FALSE,"SmPlants";#N/A,#N/A,FALSE,"Utah";#N/A,#N/A,FALSE,"Idaho";#N/A,#N/A,FALSE,"Lewis River";#N/A,#N/A,FALSE,"NrthUmpq";#N/A,#N/A,FALSE,"KlamRog"}</definedName>
    <definedName name="Camas" localSheetId="31" hidden="1">{#N/A,#N/A,FALSE,"Summary";#N/A,#N/A,FALSE,"SmPlants";#N/A,#N/A,FALSE,"Utah";#N/A,#N/A,FALSE,"Idaho";#N/A,#N/A,FALSE,"Lewis River";#N/A,#N/A,FALSE,"NrthUmpq";#N/A,#N/A,FALSE,"KlamRog"}</definedName>
    <definedName name="Camas" localSheetId="37" hidden="1">{#N/A,#N/A,FALSE,"Summary";#N/A,#N/A,FALSE,"SmPlants";#N/A,#N/A,FALSE,"Utah";#N/A,#N/A,FALSE,"Idaho";#N/A,#N/A,FALSE,"Lewis River";#N/A,#N/A,FALSE,"NrthUmpq";#N/A,#N/A,FALSE,"KlamRog"}</definedName>
    <definedName name="Camas" localSheetId="41" hidden="1">{#N/A,#N/A,FALSE,"Summary";#N/A,#N/A,FALSE,"SmPlants";#N/A,#N/A,FALSE,"Utah";#N/A,#N/A,FALSE,"Idaho";#N/A,#N/A,FALSE,"Lewis River";#N/A,#N/A,FALSE,"NrthUmpq";#N/A,#N/A,FALSE,"KlamRog"}</definedName>
    <definedName name="Camas" localSheetId="42" hidden="1">{#N/A,#N/A,FALSE,"Summary";#N/A,#N/A,FALSE,"SmPlants";#N/A,#N/A,FALSE,"Utah";#N/A,#N/A,FALSE,"Idaho";#N/A,#N/A,FALSE,"Lewis River";#N/A,#N/A,FALSE,"NrthUmpq";#N/A,#N/A,FALSE,"KlamRog"}</definedName>
    <definedName name="Camas" localSheetId="0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mas_1" localSheetId="1" hidden="1">{#N/A,#N/A,FALSE,"Summary";#N/A,#N/A,FALSE,"SmPlants";#N/A,#N/A,FALSE,"Utah";#N/A,#N/A,FALSE,"Idaho";#N/A,#N/A,FALSE,"Lewis River";#N/A,#N/A,FALSE,"NrthUmpq";#N/A,#N/A,FALSE,"KlamRog"}</definedName>
    <definedName name="Camas_1" localSheetId="3" hidden="1">{#N/A,#N/A,FALSE,"Summary";#N/A,#N/A,FALSE,"SmPlants";#N/A,#N/A,FALSE,"Utah";#N/A,#N/A,FALSE,"Idaho";#N/A,#N/A,FALSE,"Lewis River";#N/A,#N/A,FALSE,"NrthUmpq";#N/A,#N/A,FALSE,"KlamRog"}</definedName>
    <definedName name="Camas_1" localSheetId="4" hidden="1">{#N/A,#N/A,FALSE,"Summary";#N/A,#N/A,FALSE,"SmPlants";#N/A,#N/A,FALSE,"Utah";#N/A,#N/A,FALSE,"Idaho";#N/A,#N/A,FALSE,"Lewis River";#N/A,#N/A,FALSE,"NrthUmpq";#N/A,#N/A,FALSE,"KlamRog"}</definedName>
    <definedName name="Camas_1" localSheetId="18" hidden="1">{#N/A,#N/A,FALSE,"Summary";#N/A,#N/A,FALSE,"SmPlants";#N/A,#N/A,FALSE,"Utah";#N/A,#N/A,FALSE,"Idaho";#N/A,#N/A,FALSE,"Lewis River";#N/A,#N/A,FALSE,"NrthUmpq";#N/A,#N/A,FALSE,"KlamRog"}</definedName>
    <definedName name="Camas_1" localSheetId="19" hidden="1">{#N/A,#N/A,FALSE,"Summary";#N/A,#N/A,FALSE,"SmPlants";#N/A,#N/A,FALSE,"Utah";#N/A,#N/A,FALSE,"Idaho";#N/A,#N/A,FALSE,"Lewis River";#N/A,#N/A,FALSE,"NrthUmpq";#N/A,#N/A,FALSE,"KlamRog"}</definedName>
    <definedName name="Camas_1" localSheetId="20" hidden="1">{#N/A,#N/A,FALSE,"Summary";#N/A,#N/A,FALSE,"SmPlants";#N/A,#N/A,FALSE,"Utah";#N/A,#N/A,FALSE,"Idaho";#N/A,#N/A,FALSE,"Lewis River";#N/A,#N/A,FALSE,"NrthUmpq";#N/A,#N/A,FALSE,"KlamRog"}</definedName>
    <definedName name="Camas_1" localSheetId="21" hidden="1">{#N/A,#N/A,FALSE,"Summary";#N/A,#N/A,FALSE,"SmPlants";#N/A,#N/A,FALSE,"Utah";#N/A,#N/A,FALSE,"Idaho";#N/A,#N/A,FALSE,"Lewis River";#N/A,#N/A,FALSE,"NrthUmpq";#N/A,#N/A,FALSE,"KlamRog"}</definedName>
    <definedName name="Camas_1" localSheetId="24" hidden="1">{#N/A,#N/A,FALSE,"Summary";#N/A,#N/A,FALSE,"SmPlants";#N/A,#N/A,FALSE,"Utah";#N/A,#N/A,FALSE,"Idaho";#N/A,#N/A,FALSE,"Lewis River";#N/A,#N/A,FALSE,"NrthUmpq";#N/A,#N/A,FALSE,"KlamRog"}</definedName>
    <definedName name="Camas_1" localSheetId="27" hidden="1">{#N/A,#N/A,FALSE,"Summary";#N/A,#N/A,FALSE,"SmPlants";#N/A,#N/A,FALSE,"Utah";#N/A,#N/A,FALSE,"Idaho";#N/A,#N/A,FALSE,"Lewis River";#N/A,#N/A,FALSE,"NrthUmpq";#N/A,#N/A,FALSE,"KlamRog"}</definedName>
    <definedName name="Camas_1" localSheetId="28" hidden="1">{#N/A,#N/A,FALSE,"Summary";#N/A,#N/A,FALSE,"SmPlants";#N/A,#N/A,FALSE,"Utah";#N/A,#N/A,FALSE,"Idaho";#N/A,#N/A,FALSE,"Lewis River";#N/A,#N/A,FALSE,"NrthUmpq";#N/A,#N/A,FALSE,"KlamRog"}</definedName>
    <definedName name="Camas_1" localSheetId="29" hidden="1">{#N/A,#N/A,FALSE,"Summary";#N/A,#N/A,FALSE,"SmPlants";#N/A,#N/A,FALSE,"Utah";#N/A,#N/A,FALSE,"Idaho";#N/A,#N/A,FALSE,"Lewis River";#N/A,#N/A,FALSE,"NrthUmpq";#N/A,#N/A,FALSE,"KlamRog"}</definedName>
    <definedName name="Camas_1" localSheetId="30" hidden="1">{#N/A,#N/A,FALSE,"Summary";#N/A,#N/A,FALSE,"SmPlants";#N/A,#N/A,FALSE,"Utah";#N/A,#N/A,FALSE,"Idaho";#N/A,#N/A,FALSE,"Lewis River";#N/A,#N/A,FALSE,"NrthUmpq";#N/A,#N/A,FALSE,"KlamRog"}</definedName>
    <definedName name="Camas_1" localSheetId="31" hidden="1">{#N/A,#N/A,FALSE,"Summary";#N/A,#N/A,FALSE,"SmPlants";#N/A,#N/A,FALSE,"Utah";#N/A,#N/A,FALSE,"Idaho";#N/A,#N/A,FALSE,"Lewis River";#N/A,#N/A,FALSE,"NrthUmpq";#N/A,#N/A,FALSE,"KlamRog"}</definedName>
    <definedName name="Camas_1" localSheetId="37" hidden="1">{#N/A,#N/A,FALSE,"Summary";#N/A,#N/A,FALSE,"SmPlants";#N/A,#N/A,FALSE,"Utah";#N/A,#N/A,FALSE,"Idaho";#N/A,#N/A,FALSE,"Lewis River";#N/A,#N/A,FALSE,"NrthUmpq";#N/A,#N/A,FALSE,"KlamRog"}</definedName>
    <definedName name="Camas_1" localSheetId="41" hidden="1">{#N/A,#N/A,FALSE,"Summary";#N/A,#N/A,FALSE,"SmPlants";#N/A,#N/A,FALSE,"Utah";#N/A,#N/A,FALSE,"Idaho";#N/A,#N/A,FALSE,"Lewis River";#N/A,#N/A,FALSE,"NrthUmpq";#N/A,#N/A,FALSE,"KlamRog"}</definedName>
    <definedName name="Camas_1" localSheetId="42" hidden="1">{#N/A,#N/A,FALSE,"Summary";#N/A,#N/A,FALSE,"SmPlants";#N/A,#N/A,FALSE,"Utah";#N/A,#N/A,FALSE,"Idaho";#N/A,#N/A,FALSE,"Lewis River";#N/A,#N/A,FALSE,"NrthUmpq";#N/A,#N/A,FALSE,"KlamRog"}</definedName>
    <definedName name="Camas_1" localSheetId="0" hidden="1">{#N/A,#N/A,FALSE,"Summary";#N/A,#N/A,FALSE,"SmPlants";#N/A,#N/A,FALSE,"Utah";#N/A,#N/A,FALSE,"Idaho";#N/A,#N/A,FALSE,"Lewis River";#N/A,#N/A,FALSE,"NrthUmpq";#N/A,#N/A,FALSE,"KlamRog"}</definedName>
    <definedName name="Camas_1" hidden="1">{#N/A,#N/A,FALSE,"Summary";#N/A,#N/A,FALSE,"SmPlants";#N/A,#N/A,FALSE,"Utah";#N/A,#N/A,FALSE,"Idaho";#N/A,#N/A,FALSE,"Lewis River";#N/A,#N/A,FALSE,"NrthUmpq";#N/A,#N/A,FALSE,"KlamRog"}</definedName>
    <definedName name="Camas_2" localSheetId="1" hidden="1">{#N/A,#N/A,FALSE,"Summary";#N/A,#N/A,FALSE,"SmPlants";#N/A,#N/A,FALSE,"Utah";#N/A,#N/A,FALSE,"Idaho";#N/A,#N/A,FALSE,"Lewis River";#N/A,#N/A,FALSE,"NrthUmpq";#N/A,#N/A,FALSE,"KlamRog"}</definedName>
    <definedName name="Camas_2" localSheetId="3" hidden="1">{#N/A,#N/A,FALSE,"Summary";#N/A,#N/A,FALSE,"SmPlants";#N/A,#N/A,FALSE,"Utah";#N/A,#N/A,FALSE,"Idaho";#N/A,#N/A,FALSE,"Lewis River";#N/A,#N/A,FALSE,"NrthUmpq";#N/A,#N/A,FALSE,"KlamRog"}</definedName>
    <definedName name="Camas_2" localSheetId="4" hidden="1">{#N/A,#N/A,FALSE,"Summary";#N/A,#N/A,FALSE,"SmPlants";#N/A,#N/A,FALSE,"Utah";#N/A,#N/A,FALSE,"Idaho";#N/A,#N/A,FALSE,"Lewis River";#N/A,#N/A,FALSE,"NrthUmpq";#N/A,#N/A,FALSE,"KlamRog"}</definedName>
    <definedName name="Camas_2" localSheetId="18" hidden="1">{#N/A,#N/A,FALSE,"Summary";#N/A,#N/A,FALSE,"SmPlants";#N/A,#N/A,FALSE,"Utah";#N/A,#N/A,FALSE,"Idaho";#N/A,#N/A,FALSE,"Lewis River";#N/A,#N/A,FALSE,"NrthUmpq";#N/A,#N/A,FALSE,"KlamRog"}</definedName>
    <definedName name="Camas_2" localSheetId="19" hidden="1">{#N/A,#N/A,FALSE,"Summary";#N/A,#N/A,FALSE,"SmPlants";#N/A,#N/A,FALSE,"Utah";#N/A,#N/A,FALSE,"Idaho";#N/A,#N/A,FALSE,"Lewis River";#N/A,#N/A,FALSE,"NrthUmpq";#N/A,#N/A,FALSE,"KlamRog"}</definedName>
    <definedName name="Camas_2" localSheetId="20" hidden="1">{#N/A,#N/A,FALSE,"Summary";#N/A,#N/A,FALSE,"SmPlants";#N/A,#N/A,FALSE,"Utah";#N/A,#N/A,FALSE,"Idaho";#N/A,#N/A,FALSE,"Lewis River";#N/A,#N/A,FALSE,"NrthUmpq";#N/A,#N/A,FALSE,"KlamRog"}</definedName>
    <definedName name="Camas_2" localSheetId="21" hidden="1">{#N/A,#N/A,FALSE,"Summary";#N/A,#N/A,FALSE,"SmPlants";#N/A,#N/A,FALSE,"Utah";#N/A,#N/A,FALSE,"Idaho";#N/A,#N/A,FALSE,"Lewis River";#N/A,#N/A,FALSE,"NrthUmpq";#N/A,#N/A,FALSE,"KlamRog"}</definedName>
    <definedName name="Camas_2" localSheetId="24" hidden="1">{#N/A,#N/A,FALSE,"Summary";#N/A,#N/A,FALSE,"SmPlants";#N/A,#N/A,FALSE,"Utah";#N/A,#N/A,FALSE,"Idaho";#N/A,#N/A,FALSE,"Lewis River";#N/A,#N/A,FALSE,"NrthUmpq";#N/A,#N/A,FALSE,"KlamRog"}</definedName>
    <definedName name="Camas_2" localSheetId="27" hidden="1">{#N/A,#N/A,FALSE,"Summary";#N/A,#N/A,FALSE,"SmPlants";#N/A,#N/A,FALSE,"Utah";#N/A,#N/A,FALSE,"Idaho";#N/A,#N/A,FALSE,"Lewis River";#N/A,#N/A,FALSE,"NrthUmpq";#N/A,#N/A,FALSE,"KlamRog"}</definedName>
    <definedName name="Camas_2" localSheetId="28" hidden="1">{#N/A,#N/A,FALSE,"Summary";#N/A,#N/A,FALSE,"SmPlants";#N/A,#N/A,FALSE,"Utah";#N/A,#N/A,FALSE,"Idaho";#N/A,#N/A,FALSE,"Lewis River";#N/A,#N/A,FALSE,"NrthUmpq";#N/A,#N/A,FALSE,"KlamRog"}</definedName>
    <definedName name="Camas_2" localSheetId="29" hidden="1">{#N/A,#N/A,FALSE,"Summary";#N/A,#N/A,FALSE,"SmPlants";#N/A,#N/A,FALSE,"Utah";#N/A,#N/A,FALSE,"Idaho";#N/A,#N/A,FALSE,"Lewis River";#N/A,#N/A,FALSE,"NrthUmpq";#N/A,#N/A,FALSE,"KlamRog"}</definedName>
    <definedName name="Camas_2" localSheetId="30" hidden="1">{#N/A,#N/A,FALSE,"Summary";#N/A,#N/A,FALSE,"SmPlants";#N/A,#N/A,FALSE,"Utah";#N/A,#N/A,FALSE,"Idaho";#N/A,#N/A,FALSE,"Lewis River";#N/A,#N/A,FALSE,"NrthUmpq";#N/A,#N/A,FALSE,"KlamRog"}</definedName>
    <definedName name="Camas_2" localSheetId="31" hidden="1">{#N/A,#N/A,FALSE,"Summary";#N/A,#N/A,FALSE,"SmPlants";#N/A,#N/A,FALSE,"Utah";#N/A,#N/A,FALSE,"Idaho";#N/A,#N/A,FALSE,"Lewis River";#N/A,#N/A,FALSE,"NrthUmpq";#N/A,#N/A,FALSE,"KlamRog"}</definedName>
    <definedName name="Camas_2" localSheetId="37" hidden="1">{#N/A,#N/A,FALSE,"Summary";#N/A,#N/A,FALSE,"SmPlants";#N/A,#N/A,FALSE,"Utah";#N/A,#N/A,FALSE,"Idaho";#N/A,#N/A,FALSE,"Lewis River";#N/A,#N/A,FALSE,"NrthUmpq";#N/A,#N/A,FALSE,"KlamRog"}</definedName>
    <definedName name="Camas_2" localSheetId="41" hidden="1">{#N/A,#N/A,FALSE,"Summary";#N/A,#N/A,FALSE,"SmPlants";#N/A,#N/A,FALSE,"Utah";#N/A,#N/A,FALSE,"Idaho";#N/A,#N/A,FALSE,"Lewis River";#N/A,#N/A,FALSE,"NrthUmpq";#N/A,#N/A,FALSE,"KlamRog"}</definedName>
    <definedName name="Camas_2" localSheetId="42" hidden="1">{#N/A,#N/A,FALSE,"Summary";#N/A,#N/A,FALSE,"SmPlants";#N/A,#N/A,FALSE,"Utah";#N/A,#N/A,FALSE,"Idaho";#N/A,#N/A,FALSE,"Lewis River";#N/A,#N/A,FALSE,"NrthUmpq";#N/A,#N/A,FALSE,"KlamRog"}</definedName>
    <definedName name="Camas_2" localSheetId="0" hidden="1">{#N/A,#N/A,FALSE,"Summary";#N/A,#N/A,FALSE,"SmPlants";#N/A,#N/A,FALSE,"Utah";#N/A,#N/A,FALSE,"Idaho";#N/A,#N/A,FALSE,"Lewis River";#N/A,#N/A,FALSE,"NrthUmpq";#N/A,#N/A,FALSE,"KlamRog"}</definedName>
    <definedName name="Camas_2" hidden="1">{#N/A,#N/A,FALSE,"Summary";#N/A,#N/A,FALSE,"SmPlants";#N/A,#N/A,FALSE,"Utah";#N/A,#N/A,FALSE,"Idaho";#N/A,#N/A,FALSE,"Lewis River";#N/A,#N/A,FALSE,"NrthUmpq";#N/A,#N/A,FALSE,"KlamRog"}</definedName>
    <definedName name="Camas_3" localSheetId="1" hidden="1">{#N/A,#N/A,FALSE,"Summary";#N/A,#N/A,FALSE,"SmPlants";#N/A,#N/A,FALSE,"Utah";#N/A,#N/A,FALSE,"Idaho";#N/A,#N/A,FALSE,"Lewis River";#N/A,#N/A,FALSE,"NrthUmpq";#N/A,#N/A,FALSE,"KlamRog"}</definedName>
    <definedName name="Camas_3" localSheetId="3" hidden="1">{#N/A,#N/A,FALSE,"Summary";#N/A,#N/A,FALSE,"SmPlants";#N/A,#N/A,FALSE,"Utah";#N/A,#N/A,FALSE,"Idaho";#N/A,#N/A,FALSE,"Lewis River";#N/A,#N/A,FALSE,"NrthUmpq";#N/A,#N/A,FALSE,"KlamRog"}</definedName>
    <definedName name="Camas_3" localSheetId="4" hidden="1">{#N/A,#N/A,FALSE,"Summary";#N/A,#N/A,FALSE,"SmPlants";#N/A,#N/A,FALSE,"Utah";#N/A,#N/A,FALSE,"Idaho";#N/A,#N/A,FALSE,"Lewis River";#N/A,#N/A,FALSE,"NrthUmpq";#N/A,#N/A,FALSE,"KlamRog"}</definedName>
    <definedName name="Camas_3" localSheetId="18" hidden="1">{#N/A,#N/A,FALSE,"Summary";#N/A,#N/A,FALSE,"SmPlants";#N/A,#N/A,FALSE,"Utah";#N/A,#N/A,FALSE,"Idaho";#N/A,#N/A,FALSE,"Lewis River";#N/A,#N/A,FALSE,"NrthUmpq";#N/A,#N/A,FALSE,"KlamRog"}</definedName>
    <definedName name="Camas_3" localSheetId="19" hidden="1">{#N/A,#N/A,FALSE,"Summary";#N/A,#N/A,FALSE,"SmPlants";#N/A,#N/A,FALSE,"Utah";#N/A,#N/A,FALSE,"Idaho";#N/A,#N/A,FALSE,"Lewis River";#N/A,#N/A,FALSE,"NrthUmpq";#N/A,#N/A,FALSE,"KlamRog"}</definedName>
    <definedName name="Camas_3" localSheetId="20" hidden="1">{#N/A,#N/A,FALSE,"Summary";#N/A,#N/A,FALSE,"SmPlants";#N/A,#N/A,FALSE,"Utah";#N/A,#N/A,FALSE,"Idaho";#N/A,#N/A,FALSE,"Lewis River";#N/A,#N/A,FALSE,"NrthUmpq";#N/A,#N/A,FALSE,"KlamRog"}</definedName>
    <definedName name="Camas_3" localSheetId="21" hidden="1">{#N/A,#N/A,FALSE,"Summary";#N/A,#N/A,FALSE,"SmPlants";#N/A,#N/A,FALSE,"Utah";#N/A,#N/A,FALSE,"Idaho";#N/A,#N/A,FALSE,"Lewis River";#N/A,#N/A,FALSE,"NrthUmpq";#N/A,#N/A,FALSE,"KlamRog"}</definedName>
    <definedName name="Camas_3" localSheetId="24" hidden="1">{#N/A,#N/A,FALSE,"Summary";#N/A,#N/A,FALSE,"SmPlants";#N/A,#N/A,FALSE,"Utah";#N/A,#N/A,FALSE,"Idaho";#N/A,#N/A,FALSE,"Lewis River";#N/A,#N/A,FALSE,"NrthUmpq";#N/A,#N/A,FALSE,"KlamRog"}</definedName>
    <definedName name="Camas_3" localSheetId="27" hidden="1">{#N/A,#N/A,FALSE,"Summary";#N/A,#N/A,FALSE,"SmPlants";#N/A,#N/A,FALSE,"Utah";#N/A,#N/A,FALSE,"Idaho";#N/A,#N/A,FALSE,"Lewis River";#N/A,#N/A,FALSE,"NrthUmpq";#N/A,#N/A,FALSE,"KlamRog"}</definedName>
    <definedName name="Camas_3" localSheetId="28" hidden="1">{#N/A,#N/A,FALSE,"Summary";#N/A,#N/A,FALSE,"SmPlants";#N/A,#N/A,FALSE,"Utah";#N/A,#N/A,FALSE,"Idaho";#N/A,#N/A,FALSE,"Lewis River";#N/A,#N/A,FALSE,"NrthUmpq";#N/A,#N/A,FALSE,"KlamRog"}</definedName>
    <definedName name="Camas_3" localSheetId="29" hidden="1">{#N/A,#N/A,FALSE,"Summary";#N/A,#N/A,FALSE,"SmPlants";#N/A,#N/A,FALSE,"Utah";#N/A,#N/A,FALSE,"Idaho";#N/A,#N/A,FALSE,"Lewis River";#N/A,#N/A,FALSE,"NrthUmpq";#N/A,#N/A,FALSE,"KlamRog"}</definedName>
    <definedName name="Camas_3" localSheetId="30" hidden="1">{#N/A,#N/A,FALSE,"Summary";#N/A,#N/A,FALSE,"SmPlants";#N/A,#N/A,FALSE,"Utah";#N/A,#N/A,FALSE,"Idaho";#N/A,#N/A,FALSE,"Lewis River";#N/A,#N/A,FALSE,"NrthUmpq";#N/A,#N/A,FALSE,"KlamRog"}</definedName>
    <definedName name="Camas_3" localSheetId="31" hidden="1">{#N/A,#N/A,FALSE,"Summary";#N/A,#N/A,FALSE,"SmPlants";#N/A,#N/A,FALSE,"Utah";#N/A,#N/A,FALSE,"Idaho";#N/A,#N/A,FALSE,"Lewis River";#N/A,#N/A,FALSE,"NrthUmpq";#N/A,#N/A,FALSE,"KlamRog"}</definedName>
    <definedName name="Camas_3" localSheetId="37" hidden="1">{#N/A,#N/A,FALSE,"Summary";#N/A,#N/A,FALSE,"SmPlants";#N/A,#N/A,FALSE,"Utah";#N/A,#N/A,FALSE,"Idaho";#N/A,#N/A,FALSE,"Lewis River";#N/A,#N/A,FALSE,"NrthUmpq";#N/A,#N/A,FALSE,"KlamRog"}</definedName>
    <definedName name="Camas_3" localSheetId="41" hidden="1">{#N/A,#N/A,FALSE,"Summary";#N/A,#N/A,FALSE,"SmPlants";#N/A,#N/A,FALSE,"Utah";#N/A,#N/A,FALSE,"Idaho";#N/A,#N/A,FALSE,"Lewis River";#N/A,#N/A,FALSE,"NrthUmpq";#N/A,#N/A,FALSE,"KlamRog"}</definedName>
    <definedName name="Camas_3" localSheetId="42" hidden="1">{#N/A,#N/A,FALSE,"Summary";#N/A,#N/A,FALSE,"SmPlants";#N/A,#N/A,FALSE,"Utah";#N/A,#N/A,FALSE,"Idaho";#N/A,#N/A,FALSE,"Lewis River";#N/A,#N/A,FALSE,"NrthUmpq";#N/A,#N/A,FALSE,"KlamRog"}</definedName>
    <definedName name="Camas_3" localSheetId="0" hidden="1">{#N/A,#N/A,FALSE,"Summary";#N/A,#N/A,FALSE,"SmPlants";#N/A,#N/A,FALSE,"Utah";#N/A,#N/A,FALSE,"Idaho";#N/A,#N/A,FALSE,"Lewis River";#N/A,#N/A,FALSE,"NrthUmpq";#N/A,#N/A,FALSE,"KlamRog"}</definedName>
    <definedName name="Camas_3" hidden="1">{#N/A,#N/A,FALSE,"Summary";#N/A,#N/A,FALSE,"SmPlants";#N/A,#N/A,FALSE,"Utah";#N/A,#N/A,FALSE,"Idaho";#N/A,#N/A,FALSE,"Lewis River";#N/A,#N/A,FALSE,"NrthUmpq";#N/A,#N/A,FALSE,"KlamRog"}</definedName>
    <definedName name="Camas_4" localSheetId="1" hidden="1">{#N/A,#N/A,FALSE,"Summary";#N/A,#N/A,FALSE,"SmPlants";#N/A,#N/A,FALSE,"Utah";#N/A,#N/A,FALSE,"Idaho";#N/A,#N/A,FALSE,"Lewis River";#N/A,#N/A,FALSE,"NrthUmpq";#N/A,#N/A,FALSE,"KlamRog"}</definedName>
    <definedName name="Camas_4" localSheetId="3" hidden="1">{#N/A,#N/A,FALSE,"Summary";#N/A,#N/A,FALSE,"SmPlants";#N/A,#N/A,FALSE,"Utah";#N/A,#N/A,FALSE,"Idaho";#N/A,#N/A,FALSE,"Lewis River";#N/A,#N/A,FALSE,"NrthUmpq";#N/A,#N/A,FALSE,"KlamRog"}</definedName>
    <definedName name="Camas_4" localSheetId="4" hidden="1">{#N/A,#N/A,FALSE,"Summary";#N/A,#N/A,FALSE,"SmPlants";#N/A,#N/A,FALSE,"Utah";#N/A,#N/A,FALSE,"Idaho";#N/A,#N/A,FALSE,"Lewis River";#N/A,#N/A,FALSE,"NrthUmpq";#N/A,#N/A,FALSE,"KlamRog"}</definedName>
    <definedName name="Camas_4" localSheetId="18" hidden="1">{#N/A,#N/A,FALSE,"Summary";#N/A,#N/A,FALSE,"SmPlants";#N/A,#N/A,FALSE,"Utah";#N/A,#N/A,FALSE,"Idaho";#N/A,#N/A,FALSE,"Lewis River";#N/A,#N/A,FALSE,"NrthUmpq";#N/A,#N/A,FALSE,"KlamRog"}</definedName>
    <definedName name="Camas_4" localSheetId="19" hidden="1">{#N/A,#N/A,FALSE,"Summary";#N/A,#N/A,FALSE,"SmPlants";#N/A,#N/A,FALSE,"Utah";#N/A,#N/A,FALSE,"Idaho";#N/A,#N/A,FALSE,"Lewis River";#N/A,#N/A,FALSE,"NrthUmpq";#N/A,#N/A,FALSE,"KlamRog"}</definedName>
    <definedName name="Camas_4" localSheetId="20" hidden="1">{#N/A,#N/A,FALSE,"Summary";#N/A,#N/A,FALSE,"SmPlants";#N/A,#N/A,FALSE,"Utah";#N/A,#N/A,FALSE,"Idaho";#N/A,#N/A,FALSE,"Lewis River";#N/A,#N/A,FALSE,"NrthUmpq";#N/A,#N/A,FALSE,"KlamRog"}</definedName>
    <definedName name="Camas_4" localSheetId="21" hidden="1">{#N/A,#N/A,FALSE,"Summary";#N/A,#N/A,FALSE,"SmPlants";#N/A,#N/A,FALSE,"Utah";#N/A,#N/A,FALSE,"Idaho";#N/A,#N/A,FALSE,"Lewis River";#N/A,#N/A,FALSE,"NrthUmpq";#N/A,#N/A,FALSE,"KlamRog"}</definedName>
    <definedName name="Camas_4" localSheetId="24" hidden="1">{#N/A,#N/A,FALSE,"Summary";#N/A,#N/A,FALSE,"SmPlants";#N/A,#N/A,FALSE,"Utah";#N/A,#N/A,FALSE,"Idaho";#N/A,#N/A,FALSE,"Lewis River";#N/A,#N/A,FALSE,"NrthUmpq";#N/A,#N/A,FALSE,"KlamRog"}</definedName>
    <definedName name="Camas_4" localSheetId="27" hidden="1">{#N/A,#N/A,FALSE,"Summary";#N/A,#N/A,FALSE,"SmPlants";#N/A,#N/A,FALSE,"Utah";#N/A,#N/A,FALSE,"Idaho";#N/A,#N/A,FALSE,"Lewis River";#N/A,#N/A,FALSE,"NrthUmpq";#N/A,#N/A,FALSE,"KlamRog"}</definedName>
    <definedName name="Camas_4" localSheetId="28" hidden="1">{#N/A,#N/A,FALSE,"Summary";#N/A,#N/A,FALSE,"SmPlants";#N/A,#N/A,FALSE,"Utah";#N/A,#N/A,FALSE,"Idaho";#N/A,#N/A,FALSE,"Lewis River";#N/A,#N/A,FALSE,"NrthUmpq";#N/A,#N/A,FALSE,"KlamRog"}</definedName>
    <definedName name="Camas_4" localSheetId="29" hidden="1">{#N/A,#N/A,FALSE,"Summary";#N/A,#N/A,FALSE,"SmPlants";#N/A,#N/A,FALSE,"Utah";#N/A,#N/A,FALSE,"Idaho";#N/A,#N/A,FALSE,"Lewis River";#N/A,#N/A,FALSE,"NrthUmpq";#N/A,#N/A,FALSE,"KlamRog"}</definedName>
    <definedName name="Camas_4" localSheetId="30" hidden="1">{#N/A,#N/A,FALSE,"Summary";#N/A,#N/A,FALSE,"SmPlants";#N/A,#N/A,FALSE,"Utah";#N/A,#N/A,FALSE,"Idaho";#N/A,#N/A,FALSE,"Lewis River";#N/A,#N/A,FALSE,"NrthUmpq";#N/A,#N/A,FALSE,"KlamRog"}</definedName>
    <definedName name="Camas_4" localSheetId="31" hidden="1">{#N/A,#N/A,FALSE,"Summary";#N/A,#N/A,FALSE,"SmPlants";#N/A,#N/A,FALSE,"Utah";#N/A,#N/A,FALSE,"Idaho";#N/A,#N/A,FALSE,"Lewis River";#N/A,#N/A,FALSE,"NrthUmpq";#N/A,#N/A,FALSE,"KlamRog"}</definedName>
    <definedName name="Camas_4" localSheetId="37" hidden="1">{#N/A,#N/A,FALSE,"Summary";#N/A,#N/A,FALSE,"SmPlants";#N/A,#N/A,FALSE,"Utah";#N/A,#N/A,FALSE,"Idaho";#N/A,#N/A,FALSE,"Lewis River";#N/A,#N/A,FALSE,"NrthUmpq";#N/A,#N/A,FALSE,"KlamRog"}</definedName>
    <definedName name="Camas_4" localSheetId="41" hidden="1">{#N/A,#N/A,FALSE,"Summary";#N/A,#N/A,FALSE,"SmPlants";#N/A,#N/A,FALSE,"Utah";#N/A,#N/A,FALSE,"Idaho";#N/A,#N/A,FALSE,"Lewis River";#N/A,#N/A,FALSE,"NrthUmpq";#N/A,#N/A,FALSE,"KlamRog"}</definedName>
    <definedName name="Camas_4" localSheetId="42" hidden="1">{#N/A,#N/A,FALSE,"Summary";#N/A,#N/A,FALSE,"SmPlants";#N/A,#N/A,FALSE,"Utah";#N/A,#N/A,FALSE,"Idaho";#N/A,#N/A,FALSE,"Lewis River";#N/A,#N/A,FALSE,"NrthUmpq";#N/A,#N/A,FALSE,"KlamRog"}</definedName>
    <definedName name="Camas_4" localSheetId="0" hidden="1">{#N/A,#N/A,FALSE,"Summary";#N/A,#N/A,FALSE,"SmPlants";#N/A,#N/A,FALSE,"Utah";#N/A,#N/A,FALSE,"Idaho";#N/A,#N/A,FALSE,"Lewis River";#N/A,#N/A,FALSE,"NrthUmpq";#N/A,#N/A,FALSE,"KlamRog"}</definedName>
    <definedName name="Camas_4" hidden="1">{#N/A,#N/A,FALSE,"Summary";#N/A,#N/A,FALSE,"SmPlants";#N/A,#N/A,FALSE,"Utah";#N/A,#N/A,FALSE,"Idaho";#N/A,#N/A,FALSE,"Lewis River";#N/A,#N/A,FALSE,"NrthUmpq";#N/A,#N/A,FALSE,"KlamRog"}</definedName>
    <definedName name="Camas_5" localSheetId="1" hidden="1">{#N/A,#N/A,FALSE,"Summary";#N/A,#N/A,FALSE,"SmPlants";#N/A,#N/A,FALSE,"Utah";#N/A,#N/A,FALSE,"Idaho";#N/A,#N/A,FALSE,"Lewis River";#N/A,#N/A,FALSE,"NrthUmpq";#N/A,#N/A,FALSE,"KlamRog"}</definedName>
    <definedName name="Camas_5" localSheetId="3" hidden="1">{#N/A,#N/A,FALSE,"Summary";#N/A,#N/A,FALSE,"SmPlants";#N/A,#N/A,FALSE,"Utah";#N/A,#N/A,FALSE,"Idaho";#N/A,#N/A,FALSE,"Lewis River";#N/A,#N/A,FALSE,"NrthUmpq";#N/A,#N/A,FALSE,"KlamRog"}</definedName>
    <definedName name="Camas_5" localSheetId="4" hidden="1">{#N/A,#N/A,FALSE,"Summary";#N/A,#N/A,FALSE,"SmPlants";#N/A,#N/A,FALSE,"Utah";#N/A,#N/A,FALSE,"Idaho";#N/A,#N/A,FALSE,"Lewis River";#N/A,#N/A,FALSE,"NrthUmpq";#N/A,#N/A,FALSE,"KlamRog"}</definedName>
    <definedName name="Camas_5" localSheetId="18" hidden="1">{#N/A,#N/A,FALSE,"Summary";#N/A,#N/A,FALSE,"SmPlants";#N/A,#N/A,FALSE,"Utah";#N/A,#N/A,FALSE,"Idaho";#N/A,#N/A,FALSE,"Lewis River";#N/A,#N/A,FALSE,"NrthUmpq";#N/A,#N/A,FALSE,"KlamRog"}</definedName>
    <definedName name="Camas_5" localSheetId="19" hidden="1">{#N/A,#N/A,FALSE,"Summary";#N/A,#N/A,FALSE,"SmPlants";#N/A,#N/A,FALSE,"Utah";#N/A,#N/A,FALSE,"Idaho";#N/A,#N/A,FALSE,"Lewis River";#N/A,#N/A,FALSE,"NrthUmpq";#N/A,#N/A,FALSE,"KlamRog"}</definedName>
    <definedName name="Camas_5" localSheetId="20" hidden="1">{#N/A,#N/A,FALSE,"Summary";#N/A,#N/A,FALSE,"SmPlants";#N/A,#N/A,FALSE,"Utah";#N/A,#N/A,FALSE,"Idaho";#N/A,#N/A,FALSE,"Lewis River";#N/A,#N/A,FALSE,"NrthUmpq";#N/A,#N/A,FALSE,"KlamRog"}</definedName>
    <definedName name="Camas_5" localSheetId="21" hidden="1">{#N/A,#N/A,FALSE,"Summary";#N/A,#N/A,FALSE,"SmPlants";#N/A,#N/A,FALSE,"Utah";#N/A,#N/A,FALSE,"Idaho";#N/A,#N/A,FALSE,"Lewis River";#N/A,#N/A,FALSE,"NrthUmpq";#N/A,#N/A,FALSE,"KlamRog"}</definedName>
    <definedName name="Camas_5" localSheetId="24" hidden="1">{#N/A,#N/A,FALSE,"Summary";#N/A,#N/A,FALSE,"SmPlants";#N/A,#N/A,FALSE,"Utah";#N/A,#N/A,FALSE,"Idaho";#N/A,#N/A,FALSE,"Lewis River";#N/A,#N/A,FALSE,"NrthUmpq";#N/A,#N/A,FALSE,"KlamRog"}</definedName>
    <definedName name="Camas_5" localSheetId="27" hidden="1">{#N/A,#N/A,FALSE,"Summary";#N/A,#N/A,FALSE,"SmPlants";#N/A,#N/A,FALSE,"Utah";#N/A,#N/A,FALSE,"Idaho";#N/A,#N/A,FALSE,"Lewis River";#N/A,#N/A,FALSE,"NrthUmpq";#N/A,#N/A,FALSE,"KlamRog"}</definedName>
    <definedName name="Camas_5" localSheetId="28" hidden="1">{#N/A,#N/A,FALSE,"Summary";#N/A,#N/A,FALSE,"SmPlants";#N/A,#N/A,FALSE,"Utah";#N/A,#N/A,FALSE,"Idaho";#N/A,#N/A,FALSE,"Lewis River";#N/A,#N/A,FALSE,"NrthUmpq";#N/A,#N/A,FALSE,"KlamRog"}</definedName>
    <definedName name="Camas_5" localSheetId="29" hidden="1">{#N/A,#N/A,FALSE,"Summary";#N/A,#N/A,FALSE,"SmPlants";#N/A,#N/A,FALSE,"Utah";#N/A,#N/A,FALSE,"Idaho";#N/A,#N/A,FALSE,"Lewis River";#N/A,#N/A,FALSE,"NrthUmpq";#N/A,#N/A,FALSE,"KlamRog"}</definedName>
    <definedName name="Camas_5" localSheetId="30" hidden="1">{#N/A,#N/A,FALSE,"Summary";#N/A,#N/A,FALSE,"SmPlants";#N/A,#N/A,FALSE,"Utah";#N/A,#N/A,FALSE,"Idaho";#N/A,#N/A,FALSE,"Lewis River";#N/A,#N/A,FALSE,"NrthUmpq";#N/A,#N/A,FALSE,"KlamRog"}</definedName>
    <definedName name="Camas_5" localSheetId="31" hidden="1">{#N/A,#N/A,FALSE,"Summary";#N/A,#N/A,FALSE,"SmPlants";#N/A,#N/A,FALSE,"Utah";#N/A,#N/A,FALSE,"Idaho";#N/A,#N/A,FALSE,"Lewis River";#N/A,#N/A,FALSE,"NrthUmpq";#N/A,#N/A,FALSE,"KlamRog"}</definedName>
    <definedName name="Camas_5" localSheetId="37" hidden="1">{#N/A,#N/A,FALSE,"Summary";#N/A,#N/A,FALSE,"SmPlants";#N/A,#N/A,FALSE,"Utah";#N/A,#N/A,FALSE,"Idaho";#N/A,#N/A,FALSE,"Lewis River";#N/A,#N/A,FALSE,"NrthUmpq";#N/A,#N/A,FALSE,"KlamRog"}</definedName>
    <definedName name="Camas_5" localSheetId="41" hidden="1">{#N/A,#N/A,FALSE,"Summary";#N/A,#N/A,FALSE,"SmPlants";#N/A,#N/A,FALSE,"Utah";#N/A,#N/A,FALSE,"Idaho";#N/A,#N/A,FALSE,"Lewis River";#N/A,#N/A,FALSE,"NrthUmpq";#N/A,#N/A,FALSE,"KlamRog"}</definedName>
    <definedName name="Camas_5" localSheetId="42" hidden="1">{#N/A,#N/A,FALSE,"Summary";#N/A,#N/A,FALSE,"SmPlants";#N/A,#N/A,FALSE,"Utah";#N/A,#N/A,FALSE,"Idaho";#N/A,#N/A,FALSE,"Lewis River";#N/A,#N/A,FALSE,"NrthUmpq";#N/A,#N/A,FALSE,"KlamRog"}</definedName>
    <definedName name="Camas_5" localSheetId="0" hidden="1">{#N/A,#N/A,FALSE,"Summary";#N/A,#N/A,FALSE,"SmPlants";#N/A,#N/A,FALSE,"Utah";#N/A,#N/A,FALSE,"Idaho";#N/A,#N/A,FALSE,"Lewis River";#N/A,#N/A,FALSE,"NrthUmpq";#N/A,#N/A,FALSE,"KlamRog"}</definedName>
    <definedName name="Camas_5" hidden="1">{#N/A,#N/A,FALSE,"Summary";#N/A,#N/A,FALSE,"SmPlants";#N/A,#N/A,FALSE,"Utah";#N/A,#N/A,FALSE,"Idaho";#N/A,#N/A,FALSE,"Lewis River";#N/A,#N/A,FALSE,"NrthUmpq";#N/A,#N/A,FALSE,"KlamRog"}</definedName>
    <definedName name="CF_assum">#REF!</definedName>
    <definedName name="DATA1" localSheetId="5">#REF!</definedName>
    <definedName name="DATA1" localSheetId="6">#REF!</definedName>
    <definedName name="DATA1" localSheetId="7">#REF!</definedName>
    <definedName name="DATA1" localSheetId="8">#REF!</definedName>
    <definedName name="DATA1" localSheetId="9">#REF!</definedName>
    <definedName name="DATA1" localSheetId="10">#REF!</definedName>
    <definedName name="DATA1" localSheetId="11">#REF!</definedName>
    <definedName name="DATA1" localSheetId="12">#REF!</definedName>
    <definedName name="DATA1" localSheetId="13">#REF!</definedName>
    <definedName name="DATA1" localSheetId="14">#REF!</definedName>
    <definedName name="DATA1" localSheetId="15">#REF!</definedName>
    <definedName name="DATA1" localSheetId="16">#REF!</definedName>
    <definedName name="DATA1" localSheetId="17">#REF!</definedName>
    <definedName name="DATA1" localSheetId="18">#REF!</definedName>
    <definedName name="DATA1" localSheetId="19">#REF!</definedName>
    <definedName name="DATA1" localSheetId="20">#REF!</definedName>
    <definedName name="DATA1" localSheetId="21">#REF!</definedName>
    <definedName name="DATA1" localSheetId="22">#REF!</definedName>
    <definedName name="DATA1" localSheetId="23">#REF!</definedName>
    <definedName name="DATA1" localSheetId="24">#REF!</definedName>
    <definedName name="DATA1" localSheetId="25">#REF!</definedName>
    <definedName name="DATA1" localSheetId="26">#REF!</definedName>
    <definedName name="DATA1" localSheetId="27">#REF!</definedName>
    <definedName name="DATA1" localSheetId="28">#REF!</definedName>
    <definedName name="DATA1" localSheetId="29">#REF!</definedName>
    <definedName name="DATA1" localSheetId="32">#REF!</definedName>
    <definedName name="DATA1" localSheetId="33">#REF!</definedName>
    <definedName name="DATA1" localSheetId="34">#REF!</definedName>
    <definedName name="DATA1" localSheetId="36">#REF!</definedName>
    <definedName name="DATA1" localSheetId="35">#REF!</definedName>
    <definedName name="DATA1" localSheetId="37">#REF!</definedName>
    <definedName name="DATA1" localSheetId="38">#REF!</definedName>
    <definedName name="DATA1" localSheetId="39">#REF!</definedName>
    <definedName name="DATA1" localSheetId="40">#REF!</definedName>
    <definedName name="DATA1" localSheetId="41">#REF!</definedName>
    <definedName name="DATA1" localSheetId="42">#REF!</definedName>
    <definedName name="DATA1" localSheetId="43">#REF!</definedName>
    <definedName name="DATA1" localSheetId="45">#REF!</definedName>
    <definedName name="DATA1" localSheetId="46">#REF!</definedName>
    <definedName name="DATA1" localSheetId="44">#REF!</definedName>
    <definedName name="DATA1" localSheetId="47">#REF!</definedName>
    <definedName name="DATA1">#REF!</definedName>
    <definedName name="DATA10" localSheetId="5">#REF!</definedName>
    <definedName name="DATA10" localSheetId="6">#REF!</definedName>
    <definedName name="DATA10" localSheetId="7">#REF!</definedName>
    <definedName name="DATA10" localSheetId="8">#REF!</definedName>
    <definedName name="DATA10" localSheetId="9">#REF!</definedName>
    <definedName name="DATA10" localSheetId="10">#REF!</definedName>
    <definedName name="DATA10" localSheetId="11">#REF!</definedName>
    <definedName name="DATA10" localSheetId="12">#REF!</definedName>
    <definedName name="DATA10" localSheetId="13">#REF!</definedName>
    <definedName name="DATA10" localSheetId="14">#REF!</definedName>
    <definedName name="DATA10" localSheetId="15">#REF!</definedName>
    <definedName name="DATA10" localSheetId="16">#REF!</definedName>
    <definedName name="DATA10" localSheetId="17">#REF!</definedName>
    <definedName name="DATA10" localSheetId="18">#REF!</definedName>
    <definedName name="DATA10" localSheetId="19">#REF!</definedName>
    <definedName name="DATA10" localSheetId="20">#REF!</definedName>
    <definedName name="DATA10" localSheetId="21">#REF!</definedName>
    <definedName name="DATA10" localSheetId="22">#REF!</definedName>
    <definedName name="DATA10" localSheetId="23">#REF!</definedName>
    <definedName name="DATA10" localSheetId="24">#REF!</definedName>
    <definedName name="DATA10" localSheetId="25">#REF!</definedName>
    <definedName name="DATA10" localSheetId="26">#REF!</definedName>
    <definedName name="DATA10" localSheetId="27">#REF!</definedName>
    <definedName name="DATA10" localSheetId="28">#REF!</definedName>
    <definedName name="DATA10" localSheetId="29">#REF!</definedName>
    <definedName name="DATA10" localSheetId="32">#REF!</definedName>
    <definedName name="DATA10" localSheetId="33">#REF!</definedName>
    <definedName name="DATA10" localSheetId="34">#REF!</definedName>
    <definedName name="DATA10" localSheetId="36">#REF!</definedName>
    <definedName name="DATA10" localSheetId="35">#REF!</definedName>
    <definedName name="DATA10" localSheetId="37">#REF!</definedName>
    <definedName name="DATA10" localSheetId="38">#REF!</definedName>
    <definedName name="DATA10" localSheetId="39">#REF!</definedName>
    <definedName name="DATA10" localSheetId="40">#REF!</definedName>
    <definedName name="DATA10" localSheetId="41">#REF!</definedName>
    <definedName name="DATA10" localSheetId="42">#REF!</definedName>
    <definedName name="DATA10" localSheetId="43">#REF!</definedName>
    <definedName name="DATA10" localSheetId="45">#REF!</definedName>
    <definedName name="DATA10" localSheetId="46">#REF!</definedName>
    <definedName name="DATA10" localSheetId="44">#REF!</definedName>
    <definedName name="DATA10" localSheetId="47">#REF!</definedName>
    <definedName name="DATA10">#REF!</definedName>
    <definedName name="DATA11" localSheetId="5">#REF!</definedName>
    <definedName name="DATA11" localSheetId="6">#REF!</definedName>
    <definedName name="DATA11" localSheetId="7">#REF!</definedName>
    <definedName name="DATA11" localSheetId="8">#REF!</definedName>
    <definedName name="DATA11" localSheetId="9">#REF!</definedName>
    <definedName name="DATA11" localSheetId="10">#REF!</definedName>
    <definedName name="DATA11" localSheetId="11">#REF!</definedName>
    <definedName name="DATA11" localSheetId="12">#REF!</definedName>
    <definedName name="DATA11" localSheetId="13">#REF!</definedName>
    <definedName name="DATA11" localSheetId="14">#REF!</definedName>
    <definedName name="DATA11" localSheetId="15">#REF!</definedName>
    <definedName name="DATA11" localSheetId="16">#REF!</definedName>
    <definedName name="DATA11" localSheetId="17">#REF!</definedName>
    <definedName name="DATA11" localSheetId="18">#REF!</definedName>
    <definedName name="DATA11" localSheetId="19">#REF!</definedName>
    <definedName name="DATA11" localSheetId="20">#REF!</definedName>
    <definedName name="DATA11" localSheetId="21">#REF!</definedName>
    <definedName name="DATA11" localSheetId="22">#REF!</definedName>
    <definedName name="DATA11" localSheetId="23">#REF!</definedName>
    <definedName name="DATA11" localSheetId="24">#REF!</definedName>
    <definedName name="DATA11" localSheetId="25">#REF!</definedName>
    <definedName name="DATA11" localSheetId="26">#REF!</definedName>
    <definedName name="DATA11" localSheetId="27">#REF!</definedName>
    <definedName name="DATA11" localSheetId="28">#REF!</definedName>
    <definedName name="DATA11" localSheetId="29">#REF!</definedName>
    <definedName name="DATA11" localSheetId="32">#REF!</definedName>
    <definedName name="DATA11" localSheetId="33">#REF!</definedName>
    <definedName name="DATA11" localSheetId="34">#REF!</definedName>
    <definedName name="DATA11" localSheetId="36">#REF!</definedName>
    <definedName name="DATA11" localSheetId="35">#REF!</definedName>
    <definedName name="DATA11" localSheetId="37">#REF!</definedName>
    <definedName name="DATA11" localSheetId="38">#REF!</definedName>
    <definedName name="DATA11" localSheetId="39">#REF!</definedName>
    <definedName name="DATA11" localSheetId="40">#REF!</definedName>
    <definedName name="DATA11" localSheetId="41">#REF!</definedName>
    <definedName name="DATA11" localSheetId="42">#REF!</definedName>
    <definedName name="DATA11" localSheetId="43">#REF!</definedName>
    <definedName name="DATA11" localSheetId="45">#REF!</definedName>
    <definedName name="DATA11" localSheetId="46">#REF!</definedName>
    <definedName name="DATA11" localSheetId="44">#REF!</definedName>
    <definedName name="DATA11" localSheetId="47">#REF!</definedName>
    <definedName name="DATA11">#REF!</definedName>
    <definedName name="DATA12" localSheetId="5">#REF!</definedName>
    <definedName name="DATA12" localSheetId="6">#REF!</definedName>
    <definedName name="DATA12" localSheetId="7">#REF!</definedName>
    <definedName name="DATA12" localSheetId="8">#REF!</definedName>
    <definedName name="DATA12" localSheetId="9">#REF!</definedName>
    <definedName name="DATA12" localSheetId="10">#REF!</definedName>
    <definedName name="DATA12" localSheetId="11">#REF!</definedName>
    <definedName name="DATA12" localSheetId="12">#REF!</definedName>
    <definedName name="DATA12" localSheetId="13">#REF!</definedName>
    <definedName name="DATA12" localSheetId="14">#REF!</definedName>
    <definedName name="DATA12" localSheetId="15">#REF!</definedName>
    <definedName name="DATA12" localSheetId="16">#REF!</definedName>
    <definedName name="DATA12" localSheetId="17">#REF!</definedName>
    <definedName name="DATA12" localSheetId="18">#REF!</definedName>
    <definedName name="DATA12" localSheetId="19">#REF!</definedName>
    <definedName name="DATA12" localSheetId="20">#REF!</definedName>
    <definedName name="DATA12" localSheetId="21">#REF!</definedName>
    <definedName name="DATA12" localSheetId="22">#REF!</definedName>
    <definedName name="DATA12" localSheetId="23">#REF!</definedName>
    <definedName name="DATA12" localSheetId="24">#REF!</definedName>
    <definedName name="DATA12" localSheetId="25">#REF!</definedName>
    <definedName name="DATA12" localSheetId="26">#REF!</definedName>
    <definedName name="DATA12" localSheetId="27">#REF!</definedName>
    <definedName name="DATA12" localSheetId="28">#REF!</definedName>
    <definedName name="DATA12" localSheetId="29">#REF!</definedName>
    <definedName name="DATA12" localSheetId="32">#REF!</definedName>
    <definedName name="DATA12" localSheetId="33">#REF!</definedName>
    <definedName name="DATA12" localSheetId="34">#REF!</definedName>
    <definedName name="DATA12" localSheetId="36">#REF!</definedName>
    <definedName name="DATA12" localSheetId="35">#REF!</definedName>
    <definedName name="DATA12" localSheetId="37">#REF!</definedName>
    <definedName name="DATA12" localSheetId="38">#REF!</definedName>
    <definedName name="DATA12" localSheetId="39">#REF!</definedName>
    <definedName name="DATA12" localSheetId="40">#REF!</definedName>
    <definedName name="DATA12" localSheetId="41">#REF!</definedName>
    <definedName name="DATA12" localSheetId="42">#REF!</definedName>
    <definedName name="DATA12" localSheetId="43">#REF!</definedName>
    <definedName name="DATA12" localSheetId="45">#REF!</definedName>
    <definedName name="DATA12" localSheetId="46">#REF!</definedName>
    <definedName name="DATA12" localSheetId="44">#REF!</definedName>
    <definedName name="DATA12" localSheetId="47">#REF!</definedName>
    <definedName name="DATA12">#REF!</definedName>
    <definedName name="DATA13" localSheetId="5">#REF!</definedName>
    <definedName name="DATA13" localSheetId="6">#REF!</definedName>
    <definedName name="DATA13" localSheetId="7">#REF!</definedName>
    <definedName name="DATA13" localSheetId="8">#REF!</definedName>
    <definedName name="DATA13" localSheetId="9">#REF!</definedName>
    <definedName name="DATA13" localSheetId="10">#REF!</definedName>
    <definedName name="DATA13" localSheetId="11">#REF!</definedName>
    <definedName name="DATA13" localSheetId="12">#REF!</definedName>
    <definedName name="DATA13" localSheetId="13">#REF!</definedName>
    <definedName name="DATA13" localSheetId="14">#REF!</definedName>
    <definedName name="DATA13" localSheetId="15">#REF!</definedName>
    <definedName name="DATA13" localSheetId="16">#REF!</definedName>
    <definedName name="DATA13" localSheetId="17">#REF!</definedName>
    <definedName name="DATA13" localSheetId="18">#REF!</definedName>
    <definedName name="DATA13" localSheetId="19">#REF!</definedName>
    <definedName name="DATA13" localSheetId="20">#REF!</definedName>
    <definedName name="DATA13" localSheetId="21">#REF!</definedName>
    <definedName name="DATA13" localSheetId="22">#REF!</definedName>
    <definedName name="DATA13" localSheetId="23">#REF!</definedName>
    <definedName name="DATA13" localSheetId="24">#REF!</definedName>
    <definedName name="DATA13" localSheetId="25">#REF!</definedName>
    <definedName name="DATA13" localSheetId="26">#REF!</definedName>
    <definedName name="DATA13" localSheetId="27">#REF!</definedName>
    <definedName name="DATA13" localSheetId="28">#REF!</definedName>
    <definedName name="DATA13" localSheetId="29">#REF!</definedName>
    <definedName name="DATA13" localSheetId="32">#REF!</definedName>
    <definedName name="DATA13" localSheetId="33">#REF!</definedName>
    <definedName name="DATA13" localSheetId="34">#REF!</definedName>
    <definedName name="DATA13" localSheetId="36">#REF!</definedName>
    <definedName name="DATA13" localSheetId="35">#REF!</definedName>
    <definedName name="DATA13" localSheetId="37">#REF!</definedName>
    <definedName name="DATA13" localSheetId="38">#REF!</definedName>
    <definedName name="DATA13" localSheetId="39">#REF!</definedName>
    <definedName name="DATA13" localSheetId="40">#REF!</definedName>
    <definedName name="DATA13" localSheetId="41">#REF!</definedName>
    <definedName name="DATA13" localSheetId="42">#REF!</definedName>
    <definedName name="DATA13" localSheetId="43">#REF!</definedName>
    <definedName name="DATA13" localSheetId="45">#REF!</definedName>
    <definedName name="DATA13" localSheetId="46">#REF!</definedName>
    <definedName name="DATA13" localSheetId="44">#REF!</definedName>
    <definedName name="DATA13" localSheetId="47">#REF!</definedName>
    <definedName name="DATA13">#REF!</definedName>
    <definedName name="DATA14" localSheetId="5">#REF!</definedName>
    <definedName name="DATA14" localSheetId="6">#REF!</definedName>
    <definedName name="DATA14" localSheetId="7">#REF!</definedName>
    <definedName name="DATA14" localSheetId="8">#REF!</definedName>
    <definedName name="DATA14" localSheetId="9">#REF!</definedName>
    <definedName name="DATA14" localSheetId="10">#REF!</definedName>
    <definedName name="DATA14" localSheetId="11">#REF!</definedName>
    <definedName name="DATA14" localSheetId="12">#REF!</definedName>
    <definedName name="DATA14" localSheetId="13">#REF!</definedName>
    <definedName name="DATA14" localSheetId="14">#REF!</definedName>
    <definedName name="DATA14" localSheetId="15">#REF!</definedName>
    <definedName name="DATA14" localSheetId="16">#REF!</definedName>
    <definedName name="DATA14" localSheetId="17">#REF!</definedName>
    <definedName name="DATA14" localSheetId="18">#REF!</definedName>
    <definedName name="DATA14" localSheetId="19">#REF!</definedName>
    <definedName name="DATA14" localSheetId="20">#REF!</definedName>
    <definedName name="DATA14" localSheetId="21">#REF!</definedName>
    <definedName name="DATA14" localSheetId="22">#REF!</definedName>
    <definedName name="DATA14" localSheetId="23">#REF!</definedName>
    <definedName name="DATA14" localSheetId="24">#REF!</definedName>
    <definedName name="DATA14" localSheetId="25">#REF!</definedName>
    <definedName name="DATA14" localSheetId="26">#REF!</definedName>
    <definedName name="DATA14" localSheetId="27">#REF!</definedName>
    <definedName name="DATA14" localSheetId="28">#REF!</definedName>
    <definedName name="DATA14" localSheetId="29">#REF!</definedName>
    <definedName name="DATA14" localSheetId="32">#REF!</definedName>
    <definedName name="DATA14" localSheetId="33">#REF!</definedName>
    <definedName name="DATA14" localSheetId="34">#REF!</definedName>
    <definedName name="DATA14" localSheetId="36">#REF!</definedName>
    <definedName name="DATA14" localSheetId="35">#REF!</definedName>
    <definedName name="DATA14" localSheetId="37">#REF!</definedName>
    <definedName name="DATA14" localSheetId="38">#REF!</definedName>
    <definedName name="DATA14" localSheetId="39">#REF!</definedName>
    <definedName name="DATA14" localSheetId="40">#REF!</definedName>
    <definedName name="DATA14" localSheetId="41">#REF!</definedName>
    <definedName name="DATA14" localSheetId="42">#REF!</definedName>
    <definedName name="DATA14" localSheetId="43">#REF!</definedName>
    <definedName name="DATA14" localSheetId="45">#REF!</definedName>
    <definedName name="DATA14" localSheetId="46">#REF!</definedName>
    <definedName name="DATA14" localSheetId="44">#REF!</definedName>
    <definedName name="DATA14" localSheetId="47">#REF!</definedName>
    <definedName name="DATA14">#REF!</definedName>
    <definedName name="DATA15" localSheetId="5">#REF!</definedName>
    <definedName name="DATA15" localSheetId="6">#REF!</definedName>
    <definedName name="DATA15" localSheetId="7">#REF!</definedName>
    <definedName name="DATA15" localSheetId="8">#REF!</definedName>
    <definedName name="DATA15" localSheetId="9">#REF!</definedName>
    <definedName name="DATA15" localSheetId="10">#REF!</definedName>
    <definedName name="DATA15" localSheetId="11">#REF!</definedName>
    <definedName name="DATA15" localSheetId="12">#REF!</definedName>
    <definedName name="DATA15" localSheetId="13">#REF!</definedName>
    <definedName name="DATA15" localSheetId="14">#REF!</definedName>
    <definedName name="DATA15" localSheetId="15">#REF!</definedName>
    <definedName name="DATA15" localSheetId="16">#REF!</definedName>
    <definedName name="DATA15" localSheetId="17">#REF!</definedName>
    <definedName name="DATA15" localSheetId="18">#REF!</definedName>
    <definedName name="DATA15" localSheetId="19">#REF!</definedName>
    <definedName name="DATA15" localSheetId="20">#REF!</definedName>
    <definedName name="DATA15" localSheetId="21">#REF!</definedName>
    <definedName name="DATA15" localSheetId="22">#REF!</definedName>
    <definedName name="DATA15" localSheetId="23">#REF!</definedName>
    <definedName name="DATA15" localSheetId="24">#REF!</definedName>
    <definedName name="DATA15" localSheetId="25">#REF!</definedName>
    <definedName name="DATA15" localSheetId="26">#REF!</definedName>
    <definedName name="DATA15" localSheetId="27">#REF!</definedName>
    <definedName name="DATA15" localSheetId="28">#REF!</definedName>
    <definedName name="DATA15" localSheetId="29">#REF!</definedName>
    <definedName name="DATA15" localSheetId="32">#REF!</definedName>
    <definedName name="DATA15" localSheetId="33">#REF!</definedName>
    <definedName name="DATA15" localSheetId="34">#REF!</definedName>
    <definedName name="DATA15" localSheetId="36">#REF!</definedName>
    <definedName name="DATA15" localSheetId="35">#REF!</definedName>
    <definedName name="DATA15" localSheetId="37">#REF!</definedName>
    <definedName name="DATA15" localSheetId="38">#REF!</definedName>
    <definedName name="DATA15" localSheetId="39">#REF!</definedName>
    <definedName name="DATA15" localSheetId="40">#REF!</definedName>
    <definedName name="DATA15" localSheetId="41">#REF!</definedName>
    <definedName name="DATA15" localSheetId="42">#REF!</definedName>
    <definedName name="DATA15" localSheetId="43">#REF!</definedName>
    <definedName name="DATA15" localSheetId="45">#REF!</definedName>
    <definedName name="DATA15" localSheetId="46">#REF!</definedName>
    <definedName name="DATA15" localSheetId="44">#REF!</definedName>
    <definedName name="DATA15" localSheetId="47">#REF!</definedName>
    <definedName name="DATA15">#REF!</definedName>
    <definedName name="DATA16" localSheetId="5">#REF!</definedName>
    <definedName name="DATA16" localSheetId="6">#REF!</definedName>
    <definedName name="DATA16" localSheetId="7">#REF!</definedName>
    <definedName name="DATA16" localSheetId="8">#REF!</definedName>
    <definedName name="DATA16" localSheetId="9">#REF!</definedName>
    <definedName name="DATA16" localSheetId="10">#REF!</definedName>
    <definedName name="DATA16" localSheetId="11">#REF!</definedName>
    <definedName name="DATA16" localSheetId="12">#REF!</definedName>
    <definedName name="DATA16" localSheetId="13">#REF!</definedName>
    <definedName name="DATA16" localSheetId="14">#REF!</definedName>
    <definedName name="DATA16" localSheetId="15">#REF!</definedName>
    <definedName name="DATA16" localSheetId="16">#REF!</definedName>
    <definedName name="DATA16" localSheetId="17">#REF!</definedName>
    <definedName name="DATA16" localSheetId="18">#REF!</definedName>
    <definedName name="DATA16" localSheetId="19">#REF!</definedName>
    <definedName name="DATA16" localSheetId="20">#REF!</definedName>
    <definedName name="DATA16" localSheetId="21">#REF!</definedName>
    <definedName name="DATA16" localSheetId="22">#REF!</definedName>
    <definedName name="DATA16" localSheetId="23">#REF!</definedName>
    <definedName name="DATA16" localSheetId="24">#REF!</definedName>
    <definedName name="DATA16" localSheetId="25">#REF!</definedName>
    <definedName name="DATA16" localSheetId="26">#REF!</definedName>
    <definedName name="DATA16" localSheetId="27">#REF!</definedName>
    <definedName name="DATA16" localSheetId="28">#REF!</definedName>
    <definedName name="DATA16" localSheetId="29">#REF!</definedName>
    <definedName name="DATA16" localSheetId="32">#REF!</definedName>
    <definedName name="DATA16" localSheetId="33">#REF!</definedName>
    <definedName name="DATA16" localSheetId="34">#REF!</definedName>
    <definedName name="DATA16" localSheetId="36">#REF!</definedName>
    <definedName name="DATA16" localSheetId="35">#REF!</definedName>
    <definedName name="DATA16" localSheetId="37">#REF!</definedName>
    <definedName name="DATA16" localSheetId="38">#REF!</definedName>
    <definedName name="DATA16" localSheetId="39">#REF!</definedName>
    <definedName name="DATA16" localSheetId="40">#REF!</definedName>
    <definedName name="DATA16" localSheetId="41">#REF!</definedName>
    <definedName name="DATA16" localSheetId="42">#REF!</definedName>
    <definedName name="DATA16" localSheetId="43">#REF!</definedName>
    <definedName name="DATA16" localSheetId="45">#REF!</definedName>
    <definedName name="DATA16" localSheetId="46">#REF!</definedName>
    <definedName name="DATA16" localSheetId="44">#REF!</definedName>
    <definedName name="DATA16" localSheetId="47">#REF!</definedName>
    <definedName name="DATA16">#REF!</definedName>
    <definedName name="DATA17" localSheetId="5">#REF!</definedName>
    <definedName name="DATA17" localSheetId="6">#REF!</definedName>
    <definedName name="DATA17" localSheetId="7">#REF!</definedName>
    <definedName name="DATA17" localSheetId="8">#REF!</definedName>
    <definedName name="DATA17" localSheetId="9">#REF!</definedName>
    <definedName name="DATA17" localSheetId="10">#REF!</definedName>
    <definedName name="DATA17" localSheetId="11">#REF!</definedName>
    <definedName name="DATA17" localSheetId="12">#REF!</definedName>
    <definedName name="DATA17" localSheetId="13">#REF!</definedName>
    <definedName name="DATA17" localSheetId="14">#REF!</definedName>
    <definedName name="DATA17" localSheetId="15">#REF!</definedName>
    <definedName name="DATA17" localSheetId="16">#REF!</definedName>
    <definedName name="DATA17" localSheetId="17">#REF!</definedName>
    <definedName name="DATA17" localSheetId="18">#REF!</definedName>
    <definedName name="DATA17" localSheetId="19">#REF!</definedName>
    <definedName name="DATA17" localSheetId="20">#REF!</definedName>
    <definedName name="DATA17" localSheetId="21">#REF!</definedName>
    <definedName name="DATA17" localSheetId="22">#REF!</definedName>
    <definedName name="DATA17" localSheetId="23">#REF!</definedName>
    <definedName name="DATA17" localSheetId="24">#REF!</definedName>
    <definedName name="DATA17" localSheetId="25">#REF!</definedName>
    <definedName name="DATA17" localSheetId="26">#REF!</definedName>
    <definedName name="DATA17" localSheetId="27">#REF!</definedName>
    <definedName name="DATA17" localSheetId="28">#REF!</definedName>
    <definedName name="DATA17" localSheetId="29">#REF!</definedName>
    <definedName name="DATA17" localSheetId="32">#REF!</definedName>
    <definedName name="DATA17" localSheetId="33">#REF!</definedName>
    <definedName name="DATA17" localSheetId="34">#REF!</definedName>
    <definedName name="DATA17" localSheetId="36">#REF!</definedName>
    <definedName name="DATA17" localSheetId="35">#REF!</definedName>
    <definedName name="DATA17" localSheetId="37">#REF!</definedName>
    <definedName name="DATA17" localSheetId="38">#REF!</definedName>
    <definedName name="DATA17" localSheetId="39">#REF!</definedName>
    <definedName name="DATA17" localSheetId="40">#REF!</definedName>
    <definedName name="DATA17" localSheetId="41">#REF!</definedName>
    <definedName name="DATA17" localSheetId="42">#REF!</definedName>
    <definedName name="DATA17" localSheetId="43">#REF!</definedName>
    <definedName name="DATA17" localSheetId="45">#REF!</definedName>
    <definedName name="DATA17" localSheetId="46">#REF!</definedName>
    <definedName name="DATA17" localSheetId="44">#REF!</definedName>
    <definedName name="DATA17" localSheetId="47">#REF!</definedName>
    <definedName name="DATA17">#REF!</definedName>
    <definedName name="DATA18" localSheetId="5">#REF!</definedName>
    <definedName name="DATA18" localSheetId="6">#REF!</definedName>
    <definedName name="DATA18" localSheetId="7">#REF!</definedName>
    <definedName name="DATA18" localSheetId="8">#REF!</definedName>
    <definedName name="DATA18" localSheetId="9">#REF!</definedName>
    <definedName name="DATA18" localSheetId="10">#REF!</definedName>
    <definedName name="DATA18" localSheetId="11">#REF!</definedName>
    <definedName name="DATA18" localSheetId="12">#REF!</definedName>
    <definedName name="DATA18" localSheetId="13">#REF!</definedName>
    <definedName name="DATA18" localSheetId="14">#REF!</definedName>
    <definedName name="DATA18" localSheetId="15">#REF!</definedName>
    <definedName name="DATA18" localSheetId="16">#REF!</definedName>
    <definedName name="DATA18" localSheetId="17">#REF!</definedName>
    <definedName name="DATA18" localSheetId="18">#REF!</definedName>
    <definedName name="DATA18" localSheetId="19">#REF!</definedName>
    <definedName name="DATA18" localSheetId="20">#REF!</definedName>
    <definedName name="DATA18" localSheetId="21">#REF!</definedName>
    <definedName name="DATA18" localSheetId="22">#REF!</definedName>
    <definedName name="DATA18" localSheetId="23">#REF!</definedName>
    <definedName name="DATA18" localSheetId="24">#REF!</definedName>
    <definedName name="DATA18" localSheetId="25">#REF!</definedName>
    <definedName name="DATA18" localSheetId="26">#REF!</definedName>
    <definedName name="DATA18" localSheetId="27">#REF!</definedName>
    <definedName name="DATA18" localSheetId="28">#REF!</definedName>
    <definedName name="DATA18" localSheetId="29">#REF!</definedName>
    <definedName name="DATA18" localSheetId="32">#REF!</definedName>
    <definedName name="DATA18" localSheetId="33">#REF!</definedName>
    <definedName name="DATA18" localSheetId="34">#REF!</definedName>
    <definedName name="DATA18" localSheetId="36">#REF!</definedName>
    <definedName name="DATA18" localSheetId="35">#REF!</definedName>
    <definedName name="DATA18" localSheetId="37">#REF!</definedName>
    <definedName name="DATA18" localSheetId="38">#REF!</definedName>
    <definedName name="DATA18" localSheetId="39">#REF!</definedName>
    <definedName name="DATA18" localSheetId="40">#REF!</definedName>
    <definedName name="DATA18" localSheetId="41">#REF!</definedName>
    <definedName name="DATA18" localSheetId="42">#REF!</definedName>
    <definedName name="DATA18" localSheetId="43">#REF!</definedName>
    <definedName name="DATA18" localSheetId="45">#REF!</definedName>
    <definedName name="DATA18" localSheetId="46">#REF!</definedName>
    <definedName name="DATA18" localSheetId="44">#REF!</definedName>
    <definedName name="DATA18" localSheetId="47">#REF!</definedName>
    <definedName name="DATA18">#REF!</definedName>
    <definedName name="DATA19" localSheetId="5">#REF!</definedName>
    <definedName name="DATA19" localSheetId="6">#REF!</definedName>
    <definedName name="DATA19" localSheetId="7">#REF!</definedName>
    <definedName name="DATA19" localSheetId="8">#REF!</definedName>
    <definedName name="DATA19" localSheetId="9">#REF!</definedName>
    <definedName name="DATA19" localSheetId="10">#REF!</definedName>
    <definedName name="DATA19" localSheetId="11">#REF!</definedName>
    <definedName name="DATA19" localSheetId="12">#REF!</definedName>
    <definedName name="DATA19" localSheetId="13">#REF!</definedName>
    <definedName name="DATA19" localSheetId="14">#REF!</definedName>
    <definedName name="DATA19" localSheetId="15">#REF!</definedName>
    <definedName name="DATA19" localSheetId="16">#REF!</definedName>
    <definedName name="DATA19" localSheetId="17">#REF!</definedName>
    <definedName name="DATA19" localSheetId="18">#REF!</definedName>
    <definedName name="DATA19" localSheetId="19">#REF!</definedName>
    <definedName name="DATA19" localSheetId="20">#REF!</definedName>
    <definedName name="DATA19" localSheetId="21">#REF!</definedName>
    <definedName name="DATA19" localSheetId="22">#REF!</definedName>
    <definedName name="DATA19" localSheetId="23">#REF!</definedName>
    <definedName name="DATA19" localSheetId="24">#REF!</definedName>
    <definedName name="DATA19" localSheetId="25">#REF!</definedName>
    <definedName name="DATA19" localSheetId="26">#REF!</definedName>
    <definedName name="DATA19" localSheetId="27">#REF!</definedName>
    <definedName name="DATA19" localSheetId="28">#REF!</definedName>
    <definedName name="DATA19" localSheetId="29">#REF!</definedName>
    <definedName name="DATA19" localSheetId="32">#REF!</definedName>
    <definedName name="DATA19" localSheetId="33">#REF!</definedName>
    <definedName name="DATA19" localSheetId="34">#REF!</definedName>
    <definedName name="DATA19" localSheetId="36">#REF!</definedName>
    <definedName name="DATA19" localSheetId="35">#REF!</definedName>
    <definedName name="DATA19" localSheetId="37">#REF!</definedName>
    <definedName name="DATA19" localSheetId="38">#REF!</definedName>
    <definedName name="DATA19" localSheetId="39">#REF!</definedName>
    <definedName name="DATA19" localSheetId="40">#REF!</definedName>
    <definedName name="DATA19" localSheetId="41">#REF!</definedName>
    <definedName name="DATA19" localSheetId="42">#REF!</definedName>
    <definedName name="DATA19" localSheetId="43">#REF!</definedName>
    <definedName name="DATA19" localSheetId="45">#REF!</definedName>
    <definedName name="DATA19" localSheetId="46">#REF!</definedName>
    <definedName name="DATA19" localSheetId="44">#REF!</definedName>
    <definedName name="DATA19" localSheetId="47">#REF!</definedName>
    <definedName name="DATA19">#REF!</definedName>
    <definedName name="DATA2" localSheetId="5">#REF!</definedName>
    <definedName name="DATA2" localSheetId="6">#REF!</definedName>
    <definedName name="DATA2" localSheetId="7">#REF!</definedName>
    <definedName name="DATA2" localSheetId="8">#REF!</definedName>
    <definedName name="DATA2" localSheetId="9">#REF!</definedName>
    <definedName name="DATA2" localSheetId="10">#REF!</definedName>
    <definedName name="DATA2" localSheetId="11">#REF!</definedName>
    <definedName name="DATA2" localSheetId="12">#REF!</definedName>
    <definedName name="DATA2" localSheetId="13">#REF!</definedName>
    <definedName name="DATA2" localSheetId="14">#REF!</definedName>
    <definedName name="DATA2" localSheetId="15">#REF!</definedName>
    <definedName name="DATA2" localSheetId="16">#REF!</definedName>
    <definedName name="DATA2" localSheetId="17">#REF!</definedName>
    <definedName name="DATA2" localSheetId="18">#REF!</definedName>
    <definedName name="DATA2" localSheetId="19">#REF!</definedName>
    <definedName name="DATA2" localSheetId="20">#REF!</definedName>
    <definedName name="DATA2" localSheetId="21">#REF!</definedName>
    <definedName name="DATA2" localSheetId="22">#REF!</definedName>
    <definedName name="DATA2" localSheetId="23">#REF!</definedName>
    <definedName name="DATA2" localSheetId="24">#REF!</definedName>
    <definedName name="DATA2" localSheetId="25">#REF!</definedName>
    <definedName name="DATA2" localSheetId="26">#REF!</definedName>
    <definedName name="DATA2" localSheetId="27">#REF!</definedName>
    <definedName name="DATA2" localSheetId="28">#REF!</definedName>
    <definedName name="DATA2" localSheetId="29">#REF!</definedName>
    <definedName name="DATA2" localSheetId="32">#REF!</definedName>
    <definedName name="DATA2" localSheetId="33">#REF!</definedName>
    <definedName name="DATA2" localSheetId="34">#REF!</definedName>
    <definedName name="DATA2" localSheetId="36">#REF!</definedName>
    <definedName name="DATA2" localSheetId="35">#REF!</definedName>
    <definedName name="DATA2" localSheetId="37">#REF!</definedName>
    <definedName name="DATA2" localSheetId="38">#REF!</definedName>
    <definedName name="DATA2" localSheetId="39">#REF!</definedName>
    <definedName name="DATA2" localSheetId="40">#REF!</definedName>
    <definedName name="DATA2" localSheetId="41">#REF!</definedName>
    <definedName name="DATA2" localSheetId="42">#REF!</definedName>
    <definedName name="DATA2" localSheetId="43">#REF!</definedName>
    <definedName name="DATA2" localSheetId="45">#REF!</definedName>
    <definedName name="DATA2" localSheetId="46">#REF!</definedName>
    <definedName name="DATA2" localSheetId="44">#REF!</definedName>
    <definedName name="DATA2" localSheetId="47">#REF!</definedName>
    <definedName name="DATA2">#REF!</definedName>
    <definedName name="DATA20" localSheetId="5">#REF!</definedName>
    <definedName name="DATA20" localSheetId="6">#REF!</definedName>
    <definedName name="DATA20" localSheetId="7">#REF!</definedName>
    <definedName name="DATA20" localSheetId="8">#REF!</definedName>
    <definedName name="DATA20" localSheetId="9">#REF!</definedName>
    <definedName name="DATA20" localSheetId="10">#REF!</definedName>
    <definedName name="DATA20" localSheetId="11">#REF!</definedName>
    <definedName name="DATA20" localSheetId="12">#REF!</definedName>
    <definedName name="DATA20" localSheetId="13">#REF!</definedName>
    <definedName name="DATA20" localSheetId="14">#REF!</definedName>
    <definedName name="DATA20" localSheetId="15">#REF!</definedName>
    <definedName name="DATA20" localSheetId="16">#REF!</definedName>
    <definedName name="DATA20" localSheetId="17">#REF!</definedName>
    <definedName name="DATA20" localSheetId="18">#REF!</definedName>
    <definedName name="DATA20" localSheetId="19">#REF!</definedName>
    <definedName name="DATA20" localSheetId="20">#REF!</definedName>
    <definedName name="DATA20" localSheetId="21">#REF!</definedName>
    <definedName name="DATA20" localSheetId="22">#REF!</definedName>
    <definedName name="DATA20" localSheetId="23">#REF!</definedName>
    <definedName name="DATA20" localSheetId="24">#REF!</definedName>
    <definedName name="DATA20" localSheetId="25">#REF!</definedName>
    <definedName name="DATA20" localSheetId="26">#REF!</definedName>
    <definedName name="DATA20" localSheetId="27">#REF!</definedName>
    <definedName name="DATA20" localSheetId="28">#REF!</definedName>
    <definedName name="DATA20" localSheetId="29">#REF!</definedName>
    <definedName name="DATA20" localSheetId="32">#REF!</definedName>
    <definedName name="DATA20" localSheetId="33">#REF!</definedName>
    <definedName name="DATA20" localSheetId="34">#REF!</definedName>
    <definedName name="DATA20" localSheetId="36">#REF!</definedName>
    <definedName name="DATA20" localSheetId="35">#REF!</definedName>
    <definedName name="DATA20" localSheetId="37">#REF!</definedName>
    <definedName name="DATA20" localSheetId="38">#REF!</definedName>
    <definedName name="DATA20" localSheetId="39">#REF!</definedName>
    <definedName name="DATA20" localSheetId="40">#REF!</definedName>
    <definedName name="DATA20" localSheetId="41">#REF!</definedName>
    <definedName name="DATA20" localSheetId="42">#REF!</definedName>
    <definedName name="DATA20" localSheetId="43">#REF!</definedName>
    <definedName name="DATA20" localSheetId="45">#REF!</definedName>
    <definedName name="DATA20" localSheetId="46">#REF!</definedName>
    <definedName name="DATA20" localSheetId="44">#REF!</definedName>
    <definedName name="DATA20" localSheetId="47">#REF!</definedName>
    <definedName name="DATA20">#REF!</definedName>
    <definedName name="DATA21" localSheetId="5">#REF!</definedName>
    <definedName name="DATA21" localSheetId="6">#REF!</definedName>
    <definedName name="DATA21" localSheetId="7">#REF!</definedName>
    <definedName name="DATA21" localSheetId="8">#REF!</definedName>
    <definedName name="DATA21" localSheetId="9">#REF!</definedName>
    <definedName name="DATA21" localSheetId="10">#REF!</definedName>
    <definedName name="DATA21" localSheetId="11">#REF!</definedName>
    <definedName name="DATA21" localSheetId="12">#REF!</definedName>
    <definedName name="DATA21" localSheetId="13">#REF!</definedName>
    <definedName name="DATA21" localSheetId="14">#REF!</definedName>
    <definedName name="DATA21" localSheetId="15">#REF!</definedName>
    <definedName name="DATA21" localSheetId="16">#REF!</definedName>
    <definedName name="DATA21" localSheetId="17">#REF!</definedName>
    <definedName name="DATA21" localSheetId="18">#REF!</definedName>
    <definedName name="DATA21" localSheetId="19">#REF!</definedName>
    <definedName name="DATA21" localSheetId="20">#REF!</definedName>
    <definedName name="DATA21" localSheetId="21">#REF!</definedName>
    <definedName name="DATA21" localSheetId="22">#REF!</definedName>
    <definedName name="DATA21" localSheetId="23">#REF!</definedName>
    <definedName name="DATA21" localSheetId="24">#REF!</definedName>
    <definedName name="DATA21" localSheetId="25">#REF!</definedName>
    <definedName name="DATA21" localSheetId="26">#REF!</definedName>
    <definedName name="DATA21" localSheetId="27">#REF!</definedName>
    <definedName name="DATA21" localSheetId="28">#REF!</definedName>
    <definedName name="DATA21" localSheetId="29">#REF!</definedName>
    <definedName name="DATA21" localSheetId="32">#REF!</definedName>
    <definedName name="DATA21" localSheetId="33">#REF!</definedName>
    <definedName name="DATA21" localSheetId="34">#REF!</definedName>
    <definedName name="DATA21" localSheetId="36">#REF!</definedName>
    <definedName name="DATA21" localSheetId="35">#REF!</definedName>
    <definedName name="DATA21" localSheetId="37">#REF!</definedName>
    <definedName name="DATA21" localSheetId="38">#REF!</definedName>
    <definedName name="DATA21" localSheetId="39">#REF!</definedName>
    <definedName name="DATA21" localSheetId="40">#REF!</definedName>
    <definedName name="DATA21" localSheetId="41">#REF!</definedName>
    <definedName name="DATA21" localSheetId="42">#REF!</definedName>
    <definedName name="DATA21" localSheetId="43">#REF!</definedName>
    <definedName name="DATA21" localSheetId="45">#REF!</definedName>
    <definedName name="DATA21" localSheetId="46">#REF!</definedName>
    <definedName name="DATA21" localSheetId="44">#REF!</definedName>
    <definedName name="DATA21" localSheetId="47">#REF!</definedName>
    <definedName name="DATA21">#REF!</definedName>
    <definedName name="DATA22" localSheetId="5">#REF!</definedName>
    <definedName name="DATA22" localSheetId="6">#REF!</definedName>
    <definedName name="DATA22" localSheetId="7">#REF!</definedName>
    <definedName name="DATA22" localSheetId="8">#REF!</definedName>
    <definedName name="DATA22" localSheetId="9">#REF!</definedName>
    <definedName name="DATA22" localSheetId="10">#REF!</definedName>
    <definedName name="DATA22" localSheetId="11">#REF!</definedName>
    <definedName name="DATA22" localSheetId="12">#REF!</definedName>
    <definedName name="DATA22" localSheetId="13">#REF!</definedName>
    <definedName name="DATA22" localSheetId="14">#REF!</definedName>
    <definedName name="DATA22" localSheetId="15">#REF!</definedName>
    <definedName name="DATA22" localSheetId="16">#REF!</definedName>
    <definedName name="DATA22" localSheetId="17">#REF!</definedName>
    <definedName name="DATA22" localSheetId="18">#REF!</definedName>
    <definedName name="DATA22" localSheetId="19">#REF!</definedName>
    <definedName name="DATA22" localSheetId="20">#REF!</definedName>
    <definedName name="DATA22" localSheetId="21">#REF!</definedName>
    <definedName name="DATA22" localSheetId="22">#REF!</definedName>
    <definedName name="DATA22" localSheetId="23">#REF!</definedName>
    <definedName name="DATA22" localSheetId="24">#REF!</definedName>
    <definedName name="DATA22" localSheetId="25">#REF!</definedName>
    <definedName name="DATA22" localSheetId="26">#REF!</definedName>
    <definedName name="DATA22" localSheetId="27">#REF!</definedName>
    <definedName name="DATA22" localSheetId="28">#REF!</definedName>
    <definedName name="DATA22" localSheetId="29">#REF!</definedName>
    <definedName name="DATA22" localSheetId="32">#REF!</definedName>
    <definedName name="DATA22" localSheetId="33">#REF!</definedName>
    <definedName name="DATA22" localSheetId="34">#REF!</definedName>
    <definedName name="DATA22" localSheetId="36">#REF!</definedName>
    <definedName name="DATA22" localSheetId="35">#REF!</definedName>
    <definedName name="DATA22" localSheetId="37">#REF!</definedName>
    <definedName name="DATA22" localSheetId="38">#REF!</definedName>
    <definedName name="DATA22" localSheetId="39">#REF!</definedName>
    <definedName name="DATA22" localSheetId="40">#REF!</definedName>
    <definedName name="DATA22" localSheetId="41">#REF!</definedName>
    <definedName name="DATA22" localSheetId="42">#REF!</definedName>
    <definedName name="DATA22" localSheetId="43">#REF!</definedName>
    <definedName name="DATA22" localSheetId="45">#REF!</definedName>
    <definedName name="DATA22" localSheetId="46">#REF!</definedName>
    <definedName name="DATA22" localSheetId="44">#REF!</definedName>
    <definedName name="DATA22" localSheetId="47">#REF!</definedName>
    <definedName name="DATA22">#REF!</definedName>
    <definedName name="DATA23" localSheetId="5">#REF!</definedName>
    <definedName name="DATA23" localSheetId="6">#REF!</definedName>
    <definedName name="DATA23" localSheetId="7">#REF!</definedName>
    <definedName name="DATA23" localSheetId="8">#REF!</definedName>
    <definedName name="DATA23" localSheetId="9">#REF!</definedName>
    <definedName name="DATA23" localSheetId="10">#REF!</definedName>
    <definedName name="DATA23" localSheetId="11">#REF!</definedName>
    <definedName name="DATA23" localSheetId="12">#REF!</definedName>
    <definedName name="DATA23" localSheetId="13">#REF!</definedName>
    <definedName name="DATA23" localSheetId="14">#REF!</definedName>
    <definedName name="DATA23" localSheetId="15">#REF!</definedName>
    <definedName name="DATA23" localSheetId="16">#REF!</definedName>
    <definedName name="DATA23" localSheetId="17">#REF!</definedName>
    <definedName name="DATA23" localSheetId="18">#REF!</definedName>
    <definedName name="DATA23" localSheetId="19">#REF!</definedName>
    <definedName name="DATA23" localSheetId="20">#REF!</definedName>
    <definedName name="DATA23" localSheetId="21">#REF!</definedName>
    <definedName name="DATA23" localSheetId="22">#REF!</definedName>
    <definedName name="DATA23" localSheetId="23">#REF!</definedName>
    <definedName name="DATA23" localSheetId="24">#REF!</definedName>
    <definedName name="DATA23" localSheetId="25">#REF!</definedName>
    <definedName name="DATA23" localSheetId="26">#REF!</definedName>
    <definedName name="DATA23" localSheetId="27">#REF!</definedName>
    <definedName name="DATA23" localSheetId="28">#REF!</definedName>
    <definedName name="DATA23" localSheetId="29">#REF!</definedName>
    <definedName name="DATA23" localSheetId="32">#REF!</definedName>
    <definedName name="DATA23" localSheetId="33">#REF!</definedName>
    <definedName name="DATA23" localSheetId="34">#REF!</definedName>
    <definedName name="DATA23" localSheetId="36">#REF!</definedName>
    <definedName name="DATA23" localSheetId="35">#REF!</definedName>
    <definedName name="DATA23" localSheetId="37">#REF!</definedName>
    <definedName name="DATA23" localSheetId="38">#REF!</definedName>
    <definedName name="DATA23" localSheetId="39">#REF!</definedName>
    <definedName name="DATA23" localSheetId="40">#REF!</definedName>
    <definedName name="DATA23" localSheetId="41">#REF!</definedName>
    <definedName name="DATA23" localSheetId="42">#REF!</definedName>
    <definedName name="DATA23" localSheetId="43">#REF!</definedName>
    <definedName name="DATA23" localSheetId="45">#REF!</definedName>
    <definedName name="DATA23" localSheetId="46">#REF!</definedName>
    <definedName name="DATA23" localSheetId="44">#REF!</definedName>
    <definedName name="DATA23" localSheetId="47">#REF!</definedName>
    <definedName name="DATA23">#REF!</definedName>
    <definedName name="DATA24" localSheetId="5">#REF!</definedName>
    <definedName name="DATA24" localSheetId="6">#REF!</definedName>
    <definedName name="DATA24" localSheetId="7">#REF!</definedName>
    <definedName name="DATA24" localSheetId="8">#REF!</definedName>
    <definedName name="DATA24" localSheetId="9">#REF!</definedName>
    <definedName name="DATA24" localSheetId="10">#REF!</definedName>
    <definedName name="DATA24" localSheetId="11">#REF!</definedName>
    <definedName name="DATA24" localSheetId="12">#REF!</definedName>
    <definedName name="DATA24" localSheetId="13">#REF!</definedName>
    <definedName name="DATA24" localSheetId="14">#REF!</definedName>
    <definedName name="DATA24" localSheetId="15">#REF!</definedName>
    <definedName name="DATA24" localSheetId="16">#REF!</definedName>
    <definedName name="DATA24" localSheetId="17">#REF!</definedName>
    <definedName name="DATA24" localSheetId="18">#REF!</definedName>
    <definedName name="DATA24" localSheetId="19">#REF!</definedName>
    <definedName name="DATA24" localSheetId="20">#REF!</definedName>
    <definedName name="DATA24" localSheetId="21">#REF!</definedName>
    <definedName name="DATA24" localSheetId="22">#REF!</definedName>
    <definedName name="DATA24" localSheetId="23">#REF!</definedName>
    <definedName name="DATA24" localSheetId="24">#REF!</definedName>
    <definedName name="DATA24" localSheetId="25">#REF!</definedName>
    <definedName name="DATA24" localSheetId="26">#REF!</definedName>
    <definedName name="DATA24" localSheetId="27">#REF!</definedName>
    <definedName name="DATA24" localSheetId="28">#REF!</definedName>
    <definedName name="DATA24" localSheetId="29">#REF!</definedName>
    <definedName name="DATA24" localSheetId="32">#REF!</definedName>
    <definedName name="DATA24" localSheetId="33">#REF!</definedName>
    <definedName name="DATA24" localSheetId="34">#REF!</definedName>
    <definedName name="DATA24" localSheetId="36">#REF!</definedName>
    <definedName name="DATA24" localSheetId="35">#REF!</definedName>
    <definedName name="DATA24" localSheetId="37">#REF!</definedName>
    <definedName name="DATA24" localSheetId="38">#REF!</definedName>
    <definedName name="DATA24" localSheetId="39">#REF!</definedName>
    <definedName name="DATA24" localSheetId="40">#REF!</definedName>
    <definedName name="DATA24" localSheetId="41">#REF!</definedName>
    <definedName name="DATA24" localSheetId="42">#REF!</definedName>
    <definedName name="DATA24" localSheetId="43">#REF!</definedName>
    <definedName name="DATA24" localSheetId="45">#REF!</definedName>
    <definedName name="DATA24" localSheetId="46">#REF!</definedName>
    <definedName name="DATA24" localSheetId="44">#REF!</definedName>
    <definedName name="DATA24" localSheetId="47">#REF!</definedName>
    <definedName name="DATA24">#REF!</definedName>
    <definedName name="DATA25" localSheetId="5">#REF!</definedName>
    <definedName name="DATA25" localSheetId="6">#REF!</definedName>
    <definedName name="DATA25" localSheetId="7">#REF!</definedName>
    <definedName name="DATA25" localSheetId="8">#REF!</definedName>
    <definedName name="DATA25" localSheetId="9">#REF!</definedName>
    <definedName name="DATA25" localSheetId="10">#REF!</definedName>
    <definedName name="DATA25" localSheetId="11">#REF!</definedName>
    <definedName name="DATA25" localSheetId="12">#REF!</definedName>
    <definedName name="DATA25" localSheetId="13">#REF!</definedName>
    <definedName name="DATA25" localSheetId="14">#REF!</definedName>
    <definedName name="DATA25" localSheetId="15">#REF!</definedName>
    <definedName name="DATA25" localSheetId="16">#REF!</definedName>
    <definedName name="DATA25" localSheetId="17">#REF!</definedName>
    <definedName name="DATA25" localSheetId="18">#REF!</definedName>
    <definedName name="DATA25" localSheetId="19">#REF!</definedName>
    <definedName name="DATA25" localSheetId="20">#REF!</definedName>
    <definedName name="DATA25" localSheetId="21">#REF!</definedName>
    <definedName name="DATA25" localSheetId="22">#REF!</definedName>
    <definedName name="DATA25" localSheetId="23">#REF!</definedName>
    <definedName name="DATA25" localSheetId="24">#REF!</definedName>
    <definedName name="DATA25" localSheetId="25">#REF!</definedName>
    <definedName name="DATA25" localSheetId="26">#REF!</definedName>
    <definedName name="DATA25" localSheetId="27">#REF!</definedName>
    <definedName name="DATA25" localSheetId="28">#REF!</definedName>
    <definedName name="DATA25" localSheetId="29">#REF!</definedName>
    <definedName name="DATA25" localSheetId="32">#REF!</definedName>
    <definedName name="DATA25" localSheetId="33">#REF!</definedName>
    <definedName name="DATA25" localSheetId="34">#REF!</definedName>
    <definedName name="DATA25" localSheetId="36">#REF!</definedName>
    <definedName name="DATA25" localSheetId="35">#REF!</definedName>
    <definedName name="DATA25" localSheetId="37">#REF!</definedName>
    <definedName name="DATA25" localSheetId="38">#REF!</definedName>
    <definedName name="DATA25" localSheetId="39">#REF!</definedName>
    <definedName name="DATA25" localSheetId="40">#REF!</definedName>
    <definedName name="DATA25" localSheetId="41">#REF!</definedName>
    <definedName name="DATA25" localSheetId="42">#REF!</definedName>
    <definedName name="DATA25" localSheetId="43">#REF!</definedName>
    <definedName name="DATA25" localSheetId="45">#REF!</definedName>
    <definedName name="DATA25" localSheetId="46">#REF!</definedName>
    <definedName name="DATA25" localSheetId="44">#REF!</definedName>
    <definedName name="DATA25" localSheetId="47">#REF!</definedName>
    <definedName name="DATA25">#REF!</definedName>
    <definedName name="DATA26" localSheetId="5">#REF!</definedName>
    <definedName name="DATA26" localSheetId="6">#REF!</definedName>
    <definedName name="DATA26" localSheetId="7">#REF!</definedName>
    <definedName name="DATA26" localSheetId="8">#REF!</definedName>
    <definedName name="DATA26" localSheetId="9">#REF!</definedName>
    <definedName name="DATA26" localSheetId="10">#REF!</definedName>
    <definedName name="DATA26" localSheetId="11">#REF!</definedName>
    <definedName name="DATA26" localSheetId="12">#REF!</definedName>
    <definedName name="DATA26" localSheetId="13">#REF!</definedName>
    <definedName name="DATA26" localSheetId="14">#REF!</definedName>
    <definedName name="DATA26" localSheetId="15">#REF!</definedName>
    <definedName name="DATA26" localSheetId="16">#REF!</definedName>
    <definedName name="DATA26" localSheetId="17">#REF!</definedName>
    <definedName name="DATA26" localSheetId="18">#REF!</definedName>
    <definedName name="DATA26" localSheetId="19">#REF!</definedName>
    <definedName name="DATA26" localSheetId="20">#REF!</definedName>
    <definedName name="DATA26" localSheetId="21">#REF!</definedName>
    <definedName name="DATA26" localSheetId="22">#REF!</definedName>
    <definedName name="DATA26" localSheetId="23">#REF!</definedName>
    <definedName name="DATA26" localSheetId="24">#REF!</definedName>
    <definedName name="DATA26" localSheetId="25">#REF!</definedName>
    <definedName name="DATA26" localSheetId="26">#REF!</definedName>
    <definedName name="DATA26" localSheetId="27">#REF!</definedName>
    <definedName name="DATA26" localSheetId="28">#REF!</definedName>
    <definedName name="DATA26" localSheetId="29">#REF!</definedName>
    <definedName name="DATA26" localSheetId="32">#REF!</definedName>
    <definedName name="DATA26" localSheetId="33">#REF!</definedName>
    <definedName name="DATA26" localSheetId="34">#REF!</definedName>
    <definedName name="DATA26" localSheetId="36">#REF!</definedName>
    <definedName name="DATA26" localSheetId="35">#REF!</definedName>
    <definedName name="DATA26" localSheetId="37">#REF!</definedName>
    <definedName name="DATA26" localSheetId="38">#REF!</definedName>
    <definedName name="DATA26" localSheetId="39">#REF!</definedName>
    <definedName name="DATA26" localSheetId="40">#REF!</definedName>
    <definedName name="DATA26" localSheetId="41">#REF!</definedName>
    <definedName name="DATA26" localSheetId="42">#REF!</definedName>
    <definedName name="DATA26" localSheetId="43">#REF!</definedName>
    <definedName name="DATA26" localSheetId="45">#REF!</definedName>
    <definedName name="DATA26" localSheetId="46">#REF!</definedName>
    <definedName name="DATA26" localSheetId="44">#REF!</definedName>
    <definedName name="DATA26" localSheetId="47">#REF!</definedName>
    <definedName name="DATA26">#REF!</definedName>
    <definedName name="DATA27" localSheetId="5">#REF!</definedName>
    <definedName name="DATA27" localSheetId="6">#REF!</definedName>
    <definedName name="DATA27" localSheetId="7">#REF!</definedName>
    <definedName name="DATA27" localSheetId="8">#REF!</definedName>
    <definedName name="DATA27" localSheetId="9">#REF!</definedName>
    <definedName name="DATA27" localSheetId="10">#REF!</definedName>
    <definedName name="DATA27" localSheetId="11">#REF!</definedName>
    <definedName name="DATA27" localSheetId="12">#REF!</definedName>
    <definedName name="DATA27" localSheetId="13">#REF!</definedName>
    <definedName name="DATA27" localSheetId="14">#REF!</definedName>
    <definedName name="DATA27" localSheetId="15">#REF!</definedName>
    <definedName name="DATA27" localSheetId="16">#REF!</definedName>
    <definedName name="DATA27" localSheetId="17">#REF!</definedName>
    <definedName name="DATA27" localSheetId="18">#REF!</definedName>
    <definedName name="DATA27" localSheetId="19">#REF!</definedName>
    <definedName name="DATA27" localSheetId="20">#REF!</definedName>
    <definedName name="DATA27" localSheetId="21">#REF!</definedName>
    <definedName name="DATA27" localSheetId="22">#REF!</definedName>
    <definedName name="DATA27" localSheetId="23">#REF!</definedName>
    <definedName name="DATA27" localSheetId="24">#REF!</definedName>
    <definedName name="DATA27" localSheetId="25">#REF!</definedName>
    <definedName name="DATA27" localSheetId="26">#REF!</definedName>
    <definedName name="DATA27" localSheetId="27">#REF!</definedName>
    <definedName name="DATA27" localSheetId="28">#REF!</definedName>
    <definedName name="DATA27" localSheetId="29">#REF!</definedName>
    <definedName name="DATA27" localSheetId="32">#REF!</definedName>
    <definedName name="DATA27" localSheetId="33">#REF!</definedName>
    <definedName name="DATA27" localSheetId="34">#REF!</definedName>
    <definedName name="DATA27" localSheetId="36">#REF!</definedName>
    <definedName name="DATA27" localSheetId="35">#REF!</definedName>
    <definedName name="DATA27" localSheetId="37">#REF!</definedName>
    <definedName name="DATA27" localSheetId="38">#REF!</definedName>
    <definedName name="DATA27" localSheetId="39">#REF!</definedName>
    <definedName name="DATA27" localSheetId="40">#REF!</definedName>
    <definedName name="DATA27" localSheetId="41">#REF!</definedName>
    <definedName name="DATA27" localSheetId="42">#REF!</definedName>
    <definedName name="DATA27" localSheetId="43">#REF!</definedName>
    <definedName name="DATA27" localSheetId="45">#REF!</definedName>
    <definedName name="DATA27" localSheetId="46">#REF!</definedName>
    <definedName name="DATA27" localSheetId="44">#REF!</definedName>
    <definedName name="DATA27" localSheetId="47">#REF!</definedName>
    <definedName name="DATA27">#REF!</definedName>
    <definedName name="DATA28" localSheetId="5">#REF!</definedName>
    <definedName name="DATA28" localSheetId="6">#REF!</definedName>
    <definedName name="DATA28" localSheetId="7">#REF!</definedName>
    <definedName name="DATA28" localSheetId="8">#REF!</definedName>
    <definedName name="DATA28" localSheetId="9">#REF!</definedName>
    <definedName name="DATA28" localSheetId="10">#REF!</definedName>
    <definedName name="DATA28" localSheetId="11">#REF!</definedName>
    <definedName name="DATA28" localSheetId="12">#REF!</definedName>
    <definedName name="DATA28" localSheetId="13">#REF!</definedName>
    <definedName name="DATA28" localSheetId="14">#REF!</definedName>
    <definedName name="DATA28" localSheetId="15">#REF!</definedName>
    <definedName name="DATA28" localSheetId="16">#REF!</definedName>
    <definedName name="DATA28" localSheetId="17">#REF!</definedName>
    <definedName name="DATA28" localSheetId="18">#REF!</definedName>
    <definedName name="DATA28" localSheetId="19">#REF!</definedName>
    <definedName name="DATA28" localSheetId="20">#REF!</definedName>
    <definedName name="DATA28" localSheetId="21">#REF!</definedName>
    <definedName name="DATA28" localSheetId="22">#REF!</definedName>
    <definedName name="DATA28" localSheetId="23">#REF!</definedName>
    <definedName name="DATA28" localSheetId="24">#REF!</definedName>
    <definedName name="DATA28" localSheetId="25">#REF!</definedName>
    <definedName name="DATA28" localSheetId="26">#REF!</definedName>
    <definedName name="DATA28" localSheetId="27">#REF!</definedName>
    <definedName name="DATA28" localSheetId="28">#REF!</definedName>
    <definedName name="DATA28" localSheetId="29">#REF!</definedName>
    <definedName name="DATA28" localSheetId="32">#REF!</definedName>
    <definedName name="DATA28" localSheetId="33">#REF!</definedName>
    <definedName name="DATA28" localSheetId="34">#REF!</definedName>
    <definedName name="DATA28" localSheetId="36">#REF!</definedName>
    <definedName name="DATA28" localSheetId="35">#REF!</definedName>
    <definedName name="DATA28" localSheetId="37">#REF!</definedName>
    <definedName name="DATA28" localSheetId="38">#REF!</definedName>
    <definedName name="DATA28" localSheetId="39">#REF!</definedName>
    <definedName name="DATA28" localSheetId="40">#REF!</definedName>
    <definedName name="DATA28" localSheetId="41">#REF!</definedName>
    <definedName name="DATA28" localSheetId="42">#REF!</definedName>
    <definedName name="DATA28" localSheetId="43">#REF!</definedName>
    <definedName name="DATA28" localSheetId="45">#REF!</definedName>
    <definedName name="DATA28" localSheetId="46">#REF!</definedName>
    <definedName name="DATA28" localSheetId="44">#REF!</definedName>
    <definedName name="DATA28" localSheetId="47">#REF!</definedName>
    <definedName name="DATA28">#REF!</definedName>
    <definedName name="DATA29" localSheetId="5">#REF!</definedName>
    <definedName name="DATA29" localSheetId="6">#REF!</definedName>
    <definedName name="DATA29" localSheetId="7">#REF!</definedName>
    <definedName name="DATA29" localSheetId="8">#REF!</definedName>
    <definedName name="DATA29" localSheetId="9">#REF!</definedName>
    <definedName name="DATA29" localSheetId="10">#REF!</definedName>
    <definedName name="DATA29" localSheetId="11">#REF!</definedName>
    <definedName name="DATA29" localSheetId="12">#REF!</definedName>
    <definedName name="DATA29" localSheetId="13">#REF!</definedName>
    <definedName name="DATA29" localSheetId="14">#REF!</definedName>
    <definedName name="DATA29" localSheetId="15">#REF!</definedName>
    <definedName name="DATA29" localSheetId="16">#REF!</definedName>
    <definedName name="DATA29" localSheetId="17">#REF!</definedName>
    <definedName name="DATA29" localSheetId="18">#REF!</definedName>
    <definedName name="DATA29" localSheetId="19">#REF!</definedName>
    <definedName name="DATA29" localSheetId="20">#REF!</definedName>
    <definedName name="DATA29" localSheetId="21">#REF!</definedName>
    <definedName name="DATA29" localSheetId="22">#REF!</definedName>
    <definedName name="DATA29" localSheetId="23">#REF!</definedName>
    <definedName name="DATA29" localSheetId="24">#REF!</definedName>
    <definedName name="DATA29" localSheetId="25">#REF!</definedName>
    <definedName name="DATA29" localSheetId="26">#REF!</definedName>
    <definedName name="DATA29" localSheetId="27">#REF!</definedName>
    <definedName name="DATA29" localSheetId="28">#REF!</definedName>
    <definedName name="DATA29" localSheetId="29">#REF!</definedName>
    <definedName name="DATA29" localSheetId="32">#REF!</definedName>
    <definedName name="DATA29" localSheetId="33">#REF!</definedName>
    <definedName name="DATA29" localSheetId="34">#REF!</definedName>
    <definedName name="DATA29" localSheetId="36">#REF!</definedName>
    <definedName name="DATA29" localSheetId="35">#REF!</definedName>
    <definedName name="DATA29" localSheetId="37">#REF!</definedName>
    <definedName name="DATA29" localSheetId="38">#REF!</definedName>
    <definedName name="DATA29" localSheetId="39">#REF!</definedName>
    <definedName name="DATA29" localSheetId="40">#REF!</definedName>
    <definedName name="DATA29" localSheetId="41">#REF!</definedName>
    <definedName name="DATA29" localSheetId="42">#REF!</definedName>
    <definedName name="DATA29" localSheetId="43">#REF!</definedName>
    <definedName name="DATA29" localSheetId="45">#REF!</definedName>
    <definedName name="DATA29" localSheetId="46">#REF!</definedName>
    <definedName name="DATA29" localSheetId="44">#REF!</definedName>
    <definedName name="DATA29" localSheetId="47">#REF!</definedName>
    <definedName name="DATA29">#REF!</definedName>
    <definedName name="DATA3">#REF!</definedName>
    <definedName name="DATA30" localSheetId="5">#REF!</definedName>
    <definedName name="DATA30" localSheetId="6">#REF!</definedName>
    <definedName name="DATA30" localSheetId="7">#REF!</definedName>
    <definedName name="DATA30" localSheetId="8">#REF!</definedName>
    <definedName name="DATA30" localSheetId="9">#REF!</definedName>
    <definedName name="DATA30" localSheetId="10">#REF!</definedName>
    <definedName name="DATA30" localSheetId="11">#REF!</definedName>
    <definedName name="DATA30" localSheetId="12">#REF!</definedName>
    <definedName name="DATA30" localSheetId="13">#REF!</definedName>
    <definedName name="DATA30" localSheetId="14">#REF!</definedName>
    <definedName name="DATA30" localSheetId="15">#REF!</definedName>
    <definedName name="DATA30" localSheetId="16">#REF!</definedName>
    <definedName name="DATA30" localSheetId="17">#REF!</definedName>
    <definedName name="DATA30" localSheetId="18">#REF!</definedName>
    <definedName name="DATA30" localSheetId="19">#REF!</definedName>
    <definedName name="DATA30" localSheetId="20">#REF!</definedName>
    <definedName name="DATA30" localSheetId="21">#REF!</definedName>
    <definedName name="DATA30" localSheetId="22">#REF!</definedName>
    <definedName name="DATA30" localSheetId="23">#REF!</definedName>
    <definedName name="DATA30" localSheetId="24">#REF!</definedName>
    <definedName name="DATA30" localSheetId="25">#REF!</definedName>
    <definedName name="DATA30" localSheetId="26">#REF!</definedName>
    <definedName name="DATA30" localSheetId="27">#REF!</definedName>
    <definedName name="DATA30" localSheetId="28">#REF!</definedName>
    <definedName name="DATA30" localSheetId="29">#REF!</definedName>
    <definedName name="DATA30" localSheetId="32">#REF!</definedName>
    <definedName name="DATA30" localSheetId="33">#REF!</definedName>
    <definedName name="DATA30" localSheetId="34">#REF!</definedName>
    <definedName name="DATA30" localSheetId="36">#REF!</definedName>
    <definedName name="DATA30" localSheetId="35">#REF!</definedName>
    <definedName name="DATA30" localSheetId="37">#REF!</definedName>
    <definedName name="DATA30" localSheetId="38">#REF!</definedName>
    <definedName name="DATA30" localSheetId="39">#REF!</definedName>
    <definedName name="DATA30" localSheetId="40">#REF!</definedName>
    <definedName name="DATA30" localSheetId="41">#REF!</definedName>
    <definedName name="DATA30" localSheetId="42">#REF!</definedName>
    <definedName name="DATA30" localSheetId="43">#REF!</definedName>
    <definedName name="DATA30" localSheetId="45">#REF!</definedName>
    <definedName name="DATA30" localSheetId="46">#REF!</definedName>
    <definedName name="DATA30" localSheetId="44">#REF!</definedName>
    <definedName name="DATA30" localSheetId="47">#REF!</definedName>
    <definedName name="DATA30" localSheetId="0">#REF!</definedName>
    <definedName name="DATA30">#REF!</definedName>
    <definedName name="DATA31" localSheetId="5">#REF!</definedName>
    <definedName name="DATA31" localSheetId="6">#REF!</definedName>
    <definedName name="DATA31" localSheetId="7">#REF!</definedName>
    <definedName name="DATA31" localSheetId="8">#REF!</definedName>
    <definedName name="DATA31" localSheetId="9">#REF!</definedName>
    <definedName name="DATA31" localSheetId="10">#REF!</definedName>
    <definedName name="DATA31" localSheetId="11">#REF!</definedName>
    <definedName name="DATA31" localSheetId="12">#REF!</definedName>
    <definedName name="DATA31" localSheetId="13">#REF!</definedName>
    <definedName name="DATA31" localSheetId="14">#REF!</definedName>
    <definedName name="DATA31" localSheetId="15">#REF!</definedName>
    <definedName name="DATA31" localSheetId="16">#REF!</definedName>
    <definedName name="DATA31" localSheetId="17">#REF!</definedName>
    <definedName name="DATA31" localSheetId="18">#REF!</definedName>
    <definedName name="DATA31" localSheetId="19">#REF!</definedName>
    <definedName name="DATA31" localSheetId="20">#REF!</definedName>
    <definedName name="DATA31" localSheetId="21">#REF!</definedName>
    <definedName name="DATA31" localSheetId="22">#REF!</definedName>
    <definedName name="DATA31" localSheetId="23">#REF!</definedName>
    <definedName name="DATA31" localSheetId="24">#REF!</definedName>
    <definedName name="DATA31" localSheetId="25">#REF!</definedName>
    <definedName name="DATA31" localSheetId="26">#REF!</definedName>
    <definedName name="DATA31" localSheetId="27">#REF!</definedName>
    <definedName name="DATA31" localSheetId="28">#REF!</definedName>
    <definedName name="DATA31" localSheetId="29">#REF!</definedName>
    <definedName name="DATA31" localSheetId="32">#REF!</definedName>
    <definedName name="DATA31" localSheetId="33">#REF!</definedName>
    <definedName name="DATA31" localSheetId="34">#REF!</definedName>
    <definedName name="DATA31" localSheetId="36">#REF!</definedName>
    <definedName name="DATA31" localSheetId="35">#REF!</definedName>
    <definedName name="DATA31" localSheetId="37">#REF!</definedName>
    <definedName name="DATA31" localSheetId="38">#REF!</definedName>
    <definedName name="DATA31" localSheetId="39">#REF!</definedName>
    <definedName name="DATA31" localSheetId="40">#REF!</definedName>
    <definedName name="DATA31" localSheetId="41">#REF!</definedName>
    <definedName name="DATA31" localSheetId="42">#REF!</definedName>
    <definedName name="DATA31" localSheetId="43">#REF!</definedName>
    <definedName name="DATA31" localSheetId="45">#REF!</definedName>
    <definedName name="DATA31" localSheetId="46">#REF!</definedName>
    <definedName name="DATA31" localSheetId="44">#REF!</definedName>
    <definedName name="DATA31" localSheetId="47">#REF!</definedName>
    <definedName name="DATA31">#REF!</definedName>
    <definedName name="DATA32" localSheetId="5">#REF!</definedName>
    <definedName name="DATA32" localSheetId="6">#REF!</definedName>
    <definedName name="DATA32" localSheetId="7">#REF!</definedName>
    <definedName name="DATA32" localSheetId="8">#REF!</definedName>
    <definedName name="DATA32" localSheetId="9">#REF!</definedName>
    <definedName name="DATA32" localSheetId="10">#REF!</definedName>
    <definedName name="DATA32" localSheetId="11">#REF!</definedName>
    <definedName name="DATA32" localSheetId="12">#REF!</definedName>
    <definedName name="DATA32" localSheetId="13">#REF!</definedName>
    <definedName name="DATA32" localSheetId="14">#REF!</definedName>
    <definedName name="DATA32" localSheetId="15">#REF!</definedName>
    <definedName name="DATA32" localSheetId="16">#REF!</definedName>
    <definedName name="DATA32" localSheetId="17">#REF!</definedName>
    <definedName name="DATA32" localSheetId="18">#REF!</definedName>
    <definedName name="DATA32" localSheetId="19">#REF!</definedName>
    <definedName name="DATA32" localSheetId="20">#REF!</definedName>
    <definedName name="DATA32" localSheetId="21">#REF!</definedName>
    <definedName name="DATA32" localSheetId="22">#REF!</definedName>
    <definedName name="DATA32" localSheetId="23">#REF!</definedName>
    <definedName name="DATA32" localSheetId="24">#REF!</definedName>
    <definedName name="DATA32" localSheetId="25">#REF!</definedName>
    <definedName name="DATA32" localSheetId="26">#REF!</definedName>
    <definedName name="DATA32" localSheetId="27">#REF!</definedName>
    <definedName name="DATA32" localSheetId="28">#REF!</definedName>
    <definedName name="DATA32" localSheetId="29">#REF!</definedName>
    <definedName name="DATA32" localSheetId="32">#REF!</definedName>
    <definedName name="DATA32" localSheetId="33">#REF!</definedName>
    <definedName name="DATA32" localSheetId="34">#REF!</definedName>
    <definedName name="DATA32" localSheetId="36">#REF!</definedName>
    <definedName name="DATA32" localSheetId="35">#REF!</definedName>
    <definedName name="DATA32" localSheetId="37">#REF!</definedName>
    <definedName name="DATA32" localSheetId="38">#REF!</definedName>
    <definedName name="DATA32" localSheetId="39">#REF!</definedName>
    <definedName name="DATA32" localSheetId="40">#REF!</definedName>
    <definedName name="DATA32" localSheetId="41">#REF!</definedName>
    <definedName name="DATA32" localSheetId="42">#REF!</definedName>
    <definedName name="DATA32" localSheetId="43">#REF!</definedName>
    <definedName name="DATA32" localSheetId="45">#REF!</definedName>
    <definedName name="DATA32" localSheetId="46">#REF!</definedName>
    <definedName name="DATA32" localSheetId="44">#REF!</definedName>
    <definedName name="DATA32" localSheetId="47">#REF!</definedName>
    <definedName name="DATA32">#REF!</definedName>
    <definedName name="DATA33" localSheetId="5">#REF!</definedName>
    <definedName name="DATA33" localSheetId="6">#REF!</definedName>
    <definedName name="DATA33" localSheetId="7">#REF!</definedName>
    <definedName name="DATA33" localSheetId="8">#REF!</definedName>
    <definedName name="DATA33" localSheetId="9">#REF!</definedName>
    <definedName name="DATA33" localSheetId="10">#REF!</definedName>
    <definedName name="DATA33" localSheetId="11">#REF!</definedName>
    <definedName name="DATA33" localSheetId="12">#REF!</definedName>
    <definedName name="DATA33" localSheetId="13">#REF!</definedName>
    <definedName name="DATA33" localSheetId="14">#REF!</definedName>
    <definedName name="DATA33" localSheetId="15">#REF!</definedName>
    <definedName name="DATA33" localSheetId="16">#REF!</definedName>
    <definedName name="DATA33" localSheetId="17">#REF!</definedName>
    <definedName name="DATA33" localSheetId="18">#REF!</definedName>
    <definedName name="DATA33" localSheetId="19">#REF!</definedName>
    <definedName name="DATA33" localSheetId="20">#REF!</definedName>
    <definedName name="DATA33" localSheetId="21">#REF!</definedName>
    <definedName name="DATA33" localSheetId="22">#REF!</definedName>
    <definedName name="DATA33" localSheetId="23">#REF!</definedName>
    <definedName name="DATA33" localSheetId="24">#REF!</definedName>
    <definedName name="DATA33" localSheetId="25">#REF!</definedName>
    <definedName name="DATA33" localSheetId="26">#REF!</definedName>
    <definedName name="DATA33" localSheetId="27">#REF!</definedName>
    <definedName name="DATA33" localSheetId="28">#REF!</definedName>
    <definedName name="DATA33" localSheetId="29">#REF!</definedName>
    <definedName name="DATA33" localSheetId="32">#REF!</definedName>
    <definedName name="DATA33" localSheetId="33">#REF!</definedName>
    <definedName name="DATA33" localSheetId="34">#REF!</definedName>
    <definedName name="DATA33" localSheetId="36">#REF!</definedName>
    <definedName name="DATA33" localSheetId="35">#REF!</definedName>
    <definedName name="DATA33" localSheetId="37">#REF!</definedName>
    <definedName name="DATA33" localSheetId="38">#REF!</definedName>
    <definedName name="DATA33" localSheetId="39">#REF!</definedName>
    <definedName name="DATA33" localSheetId="40">#REF!</definedName>
    <definedName name="DATA33" localSheetId="41">#REF!</definedName>
    <definedName name="DATA33" localSheetId="42">#REF!</definedName>
    <definedName name="DATA33" localSheetId="43">#REF!</definedName>
    <definedName name="DATA33" localSheetId="45">#REF!</definedName>
    <definedName name="DATA33" localSheetId="46">#REF!</definedName>
    <definedName name="DATA33" localSheetId="44">#REF!</definedName>
    <definedName name="DATA33" localSheetId="47">#REF!</definedName>
    <definedName name="DATA33">#REF!</definedName>
    <definedName name="DATA34" localSheetId="5">#REF!</definedName>
    <definedName name="DATA34" localSheetId="6">#REF!</definedName>
    <definedName name="DATA34" localSheetId="7">#REF!</definedName>
    <definedName name="DATA34" localSheetId="8">#REF!</definedName>
    <definedName name="DATA34" localSheetId="9">#REF!</definedName>
    <definedName name="DATA34" localSheetId="10">#REF!</definedName>
    <definedName name="DATA34" localSheetId="11">#REF!</definedName>
    <definedName name="DATA34" localSheetId="12">#REF!</definedName>
    <definedName name="DATA34" localSheetId="13">#REF!</definedName>
    <definedName name="DATA34" localSheetId="14">#REF!</definedName>
    <definedName name="DATA34" localSheetId="15">#REF!</definedName>
    <definedName name="DATA34" localSheetId="16">#REF!</definedName>
    <definedName name="DATA34" localSheetId="17">#REF!</definedName>
    <definedName name="DATA34" localSheetId="18">#REF!</definedName>
    <definedName name="DATA34" localSheetId="19">#REF!</definedName>
    <definedName name="DATA34" localSheetId="20">#REF!</definedName>
    <definedName name="DATA34" localSheetId="21">#REF!</definedName>
    <definedName name="DATA34" localSheetId="22">#REF!</definedName>
    <definedName name="DATA34" localSheetId="23">#REF!</definedName>
    <definedName name="DATA34" localSheetId="24">#REF!</definedName>
    <definedName name="DATA34" localSheetId="25">#REF!</definedName>
    <definedName name="DATA34" localSheetId="26">#REF!</definedName>
    <definedName name="DATA34" localSheetId="27">#REF!</definedName>
    <definedName name="DATA34" localSheetId="28">#REF!</definedName>
    <definedName name="DATA34" localSheetId="29">#REF!</definedName>
    <definedName name="DATA34" localSheetId="32">#REF!</definedName>
    <definedName name="DATA34" localSheetId="33">#REF!</definedName>
    <definedName name="DATA34" localSheetId="34">#REF!</definedName>
    <definedName name="DATA34" localSheetId="36">#REF!</definedName>
    <definedName name="DATA34" localSheetId="35">#REF!</definedName>
    <definedName name="DATA34" localSheetId="37">#REF!</definedName>
    <definedName name="DATA34" localSheetId="38">#REF!</definedName>
    <definedName name="DATA34" localSheetId="39">#REF!</definedName>
    <definedName name="DATA34" localSheetId="40">#REF!</definedName>
    <definedName name="DATA34" localSheetId="41">#REF!</definedName>
    <definedName name="DATA34" localSheetId="42">#REF!</definedName>
    <definedName name="DATA34" localSheetId="43">#REF!</definedName>
    <definedName name="DATA34" localSheetId="45">#REF!</definedName>
    <definedName name="DATA34" localSheetId="46">#REF!</definedName>
    <definedName name="DATA34" localSheetId="44">#REF!</definedName>
    <definedName name="DATA34" localSheetId="47">#REF!</definedName>
    <definedName name="DATA34">#REF!</definedName>
    <definedName name="DATA35" localSheetId="5">#REF!</definedName>
    <definedName name="DATA35" localSheetId="6">#REF!</definedName>
    <definedName name="DATA35" localSheetId="7">#REF!</definedName>
    <definedName name="DATA35" localSheetId="8">#REF!</definedName>
    <definedName name="DATA35" localSheetId="9">#REF!</definedName>
    <definedName name="DATA35" localSheetId="10">#REF!</definedName>
    <definedName name="DATA35" localSheetId="11">#REF!</definedName>
    <definedName name="DATA35" localSheetId="12">#REF!</definedName>
    <definedName name="DATA35" localSheetId="13">#REF!</definedName>
    <definedName name="DATA35" localSheetId="14">#REF!</definedName>
    <definedName name="DATA35" localSheetId="15">#REF!</definedName>
    <definedName name="DATA35" localSheetId="16">#REF!</definedName>
    <definedName name="DATA35" localSheetId="17">#REF!</definedName>
    <definedName name="DATA35" localSheetId="18">#REF!</definedName>
    <definedName name="DATA35" localSheetId="19">#REF!</definedName>
    <definedName name="DATA35" localSheetId="20">#REF!</definedName>
    <definedName name="DATA35" localSheetId="21">#REF!</definedName>
    <definedName name="DATA35" localSheetId="22">#REF!</definedName>
    <definedName name="DATA35" localSheetId="23">#REF!</definedName>
    <definedName name="DATA35" localSheetId="24">#REF!</definedName>
    <definedName name="DATA35" localSheetId="25">#REF!</definedName>
    <definedName name="DATA35" localSheetId="26">#REF!</definedName>
    <definedName name="DATA35" localSheetId="27">#REF!</definedName>
    <definedName name="DATA35" localSheetId="28">#REF!</definedName>
    <definedName name="DATA35" localSheetId="29">#REF!</definedName>
    <definedName name="DATA35" localSheetId="32">#REF!</definedName>
    <definedName name="DATA35" localSheetId="33">#REF!</definedName>
    <definedName name="DATA35" localSheetId="34">#REF!</definedName>
    <definedName name="DATA35" localSheetId="36">#REF!</definedName>
    <definedName name="DATA35" localSheetId="35">#REF!</definedName>
    <definedName name="DATA35" localSheetId="37">#REF!</definedName>
    <definedName name="DATA35" localSheetId="38">#REF!</definedName>
    <definedName name="DATA35" localSheetId="39">#REF!</definedName>
    <definedName name="DATA35" localSheetId="40">#REF!</definedName>
    <definedName name="DATA35" localSheetId="41">#REF!</definedName>
    <definedName name="DATA35" localSheetId="42">#REF!</definedName>
    <definedName name="DATA35" localSheetId="43">#REF!</definedName>
    <definedName name="DATA35" localSheetId="45">#REF!</definedName>
    <definedName name="DATA35" localSheetId="46">#REF!</definedName>
    <definedName name="DATA35" localSheetId="44">#REF!</definedName>
    <definedName name="DATA35" localSheetId="47">#REF!</definedName>
    <definedName name="DATA35">#REF!</definedName>
    <definedName name="DATA36" localSheetId="5">#REF!</definedName>
    <definedName name="DATA36" localSheetId="6">#REF!</definedName>
    <definedName name="DATA36" localSheetId="7">#REF!</definedName>
    <definedName name="DATA36" localSheetId="8">#REF!</definedName>
    <definedName name="DATA36" localSheetId="9">#REF!</definedName>
    <definedName name="DATA36" localSheetId="10">#REF!</definedName>
    <definedName name="DATA36" localSheetId="11">#REF!</definedName>
    <definedName name="DATA36" localSheetId="12">#REF!</definedName>
    <definedName name="DATA36" localSheetId="13">#REF!</definedName>
    <definedName name="DATA36" localSheetId="14">#REF!</definedName>
    <definedName name="DATA36" localSheetId="15">#REF!</definedName>
    <definedName name="DATA36" localSheetId="16">#REF!</definedName>
    <definedName name="DATA36" localSheetId="17">#REF!</definedName>
    <definedName name="DATA36" localSheetId="18">#REF!</definedName>
    <definedName name="DATA36" localSheetId="19">#REF!</definedName>
    <definedName name="DATA36" localSheetId="20">#REF!</definedName>
    <definedName name="DATA36" localSheetId="21">#REF!</definedName>
    <definedName name="DATA36" localSheetId="22">#REF!</definedName>
    <definedName name="DATA36" localSheetId="23">#REF!</definedName>
    <definedName name="DATA36" localSheetId="24">#REF!</definedName>
    <definedName name="DATA36" localSheetId="25">#REF!</definedName>
    <definedName name="DATA36" localSheetId="26">#REF!</definedName>
    <definedName name="DATA36" localSheetId="27">#REF!</definedName>
    <definedName name="DATA36" localSheetId="28">#REF!</definedName>
    <definedName name="DATA36" localSheetId="29">#REF!</definedName>
    <definedName name="DATA36" localSheetId="32">#REF!</definedName>
    <definedName name="DATA36" localSheetId="33">#REF!</definedName>
    <definedName name="DATA36" localSheetId="34">#REF!</definedName>
    <definedName name="DATA36" localSheetId="36">#REF!</definedName>
    <definedName name="DATA36" localSheetId="35">#REF!</definedName>
    <definedName name="DATA36" localSheetId="37">#REF!</definedName>
    <definedName name="DATA36" localSheetId="38">#REF!</definedName>
    <definedName name="DATA36" localSheetId="39">#REF!</definedName>
    <definedName name="DATA36" localSheetId="40">#REF!</definedName>
    <definedName name="DATA36" localSheetId="41">#REF!</definedName>
    <definedName name="DATA36" localSheetId="42">#REF!</definedName>
    <definedName name="DATA36" localSheetId="43">#REF!</definedName>
    <definedName name="DATA36" localSheetId="45">#REF!</definedName>
    <definedName name="DATA36" localSheetId="46">#REF!</definedName>
    <definedName name="DATA36" localSheetId="44">#REF!</definedName>
    <definedName name="DATA36" localSheetId="47">#REF!</definedName>
    <definedName name="DATA36">#REF!</definedName>
    <definedName name="DATA37" localSheetId="5">#REF!</definedName>
    <definedName name="DATA37" localSheetId="6">#REF!</definedName>
    <definedName name="DATA37" localSheetId="7">#REF!</definedName>
    <definedName name="DATA37" localSheetId="8">#REF!</definedName>
    <definedName name="DATA37" localSheetId="9">#REF!</definedName>
    <definedName name="DATA37" localSheetId="10">#REF!</definedName>
    <definedName name="DATA37" localSheetId="11">#REF!</definedName>
    <definedName name="DATA37" localSheetId="12">#REF!</definedName>
    <definedName name="DATA37" localSheetId="13">#REF!</definedName>
    <definedName name="DATA37" localSheetId="14">#REF!</definedName>
    <definedName name="DATA37" localSheetId="15">#REF!</definedName>
    <definedName name="DATA37" localSheetId="16">#REF!</definedName>
    <definedName name="DATA37" localSheetId="17">#REF!</definedName>
    <definedName name="DATA37" localSheetId="18">#REF!</definedName>
    <definedName name="DATA37" localSheetId="19">#REF!</definedName>
    <definedName name="DATA37" localSheetId="20">#REF!</definedName>
    <definedName name="DATA37" localSheetId="21">#REF!</definedName>
    <definedName name="DATA37" localSheetId="22">#REF!</definedName>
    <definedName name="DATA37" localSheetId="23">#REF!</definedName>
    <definedName name="DATA37" localSheetId="24">#REF!</definedName>
    <definedName name="DATA37" localSheetId="25">#REF!</definedName>
    <definedName name="DATA37" localSheetId="26">#REF!</definedName>
    <definedName name="DATA37" localSheetId="27">#REF!</definedName>
    <definedName name="DATA37" localSheetId="28">#REF!</definedName>
    <definedName name="DATA37" localSheetId="29">#REF!</definedName>
    <definedName name="DATA37" localSheetId="32">#REF!</definedName>
    <definedName name="DATA37" localSheetId="33">#REF!</definedName>
    <definedName name="DATA37" localSheetId="34">#REF!</definedName>
    <definedName name="DATA37" localSheetId="36">#REF!</definedName>
    <definedName name="DATA37" localSheetId="35">#REF!</definedName>
    <definedName name="DATA37" localSheetId="37">#REF!</definedName>
    <definedName name="DATA37" localSheetId="38">#REF!</definedName>
    <definedName name="DATA37" localSheetId="39">#REF!</definedName>
    <definedName name="DATA37" localSheetId="40">#REF!</definedName>
    <definedName name="DATA37" localSheetId="41">#REF!</definedName>
    <definedName name="DATA37" localSheetId="42">#REF!</definedName>
    <definedName name="DATA37" localSheetId="43">#REF!</definedName>
    <definedName name="DATA37" localSheetId="45">#REF!</definedName>
    <definedName name="DATA37" localSheetId="46">#REF!</definedName>
    <definedName name="DATA37" localSheetId="44">#REF!</definedName>
    <definedName name="DATA37" localSheetId="47">#REF!</definedName>
    <definedName name="DATA37">#REF!</definedName>
    <definedName name="DATA38" localSheetId="5">#REF!</definedName>
    <definedName name="DATA38" localSheetId="6">#REF!</definedName>
    <definedName name="DATA38" localSheetId="7">#REF!</definedName>
    <definedName name="DATA38" localSheetId="8">#REF!</definedName>
    <definedName name="DATA38" localSheetId="9">#REF!</definedName>
    <definedName name="DATA38" localSheetId="10">#REF!</definedName>
    <definedName name="DATA38" localSheetId="11">#REF!</definedName>
    <definedName name="DATA38" localSheetId="12">#REF!</definedName>
    <definedName name="DATA38" localSheetId="13">#REF!</definedName>
    <definedName name="DATA38" localSheetId="14">#REF!</definedName>
    <definedName name="DATA38" localSheetId="15">#REF!</definedName>
    <definedName name="DATA38" localSheetId="16">#REF!</definedName>
    <definedName name="DATA38" localSheetId="17">#REF!</definedName>
    <definedName name="DATA38" localSheetId="18">#REF!</definedName>
    <definedName name="DATA38" localSheetId="19">#REF!</definedName>
    <definedName name="DATA38" localSheetId="20">#REF!</definedName>
    <definedName name="DATA38" localSheetId="21">#REF!</definedName>
    <definedName name="DATA38" localSheetId="22">#REF!</definedName>
    <definedName name="DATA38" localSheetId="23">#REF!</definedName>
    <definedName name="DATA38" localSheetId="24">#REF!</definedName>
    <definedName name="DATA38" localSheetId="25">#REF!</definedName>
    <definedName name="DATA38" localSheetId="26">#REF!</definedName>
    <definedName name="DATA38" localSheetId="27">#REF!</definedName>
    <definedName name="DATA38" localSheetId="28">#REF!</definedName>
    <definedName name="DATA38" localSheetId="29">#REF!</definedName>
    <definedName name="DATA38" localSheetId="32">#REF!</definedName>
    <definedName name="DATA38" localSheetId="33">#REF!</definedName>
    <definedName name="DATA38" localSheetId="34">#REF!</definedName>
    <definedName name="DATA38" localSheetId="36">#REF!</definedName>
    <definedName name="DATA38" localSheetId="35">#REF!</definedName>
    <definedName name="DATA38" localSheetId="37">#REF!</definedName>
    <definedName name="DATA38" localSheetId="38">#REF!</definedName>
    <definedName name="DATA38" localSheetId="39">#REF!</definedName>
    <definedName name="DATA38" localSheetId="40">#REF!</definedName>
    <definedName name="DATA38" localSheetId="41">#REF!</definedName>
    <definedName name="DATA38" localSheetId="42">#REF!</definedName>
    <definedName name="DATA38" localSheetId="43">#REF!</definedName>
    <definedName name="DATA38" localSheetId="45">#REF!</definedName>
    <definedName name="DATA38" localSheetId="46">#REF!</definedName>
    <definedName name="DATA38" localSheetId="44">#REF!</definedName>
    <definedName name="DATA38" localSheetId="47">#REF!</definedName>
    <definedName name="DATA38">#REF!</definedName>
    <definedName name="DATA39" localSheetId="5">#REF!</definedName>
    <definedName name="DATA39" localSheetId="6">#REF!</definedName>
    <definedName name="DATA39" localSheetId="7">#REF!</definedName>
    <definedName name="DATA39" localSheetId="8">#REF!</definedName>
    <definedName name="DATA39" localSheetId="9">#REF!</definedName>
    <definedName name="DATA39" localSheetId="10">#REF!</definedName>
    <definedName name="DATA39" localSheetId="11">#REF!</definedName>
    <definedName name="DATA39" localSheetId="12">#REF!</definedName>
    <definedName name="DATA39" localSheetId="13">#REF!</definedName>
    <definedName name="DATA39" localSheetId="14">#REF!</definedName>
    <definedName name="DATA39" localSheetId="15">#REF!</definedName>
    <definedName name="DATA39" localSheetId="16">#REF!</definedName>
    <definedName name="DATA39" localSheetId="17">#REF!</definedName>
    <definedName name="DATA39" localSheetId="18">#REF!</definedName>
    <definedName name="DATA39" localSheetId="19">#REF!</definedName>
    <definedName name="DATA39" localSheetId="20">#REF!</definedName>
    <definedName name="DATA39" localSheetId="21">#REF!</definedName>
    <definedName name="DATA39" localSheetId="22">#REF!</definedName>
    <definedName name="DATA39" localSheetId="23">#REF!</definedName>
    <definedName name="DATA39" localSheetId="24">#REF!</definedName>
    <definedName name="DATA39" localSheetId="25">#REF!</definedName>
    <definedName name="DATA39" localSheetId="26">#REF!</definedName>
    <definedName name="DATA39" localSheetId="27">#REF!</definedName>
    <definedName name="DATA39" localSheetId="28">#REF!</definedName>
    <definedName name="DATA39" localSheetId="29">#REF!</definedName>
    <definedName name="DATA39" localSheetId="32">#REF!</definedName>
    <definedName name="DATA39" localSheetId="33">#REF!</definedName>
    <definedName name="DATA39" localSheetId="34">#REF!</definedName>
    <definedName name="DATA39" localSheetId="36">#REF!</definedName>
    <definedName name="DATA39" localSheetId="35">#REF!</definedName>
    <definedName name="DATA39" localSheetId="37">#REF!</definedName>
    <definedName name="DATA39" localSheetId="38">#REF!</definedName>
    <definedName name="DATA39" localSheetId="39">#REF!</definedName>
    <definedName name="DATA39" localSheetId="40">#REF!</definedName>
    <definedName name="DATA39" localSheetId="41">#REF!</definedName>
    <definedName name="DATA39" localSheetId="42">#REF!</definedName>
    <definedName name="DATA39" localSheetId="43">#REF!</definedName>
    <definedName name="DATA39" localSheetId="45">#REF!</definedName>
    <definedName name="DATA39" localSheetId="46">#REF!</definedName>
    <definedName name="DATA39" localSheetId="44">#REF!</definedName>
    <definedName name="DATA39" localSheetId="47">#REF!</definedName>
    <definedName name="DATA39">#REF!</definedName>
    <definedName name="DATA4" localSheetId="5">#REF!</definedName>
    <definedName name="DATA4" localSheetId="6">#REF!</definedName>
    <definedName name="DATA4" localSheetId="7">#REF!</definedName>
    <definedName name="DATA4" localSheetId="8">#REF!</definedName>
    <definedName name="DATA4" localSheetId="9">#REF!</definedName>
    <definedName name="DATA4" localSheetId="10">#REF!</definedName>
    <definedName name="DATA4" localSheetId="11">#REF!</definedName>
    <definedName name="DATA4" localSheetId="12">#REF!</definedName>
    <definedName name="DATA4" localSheetId="13">#REF!</definedName>
    <definedName name="DATA4" localSheetId="14">#REF!</definedName>
    <definedName name="DATA4" localSheetId="15">#REF!</definedName>
    <definedName name="DATA4" localSheetId="16">#REF!</definedName>
    <definedName name="DATA4" localSheetId="17">#REF!</definedName>
    <definedName name="DATA4" localSheetId="18">#REF!</definedName>
    <definedName name="DATA4" localSheetId="19">#REF!</definedName>
    <definedName name="DATA4" localSheetId="20">#REF!</definedName>
    <definedName name="DATA4" localSheetId="21">#REF!</definedName>
    <definedName name="DATA4" localSheetId="22">#REF!</definedName>
    <definedName name="DATA4" localSheetId="23">#REF!</definedName>
    <definedName name="DATA4" localSheetId="24">#REF!</definedName>
    <definedName name="DATA4" localSheetId="25">#REF!</definedName>
    <definedName name="DATA4" localSheetId="26">#REF!</definedName>
    <definedName name="DATA4" localSheetId="27">#REF!</definedName>
    <definedName name="DATA4" localSheetId="28">#REF!</definedName>
    <definedName name="DATA4" localSheetId="29">#REF!</definedName>
    <definedName name="DATA4" localSheetId="32">#REF!</definedName>
    <definedName name="DATA4" localSheetId="33">#REF!</definedName>
    <definedName name="DATA4" localSheetId="34">#REF!</definedName>
    <definedName name="DATA4" localSheetId="36">#REF!</definedName>
    <definedName name="DATA4" localSheetId="35">#REF!</definedName>
    <definedName name="DATA4" localSheetId="37">#REF!</definedName>
    <definedName name="DATA4" localSheetId="38">#REF!</definedName>
    <definedName name="DATA4" localSheetId="39">#REF!</definedName>
    <definedName name="DATA4" localSheetId="40">#REF!</definedName>
    <definedName name="DATA4" localSheetId="41">#REF!</definedName>
    <definedName name="DATA4" localSheetId="42">#REF!</definedName>
    <definedName name="DATA4" localSheetId="43">#REF!</definedName>
    <definedName name="DATA4" localSheetId="45">#REF!</definedName>
    <definedName name="DATA4" localSheetId="46">#REF!</definedName>
    <definedName name="DATA4" localSheetId="44">#REF!</definedName>
    <definedName name="DATA4" localSheetId="47">#REF!</definedName>
    <definedName name="DATA4">#REF!</definedName>
    <definedName name="DATA40" localSheetId="5">#REF!</definedName>
    <definedName name="DATA40" localSheetId="6">#REF!</definedName>
    <definedName name="DATA40" localSheetId="7">#REF!</definedName>
    <definedName name="DATA40" localSheetId="8">#REF!</definedName>
    <definedName name="DATA40" localSheetId="9">#REF!</definedName>
    <definedName name="DATA40" localSheetId="10">#REF!</definedName>
    <definedName name="DATA40" localSheetId="11">#REF!</definedName>
    <definedName name="DATA40" localSheetId="12">#REF!</definedName>
    <definedName name="DATA40" localSheetId="13">#REF!</definedName>
    <definedName name="DATA40" localSheetId="14">#REF!</definedName>
    <definedName name="DATA40" localSheetId="15">#REF!</definedName>
    <definedName name="DATA40" localSheetId="16">#REF!</definedName>
    <definedName name="DATA40" localSheetId="17">#REF!</definedName>
    <definedName name="DATA40" localSheetId="18">#REF!</definedName>
    <definedName name="DATA40" localSheetId="19">#REF!</definedName>
    <definedName name="DATA40" localSheetId="20">#REF!</definedName>
    <definedName name="DATA40" localSheetId="21">#REF!</definedName>
    <definedName name="DATA40" localSheetId="22">#REF!</definedName>
    <definedName name="DATA40" localSheetId="23">#REF!</definedName>
    <definedName name="DATA40" localSheetId="24">#REF!</definedName>
    <definedName name="DATA40" localSheetId="25">#REF!</definedName>
    <definedName name="DATA40" localSheetId="26">#REF!</definedName>
    <definedName name="DATA40" localSheetId="27">#REF!</definedName>
    <definedName name="DATA40" localSheetId="28">#REF!</definedName>
    <definedName name="DATA40" localSheetId="29">#REF!</definedName>
    <definedName name="DATA40" localSheetId="32">#REF!</definedName>
    <definedName name="DATA40" localSheetId="33">#REF!</definedName>
    <definedName name="DATA40" localSheetId="34">#REF!</definedName>
    <definedName name="DATA40" localSheetId="36">#REF!</definedName>
    <definedName name="DATA40" localSheetId="35">#REF!</definedName>
    <definedName name="DATA40" localSheetId="37">#REF!</definedName>
    <definedName name="DATA40" localSheetId="38">#REF!</definedName>
    <definedName name="DATA40" localSheetId="39">#REF!</definedName>
    <definedName name="DATA40" localSheetId="40">#REF!</definedName>
    <definedName name="DATA40" localSheetId="41">#REF!</definedName>
    <definedName name="DATA40" localSheetId="42">#REF!</definedName>
    <definedName name="DATA40" localSheetId="43">#REF!</definedName>
    <definedName name="DATA40" localSheetId="45">#REF!</definedName>
    <definedName name="DATA40" localSheetId="46">#REF!</definedName>
    <definedName name="DATA40" localSheetId="44">#REF!</definedName>
    <definedName name="DATA40" localSheetId="47">#REF!</definedName>
    <definedName name="DATA40">#REF!</definedName>
    <definedName name="DATA41" localSheetId="5">#REF!</definedName>
    <definedName name="DATA41" localSheetId="6">#REF!</definedName>
    <definedName name="DATA41" localSheetId="7">#REF!</definedName>
    <definedName name="DATA41" localSheetId="8">#REF!</definedName>
    <definedName name="DATA41" localSheetId="9">#REF!</definedName>
    <definedName name="DATA41" localSheetId="10">#REF!</definedName>
    <definedName name="DATA41" localSheetId="11">#REF!</definedName>
    <definedName name="DATA41" localSheetId="12">#REF!</definedName>
    <definedName name="DATA41" localSheetId="13">#REF!</definedName>
    <definedName name="DATA41" localSheetId="14">#REF!</definedName>
    <definedName name="DATA41" localSheetId="15">#REF!</definedName>
    <definedName name="DATA41" localSheetId="16">#REF!</definedName>
    <definedName name="DATA41" localSheetId="17">#REF!</definedName>
    <definedName name="DATA41" localSheetId="18">#REF!</definedName>
    <definedName name="DATA41" localSheetId="19">#REF!</definedName>
    <definedName name="DATA41" localSheetId="20">#REF!</definedName>
    <definedName name="DATA41" localSheetId="21">#REF!</definedName>
    <definedName name="DATA41" localSheetId="22">#REF!</definedName>
    <definedName name="DATA41" localSheetId="23">#REF!</definedName>
    <definedName name="DATA41" localSheetId="24">#REF!</definedName>
    <definedName name="DATA41" localSheetId="25">#REF!</definedName>
    <definedName name="DATA41" localSheetId="26">#REF!</definedName>
    <definedName name="DATA41" localSheetId="27">#REF!</definedName>
    <definedName name="DATA41" localSheetId="28">#REF!</definedName>
    <definedName name="DATA41" localSheetId="29">#REF!</definedName>
    <definedName name="DATA41" localSheetId="32">#REF!</definedName>
    <definedName name="DATA41" localSheetId="33">#REF!</definedName>
    <definedName name="DATA41" localSheetId="34">#REF!</definedName>
    <definedName name="DATA41" localSheetId="36">#REF!</definedName>
    <definedName name="DATA41" localSheetId="35">#REF!</definedName>
    <definedName name="DATA41" localSheetId="37">#REF!</definedName>
    <definedName name="DATA41" localSheetId="38">#REF!</definedName>
    <definedName name="DATA41" localSheetId="39">#REF!</definedName>
    <definedName name="DATA41" localSheetId="40">#REF!</definedName>
    <definedName name="DATA41" localSheetId="41">#REF!</definedName>
    <definedName name="DATA41" localSheetId="42">#REF!</definedName>
    <definedName name="DATA41" localSheetId="43">#REF!</definedName>
    <definedName name="DATA41" localSheetId="45">#REF!</definedName>
    <definedName name="DATA41" localSheetId="46">#REF!</definedName>
    <definedName name="DATA41" localSheetId="44">#REF!</definedName>
    <definedName name="DATA41" localSheetId="47">#REF!</definedName>
    <definedName name="DATA41">#REF!</definedName>
    <definedName name="DATA42" localSheetId="5">#REF!</definedName>
    <definedName name="DATA42" localSheetId="6">#REF!</definedName>
    <definedName name="DATA42" localSheetId="7">#REF!</definedName>
    <definedName name="DATA42" localSheetId="8">#REF!</definedName>
    <definedName name="DATA42" localSheetId="9">#REF!</definedName>
    <definedName name="DATA42" localSheetId="10">#REF!</definedName>
    <definedName name="DATA42" localSheetId="11">#REF!</definedName>
    <definedName name="DATA42" localSheetId="12">#REF!</definedName>
    <definedName name="DATA42" localSheetId="13">#REF!</definedName>
    <definedName name="DATA42" localSheetId="14">#REF!</definedName>
    <definedName name="DATA42" localSheetId="15">#REF!</definedName>
    <definedName name="DATA42" localSheetId="16">#REF!</definedName>
    <definedName name="DATA42" localSheetId="17">#REF!</definedName>
    <definedName name="DATA42" localSheetId="18">#REF!</definedName>
    <definedName name="DATA42" localSheetId="19">#REF!</definedName>
    <definedName name="DATA42" localSheetId="20">#REF!</definedName>
    <definedName name="DATA42" localSheetId="21">#REF!</definedName>
    <definedName name="DATA42" localSheetId="22">#REF!</definedName>
    <definedName name="DATA42" localSheetId="23">#REF!</definedName>
    <definedName name="DATA42" localSheetId="24">#REF!</definedName>
    <definedName name="DATA42" localSheetId="25">#REF!</definedName>
    <definedName name="DATA42" localSheetId="26">#REF!</definedName>
    <definedName name="DATA42" localSheetId="27">#REF!</definedName>
    <definedName name="DATA42" localSheetId="28">#REF!</definedName>
    <definedName name="DATA42" localSheetId="29">#REF!</definedName>
    <definedName name="DATA42" localSheetId="32">#REF!</definedName>
    <definedName name="DATA42" localSheetId="33">#REF!</definedName>
    <definedName name="DATA42" localSheetId="34">#REF!</definedName>
    <definedName name="DATA42" localSheetId="36">#REF!</definedName>
    <definedName name="DATA42" localSheetId="35">#REF!</definedName>
    <definedName name="DATA42" localSheetId="37">#REF!</definedName>
    <definedName name="DATA42" localSheetId="38">#REF!</definedName>
    <definedName name="DATA42" localSheetId="39">#REF!</definedName>
    <definedName name="DATA42" localSheetId="40">#REF!</definedName>
    <definedName name="DATA42" localSheetId="41">#REF!</definedName>
    <definedName name="DATA42" localSheetId="42">#REF!</definedName>
    <definedName name="DATA42" localSheetId="43">#REF!</definedName>
    <definedName name="DATA42" localSheetId="45">#REF!</definedName>
    <definedName name="DATA42" localSheetId="46">#REF!</definedName>
    <definedName name="DATA42" localSheetId="44">#REF!</definedName>
    <definedName name="DATA42" localSheetId="47">#REF!</definedName>
    <definedName name="DATA42">#REF!</definedName>
    <definedName name="DATA43" localSheetId="5">#REF!</definedName>
    <definedName name="DATA43" localSheetId="6">#REF!</definedName>
    <definedName name="DATA43" localSheetId="7">#REF!</definedName>
    <definedName name="DATA43" localSheetId="8">#REF!</definedName>
    <definedName name="DATA43" localSheetId="9">#REF!</definedName>
    <definedName name="DATA43" localSheetId="10">#REF!</definedName>
    <definedName name="DATA43" localSheetId="11">#REF!</definedName>
    <definedName name="DATA43" localSheetId="12">#REF!</definedName>
    <definedName name="DATA43" localSheetId="13">#REF!</definedName>
    <definedName name="DATA43" localSheetId="14">#REF!</definedName>
    <definedName name="DATA43" localSheetId="15">#REF!</definedName>
    <definedName name="DATA43" localSheetId="16">#REF!</definedName>
    <definedName name="DATA43" localSheetId="17">#REF!</definedName>
    <definedName name="DATA43" localSheetId="18">#REF!</definedName>
    <definedName name="DATA43" localSheetId="19">#REF!</definedName>
    <definedName name="DATA43" localSheetId="20">#REF!</definedName>
    <definedName name="DATA43" localSheetId="21">#REF!</definedName>
    <definedName name="DATA43" localSheetId="22">#REF!</definedName>
    <definedName name="DATA43" localSheetId="23">#REF!</definedName>
    <definedName name="DATA43" localSheetId="24">#REF!</definedName>
    <definedName name="DATA43" localSheetId="25">#REF!</definedName>
    <definedName name="DATA43" localSheetId="26">#REF!</definedName>
    <definedName name="DATA43" localSheetId="27">#REF!</definedName>
    <definedName name="DATA43" localSheetId="28">#REF!</definedName>
    <definedName name="DATA43" localSheetId="29">#REF!</definedName>
    <definedName name="DATA43" localSheetId="32">#REF!</definedName>
    <definedName name="DATA43" localSheetId="33">#REF!</definedName>
    <definedName name="DATA43" localSheetId="34">#REF!</definedName>
    <definedName name="DATA43" localSheetId="36">#REF!</definedName>
    <definedName name="DATA43" localSheetId="35">#REF!</definedName>
    <definedName name="DATA43" localSheetId="37">#REF!</definedName>
    <definedName name="DATA43" localSheetId="38">#REF!</definedName>
    <definedName name="DATA43" localSheetId="39">#REF!</definedName>
    <definedName name="DATA43" localSheetId="40">#REF!</definedName>
    <definedName name="DATA43" localSheetId="41">#REF!</definedName>
    <definedName name="DATA43" localSheetId="42">#REF!</definedName>
    <definedName name="DATA43" localSheetId="43">#REF!</definedName>
    <definedName name="DATA43" localSheetId="45">#REF!</definedName>
    <definedName name="DATA43" localSheetId="46">#REF!</definedName>
    <definedName name="DATA43" localSheetId="44">#REF!</definedName>
    <definedName name="DATA43" localSheetId="47">#REF!</definedName>
    <definedName name="DATA43">#REF!</definedName>
    <definedName name="DATA44" localSheetId="5">#REF!</definedName>
    <definedName name="DATA44" localSheetId="6">#REF!</definedName>
    <definedName name="DATA44" localSheetId="7">#REF!</definedName>
    <definedName name="DATA44" localSheetId="8">#REF!</definedName>
    <definedName name="DATA44" localSheetId="9">#REF!</definedName>
    <definedName name="DATA44" localSheetId="10">#REF!</definedName>
    <definedName name="DATA44" localSheetId="11">#REF!</definedName>
    <definedName name="DATA44" localSheetId="12">#REF!</definedName>
    <definedName name="DATA44" localSheetId="13">#REF!</definedName>
    <definedName name="DATA44" localSheetId="14">#REF!</definedName>
    <definedName name="DATA44" localSheetId="15">#REF!</definedName>
    <definedName name="DATA44" localSheetId="16">#REF!</definedName>
    <definedName name="DATA44" localSheetId="17">#REF!</definedName>
    <definedName name="DATA44" localSheetId="18">#REF!</definedName>
    <definedName name="DATA44" localSheetId="19">#REF!</definedName>
    <definedName name="DATA44" localSheetId="20">#REF!</definedName>
    <definedName name="DATA44" localSheetId="21">#REF!</definedName>
    <definedName name="DATA44" localSheetId="22">#REF!</definedName>
    <definedName name="DATA44" localSheetId="23">#REF!</definedName>
    <definedName name="DATA44" localSheetId="24">#REF!</definedName>
    <definedName name="DATA44" localSheetId="25">#REF!</definedName>
    <definedName name="DATA44" localSheetId="26">#REF!</definedName>
    <definedName name="DATA44" localSheetId="27">#REF!</definedName>
    <definedName name="DATA44" localSheetId="28">#REF!</definedName>
    <definedName name="DATA44" localSheetId="29">#REF!</definedName>
    <definedName name="DATA44" localSheetId="32">#REF!</definedName>
    <definedName name="DATA44" localSheetId="33">#REF!</definedName>
    <definedName name="DATA44" localSheetId="34">#REF!</definedName>
    <definedName name="DATA44" localSheetId="36">#REF!</definedName>
    <definedName name="DATA44" localSheetId="35">#REF!</definedName>
    <definedName name="DATA44" localSheetId="37">#REF!</definedName>
    <definedName name="DATA44" localSheetId="38">#REF!</definedName>
    <definedName name="DATA44" localSheetId="39">#REF!</definedName>
    <definedName name="DATA44" localSheetId="40">#REF!</definedName>
    <definedName name="DATA44" localSheetId="41">#REF!</definedName>
    <definedName name="DATA44" localSheetId="42">#REF!</definedName>
    <definedName name="DATA44" localSheetId="43">#REF!</definedName>
    <definedName name="DATA44" localSheetId="45">#REF!</definedName>
    <definedName name="DATA44" localSheetId="46">#REF!</definedName>
    <definedName name="DATA44" localSheetId="44">#REF!</definedName>
    <definedName name="DATA44" localSheetId="47">#REF!</definedName>
    <definedName name="DATA44">#REF!</definedName>
    <definedName name="DATA45" localSheetId="5">#REF!</definedName>
    <definedName name="DATA45" localSheetId="6">#REF!</definedName>
    <definedName name="DATA45" localSheetId="7">#REF!</definedName>
    <definedName name="DATA45" localSheetId="8">#REF!</definedName>
    <definedName name="DATA45" localSheetId="9">#REF!</definedName>
    <definedName name="DATA45" localSheetId="10">#REF!</definedName>
    <definedName name="DATA45" localSheetId="11">#REF!</definedName>
    <definedName name="DATA45" localSheetId="12">#REF!</definedName>
    <definedName name="DATA45" localSheetId="13">#REF!</definedName>
    <definedName name="DATA45" localSheetId="14">#REF!</definedName>
    <definedName name="DATA45" localSheetId="15">#REF!</definedName>
    <definedName name="DATA45" localSheetId="16">#REF!</definedName>
    <definedName name="DATA45" localSheetId="17">#REF!</definedName>
    <definedName name="DATA45" localSheetId="18">#REF!</definedName>
    <definedName name="DATA45" localSheetId="19">#REF!</definedName>
    <definedName name="DATA45" localSheetId="20">#REF!</definedName>
    <definedName name="DATA45" localSheetId="21">#REF!</definedName>
    <definedName name="DATA45" localSheetId="22">#REF!</definedName>
    <definedName name="DATA45" localSheetId="23">#REF!</definedName>
    <definedName name="DATA45" localSheetId="24">#REF!</definedName>
    <definedName name="DATA45" localSheetId="25">#REF!</definedName>
    <definedName name="DATA45" localSheetId="26">#REF!</definedName>
    <definedName name="DATA45" localSheetId="27">#REF!</definedName>
    <definedName name="DATA45" localSheetId="28">#REF!</definedName>
    <definedName name="DATA45" localSheetId="29">#REF!</definedName>
    <definedName name="DATA45" localSheetId="32">#REF!</definedName>
    <definedName name="DATA45" localSheetId="33">#REF!</definedName>
    <definedName name="DATA45" localSheetId="34">#REF!</definedName>
    <definedName name="DATA45" localSheetId="36">#REF!</definedName>
    <definedName name="DATA45" localSheetId="35">#REF!</definedName>
    <definedName name="DATA45" localSheetId="37">#REF!</definedName>
    <definedName name="DATA45" localSheetId="38">#REF!</definedName>
    <definedName name="DATA45" localSheetId="39">#REF!</definedName>
    <definedName name="DATA45" localSheetId="40">#REF!</definedName>
    <definedName name="DATA45" localSheetId="41">#REF!</definedName>
    <definedName name="DATA45" localSheetId="42">#REF!</definedName>
    <definedName name="DATA45" localSheetId="43">#REF!</definedName>
    <definedName name="DATA45" localSheetId="45">#REF!</definedName>
    <definedName name="DATA45" localSheetId="46">#REF!</definedName>
    <definedName name="DATA45" localSheetId="44">#REF!</definedName>
    <definedName name="DATA45" localSheetId="47">#REF!</definedName>
    <definedName name="DATA45">#REF!</definedName>
    <definedName name="DATA5" localSheetId="5">#REF!</definedName>
    <definedName name="DATA5" localSheetId="6">#REF!</definedName>
    <definedName name="DATA5" localSheetId="7">#REF!</definedName>
    <definedName name="DATA5" localSheetId="8">#REF!</definedName>
    <definedName name="DATA5" localSheetId="9">#REF!</definedName>
    <definedName name="DATA5" localSheetId="10">#REF!</definedName>
    <definedName name="DATA5" localSheetId="11">#REF!</definedName>
    <definedName name="DATA5" localSheetId="12">#REF!</definedName>
    <definedName name="DATA5" localSheetId="13">#REF!</definedName>
    <definedName name="DATA5" localSheetId="14">#REF!</definedName>
    <definedName name="DATA5" localSheetId="15">#REF!</definedName>
    <definedName name="DATA5" localSheetId="16">#REF!</definedName>
    <definedName name="DATA5" localSheetId="17">#REF!</definedName>
    <definedName name="DATA5" localSheetId="18">#REF!</definedName>
    <definedName name="DATA5" localSheetId="19">#REF!</definedName>
    <definedName name="DATA5" localSheetId="20">#REF!</definedName>
    <definedName name="DATA5" localSheetId="21">#REF!</definedName>
    <definedName name="DATA5" localSheetId="22">#REF!</definedName>
    <definedName name="DATA5" localSheetId="23">#REF!</definedName>
    <definedName name="DATA5" localSheetId="24">#REF!</definedName>
    <definedName name="DATA5" localSheetId="25">#REF!</definedName>
    <definedName name="DATA5" localSheetId="26">#REF!</definedName>
    <definedName name="DATA5" localSheetId="27">#REF!</definedName>
    <definedName name="DATA5" localSheetId="28">#REF!</definedName>
    <definedName name="DATA5" localSheetId="29">#REF!</definedName>
    <definedName name="DATA5" localSheetId="32">#REF!</definedName>
    <definedName name="DATA5" localSheetId="33">#REF!</definedName>
    <definedName name="DATA5" localSheetId="34">#REF!</definedName>
    <definedName name="DATA5" localSheetId="36">#REF!</definedName>
    <definedName name="DATA5" localSheetId="35">#REF!</definedName>
    <definedName name="DATA5" localSheetId="37">#REF!</definedName>
    <definedName name="DATA5" localSheetId="38">#REF!</definedName>
    <definedName name="DATA5" localSheetId="39">#REF!</definedName>
    <definedName name="DATA5" localSheetId="40">#REF!</definedName>
    <definedName name="DATA5" localSheetId="41">#REF!</definedName>
    <definedName name="DATA5" localSheetId="42">#REF!</definedName>
    <definedName name="DATA5" localSheetId="43">#REF!</definedName>
    <definedName name="DATA5" localSheetId="45">#REF!</definedName>
    <definedName name="DATA5" localSheetId="46">#REF!</definedName>
    <definedName name="DATA5" localSheetId="44">#REF!</definedName>
    <definedName name="DATA5" localSheetId="47">#REF!</definedName>
    <definedName name="DATA5">#REF!</definedName>
    <definedName name="DATA6" localSheetId="5">#REF!</definedName>
    <definedName name="DATA6" localSheetId="6">#REF!</definedName>
    <definedName name="DATA6" localSheetId="7">#REF!</definedName>
    <definedName name="DATA6" localSheetId="8">#REF!</definedName>
    <definedName name="DATA6" localSheetId="9">#REF!</definedName>
    <definedName name="DATA6" localSheetId="10">#REF!</definedName>
    <definedName name="DATA6" localSheetId="11">#REF!</definedName>
    <definedName name="DATA6" localSheetId="12">#REF!</definedName>
    <definedName name="DATA6" localSheetId="13">#REF!</definedName>
    <definedName name="DATA6" localSheetId="14">#REF!</definedName>
    <definedName name="DATA6" localSheetId="15">#REF!</definedName>
    <definedName name="DATA6" localSheetId="16">#REF!</definedName>
    <definedName name="DATA6" localSheetId="17">#REF!</definedName>
    <definedName name="DATA6" localSheetId="18">#REF!</definedName>
    <definedName name="DATA6" localSheetId="19">#REF!</definedName>
    <definedName name="DATA6" localSheetId="20">#REF!</definedName>
    <definedName name="DATA6" localSheetId="21">#REF!</definedName>
    <definedName name="DATA6" localSheetId="22">#REF!</definedName>
    <definedName name="DATA6" localSheetId="23">#REF!</definedName>
    <definedName name="DATA6" localSheetId="24">#REF!</definedName>
    <definedName name="DATA6" localSheetId="25">#REF!</definedName>
    <definedName name="DATA6" localSheetId="26">#REF!</definedName>
    <definedName name="DATA6" localSheetId="27">#REF!</definedName>
    <definedName name="DATA6" localSheetId="28">#REF!</definedName>
    <definedName name="DATA6" localSheetId="29">#REF!</definedName>
    <definedName name="DATA6" localSheetId="32">#REF!</definedName>
    <definedName name="DATA6" localSheetId="33">#REF!</definedName>
    <definedName name="DATA6" localSheetId="34">#REF!</definedName>
    <definedName name="DATA6" localSheetId="36">#REF!</definedName>
    <definedName name="DATA6" localSheetId="35">#REF!</definedName>
    <definedName name="DATA6" localSheetId="37">#REF!</definedName>
    <definedName name="DATA6" localSheetId="38">#REF!</definedName>
    <definedName name="DATA6" localSheetId="39">#REF!</definedName>
    <definedName name="DATA6" localSheetId="40">#REF!</definedName>
    <definedName name="DATA6" localSheetId="41">#REF!</definedName>
    <definedName name="DATA6" localSheetId="42">#REF!</definedName>
    <definedName name="DATA6" localSheetId="43">#REF!</definedName>
    <definedName name="DATA6" localSheetId="45">#REF!</definedName>
    <definedName name="DATA6" localSheetId="46">#REF!</definedName>
    <definedName name="DATA6" localSheetId="44">#REF!</definedName>
    <definedName name="DATA6" localSheetId="47">#REF!</definedName>
    <definedName name="DATA6">#REF!</definedName>
    <definedName name="DATA7" localSheetId="5">#REF!</definedName>
    <definedName name="DATA7" localSheetId="6">#REF!</definedName>
    <definedName name="DATA7" localSheetId="7">#REF!</definedName>
    <definedName name="DATA7" localSheetId="8">#REF!</definedName>
    <definedName name="DATA7" localSheetId="9">#REF!</definedName>
    <definedName name="DATA7" localSheetId="10">#REF!</definedName>
    <definedName name="DATA7" localSheetId="11">#REF!</definedName>
    <definedName name="DATA7" localSheetId="12">#REF!</definedName>
    <definedName name="DATA7" localSheetId="13">#REF!</definedName>
    <definedName name="DATA7" localSheetId="14">#REF!</definedName>
    <definedName name="DATA7" localSheetId="15">#REF!</definedName>
    <definedName name="DATA7" localSheetId="16">#REF!</definedName>
    <definedName name="DATA7" localSheetId="17">#REF!</definedName>
    <definedName name="DATA7" localSheetId="18">#REF!</definedName>
    <definedName name="DATA7" localSheetId="19">#REF!</definedName>
    <definedName name="DATA7" localSheetId="20">#REF!</definedName>
    <definedName name="DATA7" localSheetId="21">#REF!</definedName>
    <definedName name="DATA7" localSheetId="22">#REF!</definedName>
    <definedName name="DATA7" localSheetId="23">#REF!</definedName>
    <definedName name="DATA7" localSheetId="24">#REF!</definedName>
    <definedName name="DATA7" localSheetId="25">#REF!</definedName>
    <definedName name="DATA7" localSheetId="26">#REF!</definedName>
    <definedName name="DATA7" localSheetId="27">#REF!</definedName>
    <definedName name="DATA7" localSheetId="28">#REF!</definedName>
    <definedName name="DATA7" localSheetId="29">#REF!</definedName>
    <definedName name="DATA7" localSheetId="32">#REF!</definedName>
    <definedName name="DATA7" localSheetId="33">#REF!</definedName>
    <definedName name="DATA7" localSheetId="34">#REF!</definedName>
    <definedName name="DATA7" localSheetId="36">#REF!</definedName>
    <definedName name="DATA7" localSheetId="35">#REF!</definedName>
    <definedName name="DATA7" localSheetId="37">#REF!</definedName>
    <definedName name="DATA7" localSheetId="38">#REF!</definedName>
    <definedName name="DATA7" localSheetId="39">#REF!</definedName>
    <definedName name="DATA7" localSheetId="40">#REF!</definedName>
    <definedName name="DATA7" localSheetId="41">#REF!</definedName>
    <definedName name="DATA7" localSheetId="42">#REF!</definedName>
    <definedName name="DATA7" localSheetId="43">#REF!</definedName>
    <definedName name="DATA7" localSheetId="45">#REF!</definedName>
    <definedName name="DATA7" localSheetId="46">#REF!</definedName>
    <definedName name="DATA7" localSheetId="44">#REF!</definedName>
    <definedName name="DATA7" localSheetId="47">#REF!</definedName>
    <definedName name="DATA7">#REF!</definedName>
    <definedName name="DATA8" localSheetId="5">#REF!</definedName>
    <definedName name="DATA8" localSheetId="6">#REF!</definedName>
    <definedName name="DATA8" localSheetId="7">#REF!</definedName>
    <definedName name="DATA8" localSheetId="8">#REF!</definedName>
    <definedName name="DATA8" localSheetId="9">#REF!</definedName>
    <definedName name="DATA8" localSheetId="10">#REF!</definedName>
    <definedName name="DATA8" localSheetId="11">#REF!</definedName>
    <definedName name="DATA8" localSheetId="12">#REF!</definedName>
    <definedName name="DATA8" localSheetId="13">#REF!</definedName>
    <definedName name="DATA8" localSheetId="14">#REF!</definedName>
    <definedName name="DATA8" localSheetId="15">#REF!</definedName>
    <definedName name="DATA8" localSheetId="16">#REF!</definedName>
    <definedName name="DATA8" localSheetId="17">#REF!</definedName>
    <definedName name="DATA8" localSheetId="18">#REF!</definedName>
    <definedName name="DATA8" localSheetId="19">#REF!</definedName>
    <definedName name="DATA8" localSheetId="20">#REF!</definedName>
    <definedName name="DATA8" localSheetId="21">#REF!</definedName>
    <definedName name="DATA8" localSheetId="22">#REF!</definedName>
    <definedName name="DATA8" localSheetId="23">#REF!</definedName>
    <definedName name="DATA8" localSheetId="24">#REF!</definedName>
    <definedName name="DATA8" localSheetId="25">#REF!</definedName>
    <definedName name="DATA8" localSheetId="26">#REF!</definedName>
    <definedName name="DATA8" localSheetId="27">#REF!</definedName>
    <definedName name="DATA8" localSheetId="28">#REF!</definedName>
    <definedName name="DATA8" localSheetId="29">#REF!</definedName>
    <definedName name="DATA8" localSheetId="32">#REF!</definedName>
    <definedName name="DATA8" localSheetId="33">#REF!</definedName>
    <definedName name="DATA8" localSheetId="34">#REF!</definedName>
    <definedName name="DATA8" localSheetId="36">#REF!</definedName>
    <definedName name="DATA8" localSheetId="35">#REF!</definedName>
    <definedName name="DATA8" localSheetId="37">#REF!</definedName>
    <definedName name="DATA8" localSheetId="38">#REF!</definedName>
    <definedName name="DATA8" localSheetId="39">#REF!</definedName>
    <definedName name="DATA8" localSheetId="40">#REF!</definedName>
    <definedName name="DATA8" localSheetId="41">#REF!</definedName>
    <definedName name="DATA8" localSheetId="42">#REF!</definedName>
    <definedName name="DATA8" localSheetId="43">#REF!</definedName>
    <definedName name="DATA8" localSheetId="45">#REF!</definedName>
    <definedName name="DATA8" localSheetId="46">#REF!</definedName>
    <definedName name="DATA8" localSheetId="44">#REF!</definedName>
    <definedName name="DATA8" localSheetId="47">#REF!</definedName>
    <definedName name="DATA8">#REF!</definedName>
    <definedName name="DATA9" localSheetId="5">#REF!</definedName>
    <definedName name="DATA9" localSheetId="6">#REF!</definedName>
    <definedName name="DATA9" localSheetId="7">#REF!</definedName>
    <definedName name="DATA9" localSheetId="8">#REF!</definedName>
    <definedName name="DATA9" localSheetId="9">#REF!</definedName>
    <definedName name="DATA9" localSheetId="10">#REF!</definedName>
    <definedName name="DATA9" localSheetId="11">#REF!</definedName>
    <definedName name="DATA9" localSheetId="12">#REF!</definedName>
    <definedName name="DATA9" localSheetId="13">#REF!</definedName>
    <definedName name="DATA9" localSheetId="14">#REF!</definedName>
    <definedName name="DATA9" localSheetId="15">#REF!</definedName>
    <definedName name="DATA9" localSheetId="16">#REF!</definedName>
    <definedName name="DATA9" localSheetId="17">#REF!</definedName>
    <definedName name="DATA9" localSheetId="18">#REF!</definedName>
    <definedName name="DATA9" localSheetId="19">#REF!</definedName>
    <definedName name="DATA9" localSheetId="20">#REF!</definedName>
    <definedName name="DATA9" localSheetId="21">#REF!</definedName>
    <definedName name="DATA9" localSheetId="22">#REF!</definedName>
    <definedName name="DATA9" localSheetId="23">#REF!</definedName>
    <definedName name="DATA9" localSheetId="24">#REF!</definedName>
    <definedName name="DATA9" localSheetId="25">#REF!</definedName>
    <definedName name="DATA9" localSheetId="26">#REF!</definedName>
    <definedName name="DATA9" localSheetId="27">#REF!</definedName>
    <definedName name="DATA9" localSheetId="28">#REF!</definedName>
    <definedName name="DATA9" localSheetId="29">#REF!</definedName>
    <definedName name="DATA9" localSheetId="32">#REF!</definedName>
    <definedName name="DATA9" localSheetId="33">#REF!</definedName>
    <definedName name="DATA9" localSheetId="34">#REF!</definedName>
    <definedName name="DATA9" localSheetId="36">#REF!</definedName>
    <definedName name="DATA9" localSheetId="35">#REF!</definedName>
    <definedName name="DATA9" localSheetId="37">#REF!</definedName>
    <definedName name="DATA9" localSheetId="38">#REF!</definedName>
    <definedName name="DATA9" localSheetId="39">#REF!</definedName>
    <definedName name="DATA9" localSheetId="40">#REF!</definedName>
    <definedName name="DATA9" localSheetId="41">#REF!</definedName>
    <definedName name="DATA9" localSheetId="42">#REF!</definedName>
    <definedName name="DATA9" localSheetId="43">#REF!</definedName>
    <definedName name="DATA9" localSheetId="45">#REF!</definedName>
    <definedName name="DATA9" localSheetId="46">#REF!</definedName>
    <definedName name="DATA9" localSheetId="44">#REF!</definedName>
    <definedName name="DATA9" localSheetId="47">#REF!</definedName>
    <definedName name="DATA9">#REF!</definedName>
    <definedName name="disc">#REF!</definedName>
    <definedName name="Disc_Rate" localSheetId="18">#REF!</definedName>
    <definedName name="Disc_Rate" localSheetId="19">#REF!</definedName>
    <definedName name="Disc_Rate" localSheetId="21">#REF!</definedName>
    <definedName name="Disc_Rate" localSheetId="24">#REF!</definedName>
    <definedName name="Disc_Rate" localSheetId="27">#REF!</definedName>
    <definedName name="Disc_Rate" localSheetId="28">#REF!</definedName>
    <definedName name="Disc_Rate" localSheetId="29">#REF!</definedName>
    <definedName name="Disc_Rate" localSheetId="37">#REF!</definedName>
    <definedName name="Disc_Rate" localSheetId="41">#REF!</definedName>
    <definedName name="Disc_Rate" localSheetId="42">#REF!</definedName>
    <definedName name="Disc_Rate">#REF!</definedName>
    <definedName name="ene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ergy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uel_Scenario_Name">#REF!</definedName>
    <definedName name="Fuel_Scenario_Name_DJ">#REF!</definedName>
    <definedName name="Fuel_Scenario_Name_LS">#REF!</definedName>
    <definedName name="Fuel_Scenario_Name_West">#REF!</definedName>
    <definedName name="Gas_Sce_Number">#REF!</definedName>
    <definedName name="Gas_Sce_Number_DJ">#REF!</definedName>
    <definedName name="Gas_Sce_Number_LS">#REF!</definedName>
    <definedName name="Gas_Sce_Number_West">#REF!</definedName>
    <definedName name="HROptim" localSheetId="1" hidden="1">{#N/A,#N/A,FALSE,"Summary";#N/A,#N/A,FALSE,"SmPlants";#N/A,#N/A,FALSE,"Utah";#N/A,#N/A,FALSE,"Idaho";#N/A,#N/A,FALSE,"Lewis River";#N/A,#N/A,FALSE,"NrthUmpq";#N/A,#N/A,FALSE,"KlamRog"}</definedName>
    <definedName name="HROptim" localSheetId="3" hidden="1">{#N/A,#N/A,FALSE,"Summary";#N/A,#N/A,FALSE,"SmPlants";#N/A,#N/A,FALSE,"Utah";#N/A,#N/A,FALSE,"Idaho";#N/A,#N/A,FALSE,"Lewis River";#N/A,#N/A,FALSE,"NrthUmpq";#N/A,#N/A,FALSE,"KlamRog"}</definedName>
    <definedName name="HROptim" localSheetId="4" hidden="1">{#N/A,#N/A,FALSE,"Summary";#N/A,#N/A,FALSE,"SmPlants";#N/A,#N/A,FALSE,"Utah";#N/A,#N/A,FALSE,"Idaho";#N/A,#N/A,FALSE,"Lewis River";#N/A,#N/A,FALSE,"NrthUmpq";#N/A,#N/A,FALSE,"KlamRog"}</definedName>
    <definedName name="HROptim" localSheetId="18" hidden="1">{#N/A,#N/A,FALSE,"Summary";#N/A,#N/A,FALSE,"SmPlants";#N/A,#N/A,FALSE,"Utah";#N/A,#N/A,FALSE,"Idaho";#N/A,#N/A,FALSE,"Lewis River";#N/A,#N/A,FALSE,"NrthUmpq";#N/A,#N/A,FALSE,"KlamRog"}</definedName>
    <definedName name="HROptim" localSheetId="19" hidden="1">{#N/A,#N/A,FALSE,"Summary";#N/A,#N/A,FALSE,"SmPlants";#N/A,#N/A,FALSE,"Utah";#N/A,#N/A,FALSE,"Idaho";#N/A,#N/A,FALSE,"Lewis River";#N/A,#N/A,FALSE,"NrthUmpq";#N/A,#N/A,FALSE,"KlamRog"}</definedName>
    <definedName name="HROptim" localSheetId="20" hidden="1">{#N/A,#N/A,FALSE,"Summary";#N/A,#N/A,FALSE,"SmPlants";#N/A,#N/A,FALSE,"Utah";#N/A,#N/A,FALSE,"Idaho";#N/A,#N/A,FALSE,"Lewis River";#N/A,#N/A,FALSE,"NrthUmpq";#N/A,#N/A,FALSE,"KlamRog"}</definedName>
    <definedName name="HROptim" localSheetId="21" hidden="1">{#N/A,#N/A,FALSE,"Summary";#N/A,#N/A,FALSE,"SmPlants";#N/A,#N/A,FALSE,"Utah";#N/A,#N/A,FALSE,"Idaho";#N/A,#N/A,FALSE,"Lewis River";#N/A,#N/A,FALSE,"NrthUmpq";#N/A,#N/A,FALSE,"KlamRog"}</definedName>
    <definedName name="HROptim" localSheetId="24" hidden="1">{#N/A,#N/A,FALSE,"Summary";#N/A,#N/A,FALSE,"SmPlants";#N/A,#N/A,FALSE,"Utah";#N/A,#N/A,FALSE,"Idaho";#N/A,#N/A,FALSE,"Lewis River";#N/A,#N/A,FALSE,"NrthUmpq";#N/A,#N/A,FALSE,"KlamRog"}</definedName>
    <definedName name="HROptim" localSheetId="27" hidden="1">{#N/A,#N/A,FALSE,"Summary";#N/A,#N/A,FALSE,"SmPlants";#N/A,#N/A,FALSE,"Utah";#N/A,#N/A,FALSE,"Idaho";#N/A,#N/A,FALSE,"Lewis River";#N/A,#N/A,FALSE,"NrthUmpq";#N/A,#N/A,FALSE,"KlamRog"}</definedName>
    <definedName name="HROptim" localSheetId="28" hidden="1">{#N/A,#N/A,FALSE,"Summary";#N/A,#N/A,FALSE,"SmPlants";#N/A,#N/A,FALSE,"Utah";#N/A,#N/A,FALSE,"Idaho";#N/A,#N/A,FALSE,"Lewis River";#N/A,#N/A,FALSE,"NrthUmpq";#N/A,#N/A,FALSE,"KlamRog"}</definedName>
    <definedName name="HROptim" localSheetId="29" hidden="1">{#N/A,#N/A,FALSE,"Summary";#N/A,#N/A,FALSE,"SmPlants";#N/A,#N/A,FALSE,"Utah";#N/A,#N/A,FALSE,"Idaho";#N/A,#N/A,FALSE,"Lewis River";#N/A,#N/A,FALSE,"NrthUmpq";#N/A,#N/A,FALSE,"KlamRog"}</definedName>
    <definedName name="HROptim" localSheetId="30" hidden="1">{#N/A,#N/A,FALSE,"Summary";#N/A,#N/A,FALSE,"SmPlants";#N/A,#N/A,FALSE,"Utah";#N/A,#N/A,FALSE,"Idaho";#N/A,#N/A,FALSE,"Lewis River";#N/A,#N/A,FALSE,"NrthUmpq";#N/A,#N/A,FALSE,"KlamRog"}</definedName>
    <definedName name="HROptim" localSheetId="31" hidden="1">{#N/A,#N/A,FALSE,"Summary";#N/A,#N/A,FALSE,"SmPlants";#N/A,#N/A,FALSE,"Utah";#N/A,#N/A,FALSE,"Idaho";#N/A,#N/A,FALSE,"Lewis River";#N/A,#N/A,FALSE,"NrthUmpq";#N/A,#N/A,FALSE,"KlamRog"}</definedName>
    <definedName name="HROptim" localSheetId="37" hidden="1">{#N/A,#N/A,FALSE,"Summary";#N/A,#N/A,FALSE,"SmPlants";#N/A,#N/A,FALSE,"Utah";#N/A,#N/A,FALSE,"Idaho";#N/A,#N/A,FALSE,"Lewis River";#N/A,#N/A,FALSE,"NrthUmpq";#N/A,#N/A,FALSE,"KlamRog"}</definedName>
    <definedName name="HROptim" localSheetId="41" hidden="1">{#N/A,#N/A,FALSE,"Summary";#N/A,#N/A,FALSE,"SmPlants";#N/A,#N/A,FALSE,"Utah";#N/A,#N/A,FALSE,"Idaho";#N/A,#N/A,FALSE,"Lewis River";#N/A,#N/A,FALSE,"NrthUmpq";#N/A,#N/A,FALSE,"KlamRog"}</definedName>
    <definedName name="HROptim" localSheetId="42" hidden="1">{#N/A,#N/A,FALSE,"Summary";#N/A,#N/A,FALSE,"SmPlants";#N/A,#N/A,FALSE,"Utah";#N/A,#N/A,FALSE,"Idaho";#N/A,#N/A,FALSE,"Lewis River";#N/A,#N/A,FALSE,"NrthUmpq";#N/A,#N/A,FALSE,"KlamRog"}</definedName>
    <definedName name="HROptim" localSheetId="0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Optim_1" localSheetId="1" hidden="1">{#N/A,#N/A,FALSE,"Summary";#N/A,#N/A,FALSE,"SmPlants";#N/A,#N/A,FALSE,"Utah";#N/A,#N/A,FALSE,"Idaho";#N/A,#N/A,FALSE,"Lewis River";#N/A,#N/A,FALSE,"NrthUmpq";#N/A,#N/A,FALSE,"KlamRog"}</definedName>
    <definedName name="HROptim_1" localSheetId="3" hidden="1">{#N/A,#N/A,FALSE,"Summary";#N/A,#N/A,FALSE,"SmPlants";#N/A,#N/A,FALSE,"Utah";#N/A,#N/A,FALSE,"Idaho";#N/A,#N/A,FALSE,"Lewis River";#N/A,#N/A,FALSE,"NrthUmpq";#N/A,#N/A,FALSE,"KlamRog"}</definedName>
    <definedName name="HROptim_1" localSheetId="4" hidden="1">{#N/A,#N/A,FALSE,"Summary";#N/A,#N/A,FALSE,"SmPlants";#N/A,#N/A,FALSE,"Utah";#N/A,#N/A,FALSE,"Idaho";#N/A,#N/A,FALSE,"Lewis River";#N/A,#N/A,FALSE,"NrthUmpq";#N/A,#N/A,FALSE,"KlamRog"}</definedName>
    <definedName name="HROptim_1" localSheetId="18" hidden="1">{#N/A,#N/A,FALSE,"Summary";#N/A,#N/A,FALSE,"SmPlants";#N/A,#N/A,FALSE,"Utah";#N/A,#N/A,FALSE,"Idaho";#N/A,#N/A,FALSE,"Lewis River";#N/A,#N/A,FALSE,"NrthUmpq";#N/A,#N/A,FALSE,"KlamRog"}</definedName>
    <definedName name="HROptim_1" localSheetId="19" hidden="1">{#N/A,#N/A,FALSE,"Summary";#N/A,#N/A,FALSE,"SmPlants";#N/A,#N/A,FALSE,"Utah";#N/A,#N/A,FALSE,"Idaho";#N/A,#N/A,FALSE,"Lewis River";#N/A,#N/A,FALSE,"NrthUmpq";#N/A,#N/A,FALSE,"KlamRog"}</definedName>
    <definedName name="HROptim_1" localSheetId="20" hidden="1">{#N/A,#N/A,FALSE,"Summary";#N/A,#N/A,FALSE,"SmPlants";#N/A,#N/A,FALSE,"Utah";#N/A,#N/A,FALSE,"Idaho";#N/A,#N/A,FALSE,"Lewis River";#N/A,#N/A,FALSE,"NrthUmpq";#N/A,#N/A,FALSE,"KlamRog"}</definedName>
    <definedName name="HROptim_1" localSheetId="21" hidden="1">{#N/A,#N/A,FALSE,"Summary";#N/A,#N/A,FALSE,"SmPlants";#N/A,#N/A,FALSE,"Utah";#N/A,#N/A,FALSE,"Idaho";#N/A,#N/A,FALSE,"Lewis River";#N/A,#N/A,FALSE,"NrthUmpq";#N/A,#N/A,FALSE,"KlamRog"}</definedName>
    <definedName name="HROptim_1" localSheetId="24" hidden="1">{#N/A,#N/A,FALSE,"Summary";#N/A,#N/A,FALSE,"SmPlants";#N/A,#N/A,FALSE,"Utah";#N/A,#N/A,FALSE,"Idaho";#N/A,#N/A,FALSE,"Lewis River";#N/A,#N/A,FALSE,"NrthUmpq";#N/A,#N/A,FALSE,"KlamRog"}</definedName>
    <definedName name="HROptim_1" localSheetId="27" hidden="1">{#N/A,#N/A,FALSE,"Summary";#N/A,#N/A,FALSE,"SmPlants";#N/A,#N/A,FALSE,"Utah";#N/A,#N/A,FALSE,"Idaho";#N/A,#N/A,FALSE,"Lewis River";#N/A,#N/A,FALSE,"NrthUmpq";#N/A,#N/A,FALSE,"KlamRog"}</definedName>
    <definedName name="HROptim_1" localSheetId="28" hidden="1">{#N/A,#N/A,FALSE,"Summary";#N/A,#N/A,FALSE,"SmPlants";#N/A,#N/A,FALSE,"Utah";#N/A,#N/A,FALSE,"Idaho";#N/A,#N/A,FALSE,"Lewis River";#N/A,#N/A,FALSE,"NrthUmpq";#N/A,#N/A,FALSE,"KlamRog"}</definedName>
    <definedName name="HROptim_1" localSheetId="29" hidden="1">{#N/A,#N/A,FALSE,"Summary";#N/A,#N/A,FALSE,"SmPlants";#N/A,#N/A,FALSE,"Utah";#N/A,#N/A,FALSE,"Idaho";#N/A,#N/A,FALSE,"Lewis River";#N/A,#N/A,FALSE,"NrthUmpq";#N/A,#N/A,FALSE,"KlamRog"}</definedName>
    <definedName name="HROptim_1" localSheetId="30" hidden="1">{#N/A,#N/A,FALSE,"Summary";#N/A,#N/A,FALSE,"SmPlants";#N/A,#N/A,FALSE,"Utah";#N/A,#N/A,FALSE,"Idaho";#N/A,#N/A,FALSE,"Lewis River";#N/A,#N/A,FALSE,"NrthUmpq";#N/A,#N/A,FALSE,"KlamRog"}</definedName>
    <definedName name="HROptim_1" localSheetId="31" hidden="1">{#N/A,#N/A,FALSE,"Summary";#N/A,#N/A,FALSE,"SmPlants";#N/A,#N/A,FALSE,"Utah";#N/A,#N/A,FALSE,"Idaho";#N/A,#N/A,FALSE,"Lewis River";#N/A,#N/A,FALSE,"NrthUmpq";#N/A,#N/A,FALSE,"KlamRog"}</definedName>
    <definedName name="HROptim_1" localSheetId="37" hidden="1">{#N/A,#N/A,FALSE,"Summary";#N/A,#N/A,FALSE,"SmPlants";#N/A,#N/A,FALSE,"Utah";#N/A,#N/A,FALSE,"Idaho";#N/A,#N/A,FALSE,"Lewis River";#N/A,#N/A,FALSE,"NrthUmpq";#N/A,#N/A,FALSE,"KlamRog"}</definedName>
    <definedName name="HROptim_1" localSheetId="41" hidden="1">{#N/A,#N/A,FALSE,"Summary";#N/A,#N/A,FALSE,"SmPlants";#N/A,#N/A,FALSE,"Utah";#N/A,#N/A,FALSE,"Idaho";#N/A,#N/A,FALSE,"Lewis River";#N/A,#N/A,FALSE,"NrthUmpq";#N/A,#N/A,FALSE,"KlamRog"}</definedName>
    <definedName name="HROptim_1" localSheetId="42" hidden="1">{#N/A,#N/A,FALSE,"Summary";#N/A,#N/A,FALSE,"SmPlants";#N/A,#N/A,FALSE,"Utah";#N/A,#N/A,FALSE,"Idaho";#N/A,#N/A,FALSE,"Lewis River";#N/A,#N/A,FALSE,"NrthUmpq";#N/A,#N/A,FALSE,"KlamRog"}</definedName>
    <definedName name="HROptim_1" localSheetId="0" hidden="1">{#N/A,#N/A,FALSE,"Summary";#N/A,#N/A,FALSE,"SmPlants";#N/A,#N/A,FALSE,"Utah";#N/A,#N/A,FALSE,"Idaho";#N/A,#N/A,FALSE,"Lewis River";#N/A,#N/A,FALSE,"NrthUmpq";#N/A,#N/A,FALSE,"KlamRog"}</definedName>
    <definedName name="HROptim_1" hidden="1">{#N/A,#N/A,FALSE,"Summary";#N/A,#N/A,FALSE,"SmPlants";#N/A,#N/A,FALSE,"Utah";#N/A,#N/A,FALSE,"Idaho";#N/A,#N/A,FALSE,"Lewis River";#N/A,#N/A,FALSE,"NrthUmpq";#N/A,#N/A,FALSE,"KlamRog"}</definedName>
    <definedName name="HROptim_2" localSheetId="1" hidden="1">{#N/A,#N/A,FALSE,"Summary";#N/A,#N/A,FALSE,"SmPlants";#N/A,#N/A,FALSE,"Utah";#N/A,#N/A,FALSE,"Idaho";#N/A,#N/A,FALSE,"Lewis River";#N/A,#N/A,FALSE,"NrthUmpq";#N/A,#N/A,FALSE,"KlamRog"}</definedName>
    <definedName name="HROptim_2" localSheetId="3" hidden="1">{#N/A,#N/A,FALSE,"Summary";#N/A,#N/A,FALSE,"SmPlants";#N/A,#N/A,FALSE,"Utah";#N/A,#N/A,FALSE,"Idaho";#N/A,#N/A,FALSE,"Lewis River";#N/A,#N/A,FALSE,"NrthUmpq";#N/A,#N/A,FALSE,"KlamRog"}</definedName>
    <definedName name="HROptim_2" localSheetId="4" hidden="1">{#N/A,#N/A,FALSE,"Summary";#N/A,#N/A,FALSE,"SmPlants";#N/A,#N/A,FALSE,"Utah";#N/A,#N/A,FALSE,"Idaho";#N/A,#N/A,FALSE,"Lewis River";#N/A,#N/A,FALSE,"NrthUmpq";#N/A,#N/A,FALSE,"KlamRog"}</definedName>
    <definedName name="HROptim_2" localSheetId="18" hidden="1">{#N/A,#N/A,FALSE,"Summary";#N/A,#N/A,FALSE,"SmPlants";#N/A,#N/A,FALSE,"Utah";#N/A,#N/A,FALSE,"Idaho";#N/A,#N/A,FALSE,"Lewis River";#N/A,#N/A,FALSE,"NrthUmpq";#N/A,#N/A,FALSE,"KlamRog"}</definedName>
    <definedName name="HROptim_2" localSheetId="19" hidden="1">{#N/A,#N/A,FALSE,"Summary";#N/A,#N/A,FALSE,"SmPlants";#N/A,#N/A,FALSE,"Utah";#N/A,#N/A,FALSE,"Idaho";#N/A,#N/A,FALSE,"Lewis River";#N/A,#N/A,FALSE,"NrthUmpq";#N/A,#N/A,FALSE,"KlamRog"}</definedName>
    <definedName name="HROptim_2" localSheetId="20" hidden="1">{#N/A,#N/A,FALSE,"Summary";#N/A,#N/A,FALSE,"SmPlants";#N/A,#N/A,FALSE,"Utah";#N/A,#N/A,FALSE,"Idaho";#N/A,#N/A,FALSE,"Lewis River";#N/A,#N/A,FALSE,"NrthUmpq";#N/A,#N/A,FALSE,"KlamRog"}</definedName>
    <definedName name="HROptim_2" localSheetId="21" hidden="1">{#N/A,#N/A,FALSE,"Summary";#N/A,#N/A,FALSE,"SmPlants";#N/A,#N/A,FALSE,"Utah";#N/A,#N/A,FALSE,"Idaho";#N/A,#N/A,FALSE,"Lewis River";#N/A,#N/A,FALSE,"NrthUmpq";#N/A,#N/A,FALSE,"KlamRog"}</definedName>
    <definedName name="HROptim_2" localSheetId="24" hidden="1">{#N/A,#N/A,FALSE,"Summary";#N/A,#N/A,FALSE,"SmPlants";#N/A,#N/A,FALSE,"Utah";#N/A,#N/A,FALSE,"Idaho";#N/A,#N/A,FALSE,"Lewis River";#N/A,#N/A,FALSE,"NrthUmpq";#N/A,#N/A,FALSE,"KlamRog"}</definedName>
    <definedName name="HROptim_2" localSheetId="27" hidden="1">{#N/A,#N/A,FALSE,"Summary";#N/A,#N/A,FALSE,"SmPlants";#N/A,#N/A,FALSE,"Utah";#N/A,#N/A,FALSE,"Idaho";#N/A,#N/A,FALSE,"Lewis River";#N/A,#N/A,FALSE,"NrthUmpq";#N/A,#N/A,FALSE,"KlamRog"}</definedName>
    <definedName name="HROptim_2" localSheetId="28" hidden="1">{#N/A,#N/A,FALSE,"Summary";#N/A,#N/A,FALSE,"SmPlants";#N/A,#N/A,FALSE,"Utah";#N/A,#N/A,FALSE,"Idaho";#N/A,#N/A,FALSE,"Lewis River";#N/A,#N/A,FALSE,"NrthUmpq";#N/A,#N/A,FALSE,"KlamRog"}</definedName>
    <definedName name="HROptim_2" localSheetId="29" hidden="1">{#N/A,#N/A,FALSE,"Summary";#N/A,#N/A,FALSE,"SmPlants";#N/A,#N/A,FALSE,"Utah";#N/A,#N/A,FALSE,"Idaho";#N/A,#N/A,FALSE,"Lewis River";#N/A,#N/A,FALSE,"NrthUmpq";#N/A,#N/A,FALSE,"KlamRog"}</definedName>
    <definedName name="HROptim_2" localSheetId="30" hidden="1">{#N/A,#N/A,FALSE,"Summary";#N/A,#N/A,FALSE,"SmPlants";#N/A,#N/A,FALSE,"Utah";#N/A,#N/A,FALSE,"Idaho";#N/A,#N/A,FALSE,"Lewis River";#N/A,#N/A,FALSE,"NrthUmpq";#N/A,#N/A,FALSE,"KlamRog"}</definedName>
    <definedName name="HROptim_2" localSheetId="31" hidden="1">{#N/A,#N/A,FALSE,"Summary";#N/A,#N/A,FALSE,"SmPlants";#N/A,#N/A,FALSE,"Utah";#N/A,#N/A,FALSE,"Idaho";#N/A,#N/A,FALSE,"Lewis River";#N/A,#N/A,FALSE,"NrthUmpq";#N/A,#N/A,FALSE,"KlamRog"}</definedName>
    <definedName name="HROptim_2" localSheetId="37" hidden="1">{#N/A,#N/A,FALSE,"Summary";#N/A,#N/A,FALSE,"SmPlants";#N/A,#N/A,FALSE,"Utah";#N/A,#N/A,FALSE,"Idaho";#N/A,#N/A,FALSE,"Lewis River";#N/A,#N/A,FALSE,"NrthUmpq";#N/A,#N/A,FALSE,"KlamRog"}</definedName>
    <definedName name="HROptim_2" localSheetId="41" hidden="1">{#N/A,#N/A,FALSE,"Summary";#N/A,#N/A,FALSE,"SmPlants";#N/A,#N/A,FALSE,"Utah";#N/A,#N/A,FALSE,"Idaho";#N/A,#N/A,FALSE,"Lewis River";#N/A,#N/A,FALSE,"NrthUmpq";#N/A,#N/A,FALSE,"KlamRog"}</definedName>
    <definedName name="HROptim_2" localSheetId="42" hidden="1">{#N/A,#N/A,FALSE,"Summary";#N/A,#N/A,FALSE,"SmPlants";#N/A,#N/A,FALSE,"Utah";#N/A,#N/A,FALSE,"Idaho";#N/A,#N/A,FALSE,"Lewis River";#N/A,#N/A,FALSE,"NrthUmpq";#N/A,#N/A,FALSE,"KlamRog"}</definedName>
    <definedName name="HROptim_2" localSheetId="0" hidden="1">{#N/A,#N/A,FALSE,"Summary";#N/A,#N/A,FALSE,"SmPlants";#N/A,#N/A,FALSE,"Utah";#N/A,#N/A,FALSE,"Idaho";#N/A,#N/A,FALSE,"Lewis River";#N/A,#N/A,FALSE,"NrthUmpq";#N/A,#N/A,FALSE,"KlamRog"}</definedName>
    <definedName name="HROptim_2" hidden="1">{#N/A,#N/A,FALSE,"Summary";#N/A,#N/A,FALSE,"SmPlants";#N/A,#N/A,FALSE,"Utah";#N/A,#N/A,FALSE,"Idaho";#N/A,#N/A,FALSE,"Lewis River";#N/A,#N/A,FALSE,"NrthUmpq";#N/A,#N/A,FALSE,"KlamRog"}</definedName>
    <definedName name="HROptim_3" localSheetId="1" hidden="1">{#N/A,#N/A,FALSE,"Summary";#N/A,#N/A,FALSE,"SmPlants";#N/A,#N/A,FALSE,"Utah";#N/A,#N/A,FALSE,"Idaho";#N/A,#N/A,FALSE,"Lewis River";#N/A,#N/A,FALSE,"NrthUmpq";#N/A,#N/A,FALSE,"KlamRog"}</definedName>
    <definedName name="HROptim_3" localSheetId="3" hidden="1">{#N/A,#N/A,FALSE,"Summary";#N/A,#N/A,FALSE,"SmPlants";#N/A,#N/A,FALSE,"Utah";#N/A,#N/A,FALSE,"Idaho";#N/A,#N/A,FALSE,"Lewis River";#N/A,#N/A,FALSE,"NrthUmpq";#N/A,#N/A,FALSE,"KlamRog"}</definedName>
    <definedName name="HROptim_3" localSheetId="4" hidden="1">{#N/A,#N/A,FALSE,"Summary";#N/A,#N/A,FALSE,"SmPlants";#N/A,#N/A,FALSE,"Utah";#N/A,#N/A,FALSE,"Idaho";#N/A,#N/A,FALSE,"Lewis River";#N/A,#N/A,FALSE,"NrthUmpq";#N/A,#N/A,FALSE,"KlamRog"}</definedName>
    <definedName name="HROptim_3" localSheetId="18" hidden="1">{#N/A,#N/A,FALSE,"Summary";#N/A,#N/A,FALSE,"SmPlants";#N/A,#N/A,FALSE,"Utah";#N/A,#N/A,FALSE,"Idaho";#N/A,#N/A,FALSE,"Lewis River";#N/A,#N/A,FALSE,"NrthUmpq";#N/A,#N/A,FALSE,"KlamRog"}</definedName>
    <definedName name="HROptim_3" localSheetId="19" hidden="1">{#N/A,#N/A,FALSE,"Summary";#N/A,#N/A,FALSE,"SmPlants";#N/A,#N/A,FALSE,"Utah";#N/A,#N/A,FALSE,"Idaho";#N/A,#N/A,FALSE,"Lewis River";#N/A,#N/A,FALSE,"NrthUmpq";#N/A,#N/A,FALSE,"KlamRog"}</definedName>
    <definedName name="HROptim_3" localSheetId="20" hidden="1">{#N/A,#N/A,FALSE,"Summary";#N/A,#N/A,FALSE,"SmPlants";#N/A,#N/A,FALSE,"Utah";#N/A,#N/A,FALSE,"Idaho";#N/A,#N/A,FALSE,"Lewis River";#N/A,#N/A,FALSE,"NrthUmpq";#N/A,#N/A,FALSE,"KlamRog"}</definedName>
    <definedName name="HROptim_3" localSheetId="21" hidden="1">{#N/A,#N/A,FALSE,"Summary";#N/A,#N/A,FALSE,"SmPlants";#N/A,#N/A,FALSE,"Utah";#N/A,#N/A,FALSE,"Idaho";#N/A,#N/A,FALSE,"Lewis River";#N/A,#N/A,FALSE,"NrthUmpq";#N/A,#N/A,FALSE,"KlamRog"}</definedName>
    <definedName name="HROptim_3" localSheetId="24" hidden="1">{#N/A,#N/A,FALSE,"Summary";#N/A,#N/A,FALSE,"SmPlants";#N/A,#N/A,FALSE,"Utah";#N/A,#N/A,FALSE,"Idaho";#N/A,#N/A,FALSE,"Lewis River";#N/A,#N/A,FALSE,"NrthUmpq";#N/A,#N/A,FALSE,"KlamRog"}</definedName>
    <definedName name="HROptim_3" localSheetId="27" hidden="1">{#N/A,#N/A,FALSE,"Summary";#N/A,#N/A,FALSE,"SmPlants";#N/A,#N/A,FALSE,"Utah";#N/A,#N/A,FALSE,"Idaho";#N/A,#N/A,FALSE,"Lewis River";#N/A,#N/A,FALSE,"NrthUmpq";#N/A,#N/A,FALSE,"KlamRog"}</definedName>
    <definedName name="HROptim_3" localSheetId="28" hidden="1">{#N/A,#N/A,FALSE,"Summary";#N/A,#N/A,FALSE,"SmPlants";#N/A,#N/A,FALSE,"Utah";#N/A,#N/A,FALSE,"Idaho";#N/A,#N/A,FALSE,"Lewis River";#N/A,#N/A,FALSE,"NrthUmpq";#N/A,#N/A,FALSE,"KlamRog"}</definedName>
    <definedName name="HROptim_3" localSheetId="29" hidden="1">{#N/A,#N/A,FALSE,"Summary";#N/A,#N/A,FALSE,"SmPlants";#N/A,#N/A,FALSE,"Utah";#N/A,#N/A,FALSE,"Idaho";#N/A,#N/A,FALSE,"Lewis River";#N/A,#N/A,FALSE,"NrthUmpq";#N/A,#N/A,FALSE,"KlamRog"}</definedName>
    <definedName name="HROptim_3" localSheetId="30" hidden="1">{#N/A,#N/A,FALSE,"Summary";#N/A,#N/A,FALSE,"SmPlants";#N/A,#N/A,FALSE,"Utah";#N/A,#N/A,FALSE,"Idaho";#N/A,#N/A,FALSE,"Lewis River";#N/A,#N/A,FALSE,"NrthUmpq";#N/A,#N/A,FALSE,"KlamRog"}</definedName>
    <definedName name="HROptim_3" localSheetId="31" hidden="1">{#N/A,#N/A,FALSE,"Summary";#N/A,#N/A,FALSE,"SmPlants";#N/A,#N/A,FALSE,"Utah";#N/A,#N/A,FALSE,"Idaho";#N/A,#N/A,FALSE,"Lewis River";#N/A,#N/A,FALSE,"NrthUmpq";#N/A,#N/A,FALSE,"KlamRog"}</definedName>
    <definedName name="HROptim_3" localSheetId="37" hidden="1">{#N/A,#N/A,FALSE,"Summary";#N/A,#N/A,FALSE,"SmPlants";#N/A,#N/A,FALSE,"Utah";#N/A,#N/A,FALSE,"Idaho";#N/A,#N/A,FALSE,"Lewis River";#N/A,#N/A,FALSE,"NrthUmpq";#N/A,#N/A,FALSE,"KlamRog"}</definedName>
    <definedName name="HROptim_3" localSheetId="41" hidden="1">{#N/A,#N/A,FALSE,"Summary";#N/A,#N/A,FALSE,"SmPlants";#N/A,#N/A,FALSE,"Utah";#N/A,#N/A,FALSE,"Idaho";#N/A,#N/A,FALSE,"Lewis River";#N/A,#N/A,FALSE,"NrthUmpq";#N/A,#N/A,FALSE,"KlamRog"}</definedName>
    <definedName name="HROptim_3" localSheetId="42" hidden="1">{#N/A,#N/A,FALSE,"Summary";#N/A,#N/A,FALSE,"SmPlants";#N/A,#N/A,FALSE,"Utah";#N/A,#N/A,FALSE,"Idaho";#N/A,#N/A,FALSE,"Lewis River";#N/A,#N/A,FALSE,"NrthUmpq";#N/A,#N/A,FALSE,"KlamRog"}</definedName>
    <definedName name="HROptim_3" localSheetId="0" hidden="1">{#N/A,#N/A,FALSE,"Summary";#N/A,#N/A,FALSE,"SmPlants";#N/A,#N/A,FALSE,"Utah";#N/A,#N/A,FALSE,"Idaho";#N/A,#N/A,FALSE,"Lewis River";#N/A,#N/A,FALSE,"NrthUmpq";#N/A,#N/A,FALSE,"KlamRog"}</definedName>
    <definedName name="HROptim_3" hidden="1">{#N/A,#N/A,FALSE,"Summary";#N/A,#N/A,FALSE,"SmPlants";#N/A,#N/A,FALSE,"Utah";#N/A,#N/A,FALSE,"Idaho";#N/A,#N/A,FALSE,"Lewis River";#N/A,#N/A,FALSE,"NrthUmpq";#N/A,#N/A,FALSE,"KlamRog"}</definedName>
    <definedName name="HROptim_4" localSheetId="1" hidden="1">{#N/A,#N/A,FALSE,"Summary";#N/A,#N/A,FALSE,"SmPlants";#N/A,#N/A,FALSE,"Utah";#N/A,#N/A,FALSE,"Idaho";#N/A,#N/A,FALSE,"Lewis River";#N/A,#N/A,FALSE,"NrthUmpq";#N/A,#N/A,FALSE,"KlamRog"}</definedName>
    <definedName name="HROptim_4" localSheetId="3" hidden="1">{#N/A,#N/A,FALSE,"Summary";#N/A,#N/A,FALSE,"SmPlants";#N/A,#N/A,FALSE,"Utah";#N/A,#N/A,FALSE,"Idaho";#N/A,#N/A,FALSE,"Lewis River";#N/A,#N/A,FALSE,"NrthUmpq";#N/A,#N/A,FALSE,"KlamRog"}</definedName>
    <definedName name="HROptim_4" localSheetId="4" hidden="1">{#N/A,#N/A,FALSE,"Summary";#N/A,#N/A,FALSE,"SmPlants";#N/A,#N/A,FALSE,"Utah";#N/A,#N/A,FALSE,"Idaho";#N/A,#N/A,FALSE,"Lewis River";#N/A,#N/A,FALSE,"NrthUmpq";#N/A,#N/A,FALSE,"KlamRog"}</definedName>
    <definedName name="HROptim_4" localSheetId="18" hidden="1">{#N/A,#N/A,FALSE,"Summary";#N/A,#N/A,FALSE,"SmPlants";#N/A,#N/A,FALSE,"Utah";#N/A,#N/A,FALSE,"Idaho";#N/A,#N/A,FALSE,"Lewis River";#N/A,#N/A,FALSE,"NrthUmpq";#N/A,#N/A,FALSE,"KlamRog"}</definedName>
    <definedName name="HROptim_4" localSheetId="19" hidden="1">{#N/A,#N/A,FALSE,"Summary";#N/A,#N/A,FALSE,"SmPlants";#N/A,#N/A,FALSE,"Utah";#N/A,#N/A,FALSE,"Idaho";#N/A,#N/A,FALSE,"Lewis River";#N/A,#N/A,FALSE,"NrthUmpq";#N/A,#N/A,FALSE,"KlamRog"}</definedName>
    <definedName name="HROptim_4" localSheetId="20" hidden="1">{#N/A,#N/A,FALSE,"Summary";#N/A,#N/A,FALSE,"SmPlants";#N/A,#N/A,FALSE,"Utah";#N/A,#N/A,FALSE,"Idaho";#N/A,#N/A,FALSE,"Lewis River";#N/A,#N/A,FALSE,"NrthUmpq";#N/A,#N/A,FALSE,"KlamRog"}</definedName>
    <definedName name="HROptim_4" localSheetId="21" hidden="1">{#N/A,#N/A,FALSE,"Summary";#N/A,#N/A,FALSE,"SmPlants";#N/A,#N/A,FALSE,"Utah";#N/A,#N/A,FALSE,"Idaho";#N/A,#N/A,FALSE,"Lewis River";#N/A,#N/A,FALSE,"NrthUmpq";#N/A,#N/A,FALSE,"KlamRog"}</definedName>
    <definedName name="HROptim_4" localSheetId="24" hidden="1">{#N/A,#N/A,FALSE,"Summary";#N/A,#N/A,FALSE,"SmPlants";#N/A,#N/A,FALSE,"Utah";#N/A,#N/A,FALSE,"Idaho";#N/A,#N/A,FALSE,"Lewis River";#N/A,#N/A,FALSE,"NrthUmpq";#N/A,#N/A,FALSE,"KlamRog"}</definedName>
    <definedName name="HROptim_4" localSheetId="27" hidden="1">{#N/A,#N/A,FALSE,"Summary";#N/A,#N/A,FALSE,"SmPlants";#N/A,#N/A,FALSE,"Utah";#N/A,#N/A,FALSE,"Idaho";#N/A,#N/A,FALSE,"Lewis River";#N/A,#N/A,FALSE,"NrthUmpq";#N/A,#N/A,FALSE,"KlamRog"}</definedName>
    <definedName name="HROptim_4" localSheetId="28" hidden="1">{#N/A,#N/A,FALSE,"Summary";#N/A,#N/A,FALSE,"SmPlants";#N/A,#N/A,FALSE,"Utah";#N/A,#N/A,FALSE,"Idaho";#N/A,#N/A,FALSE,"Lewis River";#N/A,#N/A,FALSE,"NrthUmpq";#N/A,#N/A,FALSE,"KlamRog"}</definedName>
    <definedName name="HROptim_4" localSheetId="29" hidden="1">{#N/A,#N/A,FALSE,"Summary";#N/A,#N/A,FALSE,"SmPlants";#N/A,#N/A,FALSE,"Utah";#N/A,#N/A,FALSE,"Idaho";#N/A,#N/A,FALSE,"Lewis River";#N/A,#N/A,FALSE,"NrthUmpq";#N/A,#N/A,FALSE,"KlamRog"}</definedName>
    <definedName name="HROptim_4" localSheetId="30" hidden="1">{#N/A,#N/A,FALSE,"Summary";#N/A,#N/A,FALSE,"SmPlants";#N/A,#N/A,FALSE,"Utah";#N/A,#N/A,FALSE,"Idaho";#N/A,#N/A,FALSE,"Lewis River";#N/A,#N/A,FALSE,"NrthUmpq";#N/A,#N/A,FALSE,"KlamRog"}</definedName>
    <definedName name="HROptim_4" localSheetId="31" hidden="1">{#N/A,#N/A,FALSE,"Summary";#N/A,#N/A,FALSE,"SmPlants";#N/A,#N/A,FALSE,"Utah";#N/A,#N/A,FALSE,"Idaho";#N/A,#N/A,FALSE,"Lewis River";#N/A,#N/A,FALSE,"NrthUmpq";#N/A,#N/A,FALSE,"KlamRog"}</definedName>
    <definedName name="HROptim_4" localSheetId="37" hidden="1">{#N/A,#N/A,FALSE,"Summary";#N/A,#N/A,FALSE,"SmPlants";#N/A,#N/A,FALSE,"Utah";#N/A,#N/A,FALSE,"Idaho";#N/A,#N/A,FALSE,"Lewis River";#N/A,#N/A,FALSE,"NrthUmpq";#N/A,#N/A,FALSE,"KlamRog"}</definedName>
    <definedName name="HROptim_4" localSheetId="41" hidden="1">{#N/A,#N/A,FALSE,"Summary";#N/A,#N/A,FALSE,"SmPlants";#N/A,#N/A,FALSE,"Utah";#N/A,#N/A,FALSE,"Idaho";#N/A,#N/A,FALSE,"Lewis River";#N/A,#N/A,FALSE,"NrthUmpq";#N/A,#N/A,FALSE,"KlamRog"}</definedName>
    <definedName name="HROptim_4" localSheetId="42" hidden="1">{#N/A,#N/A,FALSE,"Summary";#N/A,#N/A,FALSE,"SmPlants";#N/A,#N/A,FALSE,"Utah";#N/A,#N/A,FALSE,"Idaho";#N/A,#N/A,FALSE,"Lewis River";#N/A,#N/A,FALSE,"NrthUmpq";#N/A,#N/A,FALSE,"KlamRog"}</definedName>
    <definedName name="HROptim_4" localSheetId="0" hidden="1">{#N/A,#N/A,FALSE,"Summary";#N/A,#N/A,FALSE,"SmPlants";#N/A,#N/A,FALSE,"Utah";#N/A,#N/A,FALSE,"Idaho";#N/A,#N/A,FALSE,"Lewis River";#N/A,#N/A,FALSE,"NrthUmpq";#N/A,#N/A,FALSE,"KlamRog"}</definedName>
    <definedName name="HROptim_4" hidden="1">{#N/A,#N/A,FALSE,"Summary";#N/A,#N/A,FALSE,"SmPlants";#N/A,#N/A,FALSE,"Utah";#N/A,#N/A,FALSE,"Idaho";#N/A,#N/A,FALSE,"Lewis River";#N/A,#N/A,FALSE,"NrthUmpq";#N/A,#N/A,FALSE,"KlamRog"}</definedName>
    <definedName name="HROptim_5" localSheetId="1" hidden="1">{#N/A,#N/A,FALSE,"Summary";#N/A,#N/A,FALSE,"SmPlants";#N/A,#N/A,FALSE,"Utah";#N/A,#N/A,FALSE,"Idaho";#N/A,#N/A,FALSE,"Lewis River";#N/A,#N/A,FALSE,"NrthUmpq";#N/A,#N/A,FALSE,"KlamRog"}</definedName>
    <definedName name="HROptim_5" localSheetId="3" hidden="1">{#N/A,#N/A,FALSE,"Summary";#N/A,#N/A,FALSE,"SmPlants";#N/A,#N/A,FALSE,"Utah";#N/A,#N/A,FALSE,"Idaho";#N/A,#N/A,FALSE,"Lewis River";#N/A,#N/A,FALSE,"NrthUmpq";#N/A,#N/A,FALSE,"KlamRog"}</definedName>
    <definedName name="HROptim_5" localSheetId="4" hidden="1">{#N/A,#N/A,FALSE,"Summary";#N/A,#N/A,FALSE,"SmPlants";#N/A,#N/A,FALSE,"Utah";#N/A,#N/A,FALSE,"Idaho";#N/A,#N/A,FALSE,"Lewis River";#N/A,#N/A,FALSE,"NrthUmpq";#N/A,#N/A,FALSE,"KlamRog"}</definedName>
    <definedName name="HROptim_5" localSheetId="18" hidden="1">{#N/A,#N/A,FALSE,"Summary";#N/A,#N/A,FALSE,"SmPlants";#N/A,#N/A,FALSE,"Utah";#N/A,#N/A,FALSE,"Idaho";#N/A,#N/A,FALSE,"Lewis River";#N/A,#N/A,FALSE,"NrthUmpq";#N/A,#N/A,FALSE,"KlamRog"}</definedName>
    <definedName name="HROptim_5" localSheetId="19" hidden="1">{#N/A,#N/A,FALSE,"Summary";#N/A,#N/A,FALSE,"SmPlants";#N/A,#N/A,FALSE,"Utah";#N/A,#N/A,FALSE,"Idaho";#N/A,#N/A,FALSE,"Lewis River";#N/A,#N/A,FALSE,"NrthUmpq";#N/A,#N/A,FALSE,"KlamRog"}</definedName>
    <definedName name="HROptim_5" localSheetId="20" hidden="1">{#N/A,#N/A,FALSE,"Summary";#N/A,#N/A,FALSE,"SmPlants";#N/A,#N/A,FALSE,"Utah";#N/A,#N/A,FALSE,"Idaho";#N/A,#N/A,FALSE,"Lewis River";#N/A,#N/A,FALSE,"NrthUmpq";#N/A,#N/A,FALSE,"KlamRog"}</definedName>
    <definedName name="HROptim_5" localSheetId="21" hidden="1">{#N/A,#N/A,FALSE,"Summary";#N/A,#N/A,FALSE,"SmPlants";#N/A,#N/A,FALSE,"Utah";#N/A,#N/A,FALSE,"Idaho";#N/A,#N/A,FALSE,"Lewis River";#N/A,#N/A,FALSE,"NrthUmpq";#N/A,#N/A,FALSE,"KlamRog"}</definedName>
    <definedName name="HROptim_5" localSheetId="24" hidden="1">{#N/A,#N/A,FALSE,"Summary";#N/A,#N/A,FALSE,"SmPlants";#N/A,#N/A,FALSE,"Utah";#N/A,#N/A,FALSE,"Idaho";#N/A,#N/A,FALSE,"Lewis River";#N/A,#N/A,FALSE,"NrthUmpq";#N/A,#N/A,FALSE,"KlamRog"}</definedName>
    <definedName name="HROptim_5" localSheetId="27" hidden="1">{#N/A,#N/A,FALSE,"Summary";#N/A,#N/A,FALSE,"SmPlants";#N/A,#N/A,FALSE,"Utah";#N/A,#N/A,FALSE,"Idaho";#N/A,#N/A,FALSE,"Lewis River";#N/A,#N/A,FALSE,"NrthUmpq";#N/A,#N/A,FALSE,"KlamRog"}</definedName>
    <definedName name="HROptim_5" localSheetId="28" hidden="1">{#N/A,#N/A,FALSE,"Summary";#N/A,#N/A,FALSE,"SmPlants";#N/A,#N/A,FALSE,"Utah";#N/A,#N/A,FALSE,"Idaho";#N/A,#N/A,FALSE,"Lewis River";#N/A,#N/A,FALSE,"NrthUmpq";#N/A,#N/A,FALSE,"KlamRog"}</definedName>
    <definedName name="HROptim_5" localSheetId="29" hidden="1">{#N/A,#N/A,FALSE,"Summary";#N/A,#N/A,FALSE,"SmPlants";#N/A,#N/A,FALSE,"Utah";#N/A,#N/A,FALSE,"Idaho";#N/A,#N/A,FALSE,"Lewis River";#N/A,#N/A,FALSE,"NrthUmpq";#N/A,#N/A,FALSE,"KlamRog"}</definedName>
    <definedName name="HROptim_5" localSheetId="30" hidden="1">{#N/A,#N/A,FALSE,"Summary";#N/A,#N/A,FALSE,"SmPlants";#N/A,#N/A,FALSE,"Utah";#N/A,#N/A,FALSE,"Idaho";#N/A,#N/A,FALSE,"Lewis River";#N/A,#N/A,FALSE,"NrthUmpq";#N/A,#N/A,FALSE,"KlamRog"}</definedName>
    <definedName name="HROptim_5" localSheetId="31" hidden="1">{#N/A,#N/A,FALSE,"Summary";#N/A,#N/A,FALSE,"SmPlants";#N/A,#N/A,FALSE,"Utah";#N/A,#N/A,FALSE,"Idaho";#N/A,#N/A,FALSE,"Lewis River";#N/A,#N/A,FALSE,"NrthUmpq";#N/A,#N/A,FALSE,"KlamRog"}</definedName>
    <definedName name="HROptim_5" localSheetId="37" hidden="1">{#N/A,#N/A,FALSE,"Summary";#N/A,#N/A,FALSE,"SmPlants";#N/A,#N/A,FALSE,"Utah";#N/A,#N/A,FALSE,"Idaho";#N/A,#N/A,FALSE,"Lewis River";#N/A,#N/A,FALSE,"NrthUmpq";#N/A,#N/A,FALSE,"KlamRog"}</definedName>
    <definedName name="HROptim_5" localSheetId="41" hidden="1">{#N/A,#N/A,FALSE,"Summary";#N/A,#N/A,FALSE,"SmPlants";#N/A,#N/A,FALSE,"Utah";#N/A,#N/A,FALSE,"Idaho";#N/A,#N/A,FALSE,"Lewis River";#N/A,#N/A,FALSE,"NrthUmpq";#N/A,#N/A,FALSE,"KlamRog"}</definedName>
    <definedName name="HROptim_5" localSheetId="42" hidden="1">{#N/A,#N/A,FALSE,"Summary";#N/A,#N/A,FALSE,"SmPlants";#N/A,#N/A,FALSE,"Utah";#N/A,#N/A,FALSE,"Idaho";#N/A,#N/A,FALSE,"Lewis River";#N/A,#N/A,FALSE,"NrthUmpq";#N/A,#N/A,FALSE,"KlamRog"}</definedName>
    <definedName name="HROptim_5" localSheetId="0" hidden="1">{#N/A,#N/A,FALSE,"Summary";#N/A,#N/A,FALSE,"SmPlants";#N/A,#N/A,FALSE,"Utah";#N/A,#N/A,FALSE,"Idaho";#N/A,#N/A,FALSE,"Lewis River";#N/A,#N/A,FALSE,"NrthUmpq";#N/A,#N/A,FALSE,"KlamRog"}</definedName>
    <definedName name="HROptim_5" hidden="1">{#N/A,#N/A,FALSE,"Summary";#N/A,#N/A,FALSE,"SmPlants";#N/A,#N/A,FALSE,"Utah";#N/A,#N/A,FALSE,"Idaho";#N/A,#N/A,FALSE,"Lewis River";#N/A,#N/A,FALSE,"NrthUmpq";#N/A,#N/A,FALSE,"KlamRog"}</definedName>
    <definedName name="index1">#REF!</definedName>
    <definedName name="index1_desc">#REF!</definedName>
    <definedName name="index2">#REF!</definedName>
    <definedName name="index2_desc">#REF!</definedName>
    <definedName name="index3">#REF!</definedName>
    <definedName name="index3_desc">#REF!</definedName>
    <definedName name="index4">#REF!</definedName>
    <definedName name="index4_desc">#REF!</definedName>
    <definedName name="index5">#REF!</definedName>
    <definedName name="index5_desc">#REF!</definedName>
    <definedName name="index6">#REF!</definedName>
    <definedName name="index6_desc">#REF!</definedName>
    <definedName name="index7">#REF!</definedName>
    <definedName name="index7_desc">#REF!</definedName>
    <definedName name="inf">#REF!</definedName>
    <definedName name="Infl_Rate_2008">#REF!</definedName>
    <definedName name="Infl_Rate_2009">#REF!</definedName>
    <definedName name="inventory" localSheetId="1" hidden="1">{#N/A,#N/A,FALSE,"Summary";#N/A,#N/A,FALSE,"SmPlants";#N/A,#N/A,FALSE,"Utah";#N/A,#N/A,FALSE,"Idaho";#N/A,#N/A,FALSE,"Lewis River";#N/A,#N/A,FALSE,"NrthUmpq";#N/A,#N/A,FALSE,"KlamRog"}</definedName>
    <definedName name="inventory" localSheetId="3" hidden="1">{#N/A,#N/A,FALSE,"Summary";#N/A,#N/A,FALSE,"SmPlants";#N/A,#N/A,FALSE,"Utah";#N/A,#N/A,FALSE,"Idaho";#N/A,#N/A,FALSE,"Lewis River";#N/A,#N/A,FALSE,"NrthUmpq";#N/A,#N/A,FALSE,"KlamRog"}</definedName>
    <definedName name="inventory" localSheetId="4" hidden="1">{#N/A,#N/A,FALSE,"Summary";#N/A,#N/A,FALSE,"SmPlants";#N/A,#N/A,FALSE,"Utah";#N/A,#N/A,FALSE,"Idaho";#N/A,#N/A,FALSE,"Lewis River";#N/A,#N/A,FALSE,"NrthUmpq";#N/A,#N/A,FALSE,"KlamRog"}</definedName>
    <definedName name="inventory" localSheetId="18" hidden="1">{#N/A,#N/A,FALSE,"Summary";#N/A,#N/A,FALSE,"SmPlants";#N/A,#N/A,FALSE,"Utah";#N/A,#N/A,FALSE,"Idaho";#N/A,#N/A,FALSE,"Lewis River";#N/A,#N/A,FALSE,"NrthUmpq";#N/A,#N/A,FALSE,"KlamRog"}</definedName>
    <definedName name="inventory" localSheetId="19" hidden="1">{#N/A,#N/A,FALSE,"Summary";#N/A,#N/A,FALSE,"SmPlants";#N/A,#N/A,FALSE,"Utah";#N/A,#N/A,FALSE,"Idaho";#N/A,#N/A,FALSE,"Lewis River";#N/A,#N/A,FALSE,"NrthUmpq";#N/A,#N/A,FALSE,"KlamRog"}</definedName>
    <definedName name="inventory" localSheetId="20" hidden="1">{#N/A,#N/A,FALSE,"Summary";#N/A,#N/A,FALSE,"SmPlants";#N/A,#N/A,FALSE,"Utah";#N/A,#N/A,FALSE,"Idaho";#N/A,#N/A,FALSE,"Lewis River";#N/A,#N/A,FALSE,"NrthUmpq";#N/A,#N/A,FALSE,"KlamRog"}</definedName>
    <definedName name="inventory" localSheetId="21" hidden="1">{#N/A,#N/A,FALSE,"Summary";#N/A,#N/A,FALSE,"SmPlants";#N/A,#N/A,FALSE,"Utah";#N/A,#N/A,FALSE,"Idaho";#N/A,#N/A,FALSE,"Lewis River";#N/A,#N/A,FALSE,"NrthUmpq";#N/A,#N/A,FALSE,"KlamRog"}</definedName>
    <definedName name="inventory" localSheetId="24" hidden="1">{#N/A,#N/A,FALSE,"Summary";#N/A,#N/A,FALSE,"SmPlants";#N/A,#N/A,FALSE,"Utah";#N/A,#N/A,FALSE,"Idaho";#N/A,#N/A,FALSE,"Lewis River";#N/A,#N/A,FALSE,"NrthUmpq";#N/A,#N/A,FALSE,"KlamRog"}</definedName>
    <definedName name="inventory" localSheetId="27" hidden="1">{#N/A,#N/A,FALSE,"Summary";#N/A,#N/A,FALSE,"SmPlants";#N/A,#N/A,FALSE,"Utah";#N/A,#N/A,FALSE,"Idaho";#N/A,#N/A,FALSE,"Lewis River";#N/A,#N/A,FALSE,"NrthUmpq";#N/A,#N/A,FALSE,"KlamRog"}</definedName>
    <definedName name="inventory" localSheetId="28" hidden="1">{#N/A,#N/A,FALSE,"Summary";#N/A,#N/A,FALSE,"SmPlants";#N/A,#N/A,FALSE,"Utah";#N/A,#N/A,FALSE,"Idaho";#N/A,#N/A,FALSE,"Lewis River";#N/A,#N/A,FALSE,"NrthUmpq";#N/A,#N/A,FALSE,"KlamRog"}</definedName>
    <definedName name="inventory" localSheetId="29" hidden="1">{#N/A,#N/A,FALSE,"Summary";#N/A,#N/A,FALSE,"SmPlants";#N/A,#N/A,FALSE,"Utah";#N/A,#N/A,FALSE,"Idaho";#N/A,#N/A,FALSE,"Lewis River";#N/A,#N/A,FALSE,"NrthUmpq";#N/A,#N/A,FALSE,"KlamRog"}</definedName>
    <definedName name="inventory" localSheetId="30" hidden="1">{#N/A,#N/A,FALSE,"Summary";#N/A,#N/A,FALSE,"SmPlants";#N/A,#N/A,FALSE,"Utah";#N/A,#N/A,FALSE,"Idaho";#N/A,#N/A,FALSE,"Lewis River";#N/A,#N/A,FALSE,"NrthUmpq";#N/A,#N/A,FALSE,"KlamRog"}</definedName>
    <definedName name="inventory" localSheetId="31" hidden="1">{#N/A,#N/A,FALSE,"Summary";#N/A,#N/A,FALSE,"SmPlants";#N/A,#N/A,FALSE,"Utah";#N/A,#N/A,FALSE,"Idaho";#N/A,#N/A,FALSE,"Lewis River";#N/A,#N/A,FALSE,"NrthUmpq";#N/A,#N/A,FALSE,"KlamRog"}</definedName>
    <definedName name="inventory" localSheetId="37" hidden="1">{#N/A,#N/A,FALSE,"Summary";#N/A,#N/A,FALSE,"SmPlants";#N/A,#N/A,FALSE,"Utah";#N/A,#N/A,FALSE,"Idaho";#N/A,#N/A,FALSE,"Lewis River";#N/A,#N/A,FALSE,"NrthUmpq";#N/A,#N/A,FALSE,"KlamRog"}</definedName>
    <definedName name="inventory" localSheetId="41" hidden="1">{#N/A,#N/A,FALSE,"Summary";#N/A,#N/A,FALSE,"SmPlants";#N/A,#N/A,FALSE,"Utah";#N/A,#N/A,FALSE,"Idaho";#N/A,#N/A,FALSE,"Lewis River";#N/A,#N/A,FALSE,"NrthUmpq";#N/A,#N/A,FALSE,"KlamRog"}</definedName>
    <definedName name="inventory" localSheetId="42" hidden="1">{#N/A,#N/A,FALSE,"Summary";#N/A,#N/A,FALSE,"SmPlants";#N/A,#N/A,FALSE,"Utah";#N/A,#N/A,FALSE,"Idaho";#N/A,#N/A,FALSE,"Lewis River";#N/A,#N/A,FALSE,"NrthUmpq";#N/A,#N/A,FALSE,"KlamRog"}</definedName>
    <definedName name="inventory" localSheetId="0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entory_1" localSheetId="1" hidden="1">{#N/A,#N/A,FALSE,"Summary";#N/A,#N/A,FALSE,"SmPlants";#N/A,#N/A,FALSE,"Utah";#N/A,#N/A,FALSE,"Idaho";#N/A,#N/A,FALSE,"Lewis River";#N/A,#N/A,FALSE,"NrthUmpq";#N/A,#N/A,FALSE,"KlamRog"}</definedName>
    <definedName name="inventory_1" localSheetId="3" hidden="1">{#N/A,#N/A,FALSE,"Summary";#N/A,#N/A,FALSE,"SmPlants";#N/A,#N/A,FALSE,"Utah";#N/A,#N/A,FALSE,"Idaho";#N/A,#N/A,FALSE,"Lewis River";#N/A,#N/A,FALSE,"NrthUmpq";#N/A,#N/A,FALSE,"KlamRog"}</definedName>
    <definedName name="inventory_1" localSheetId="4" hidden="1">{#N/A,#N/A,FALSE,"Summary";#N/A,#N/A,FALSE,"SmPlants";#N/A,#N/A,FALSE,"Utah";#N/A,#N/A,FALSE,"Idaho";#N/A,#N/A,FALSE,"Lewis River";#N/A,#N/A,FALSE,"NrthUmpq";#N/A,#N/A,FALSE,"KlamRog"}</definedName>
    <definedName name="inventory_1" localSheetId="18" hidden="1">{#N/A,#N/A,FALSE,"Summary";#N/A,#N/A,FALSE,"SmPlants";#N/A,#N/A,FALSE,"Utah";#N/A,#N/A,FALSE,"Idaho";#N/A,#N/A,FALSE,"Lewis River";#N/A,#N/A,FALSE,"NrthUmpq";#N/A,#N/A,FALSE,"KlamRog"}</definedName>
    <definedName name="inventory_1" localSheetId="19" hidden="1">{#N/A,#N/A,FALSE,"Summary";#N/A,#N/A,FALSE,"SmPlants";#N/A,#N/A,FALSE,"Utah";#N/A,#N/A,FALSE,"Idaho";#N/A,#N/A,FALSE,"Lewis River";#N/A,#N/A,FALSE,"NrthUmpq";#N/A,#N/A,FALSE,"KlamRog"}</definedName>
    <definedName name="inventory_1" localSheetId="20" hidden="1">{#N/A,#N/A,FALSE,"Summary";#N/A,#N/A,FALSE,"SmPlants";#N/A,#N/A,FALSE,"Utah";#N/A,#N/A,FALSE,"Idaho";#N/A,#N/A,FALSE,"Lewis River";#N/A,#N/A,FALSE,"NrthUmpq";#N/A,#N/A,FALSE,"KlamRog"}</definedName>
    <definedName name="inventory_1" localSheetId="21" hidden="1">{#N/A,#N/A,FALSE,"Summary";#N/A,#N/A,FALSE,"SmPlants";#N/A,#N/A,FALSE,"Utah";#N/A,#N/A,FALSE,"Idaho";#N/A,#N/A,FALSE,"Lewis River";#N/A,#N/A,FALSE,"NrthUmpq";#N/A,#N/A,FALSE,"KlamRog"}</definedName>
    <definedName name="inventory_1" localSheetId="24" hidden="1">{#N/A,#N/A,FALSE,"Summary";#N/A,#N/A,FALSE,"SmPlants";#N/A,#N/A,FALSE,"Utah";#N/A,#N/A,FALSE,"Idaho";#N/A,#N/A,FALSE,"Lewis River";#N/A,#N/A,FALSE,"NrthUmpq";#N/A,#N/A,FALSE,"KlamRog"}</definedName>
    <definedName name="inventory_1" localSheetId="27" hidden="1">{#N/A,#N/A,FALSE,"Summary";#N/A,#N/A,FALSE,"SmPlants";#N/A,#N/A,FALSE,"Utah";#N/A,#N/A,FALSE,"Idaho";#N/A,#N/A,FALSE,"Lewis River";#N/A,#N/A,FALSE,"NrthUmpq";#N/A,#N/A,FALSE,"KlamRog"}</definedName>
    <definedName name="inventory_1" localSheetId="28" hidden="1">{#N/A,#N/A,FALSE,"Summary";#N/A,#N/A,FALSE,"SmPlants";#N/A,#N/A,FALSE,"Utah";#N/A,#N/A,FALSE,"Idaho";#N/A,#N/A,FALSE,"Lewis River";#N/A,#N/A,FALSE,"NrthUmpq";#N/A,#N/A,FALSE,"KlamRog"}</definedName>
    <definedName name="inventory_1" localSheetId="29" hidden="1">{#N/A,#N/A,FALSE,"Summary";#N/A,#N/A,FALSE,"SmPlants";#N/A,#N/A,FALSE,"Utah";#N/A,#N/A,FALSE,"Idaho";#N/A,#N/A,FALSE,"Lewis River";#N/A,#N/A,FALSE,"NrthUmpq";#N/A,#N/A,FALSE,"KlamRog"}</definedName>
    <definedName name="inventory_1" localSheetId="30" hidden="1">{#N/A,#N/A,FALSE,"Summary";#N/A,#N/A,FALSE,"SmPlants";#N/A,#N/A,FALSE,"Utah";#N/A,#N/A,FALSE,"Idaho";#N/A,#N/A,FALSE,"Lewis River";#N/A,#N/A,FALSE,"NrthUmpq";#N/A,#N/A,FALSE,"KlamRog"}</definedName>
    <definedName name="inventory_1" localSheetId="31" hidden="1">{#N/A,#N/A,FALSE,"Summary";#N/A,#N/A,FALSE,"SmPlants";#N/A,#N/A,FALSE,"Utah";#N/A,#N/A,FALSE,"Idaho";#N/A,#N/A,FALSE,"Lewis River";#N/A,#N/A,FALSE,"NrthUmpq";#N/A,#N/A,FALSE,"KlamRog"}</definedName>
    <definedName name="inventory_1" localSheetId="37" hidden="1">{#N/A,#N/A,FALSE,"Summary";#N/A,#N/A,FALSE,"SmPlants";#N/A,#N/A,FALSE,"Utah";#N/A,#N/A,FALSE,"Idaho";#N/A,#N/A,FALSE,"Lewis River";#N/A,#N/A,FALSE,"NrthUmpq";#N/A,#N/A,FALSE,"KlamRog"}</definedName>
    <definedName name="inventory_1" localSheetId="41" hidden="1">{#N/A,#N/A,FALSE,"Summary";#N/A,#N/A,FALSE,"SmPlants";#N/A,#N/A,FALSE,"Utah";#N/A,#N/A,FALSE,"Idaho";#N/A,#N/A,FALSE,"Lewis River";#N/A,#N/A,FALSE,"NrthUmpq";#N/A,#N/A,FALSE,"KlamRog"}</definedName>
    <definedName name="inventory_1" localSheetId="42" hidden="1">{#N/A,#N/A,FALSE,"Summary";#N/A,#N/A,FALSE,"SmPlants";#N/A,#N/A,FALSE,"Utah";#N/A,#N/A,FALSE,"Idaho";#N/A,#N/A,FALSE,"Lewis River";#N/A,#N/A,FALSE,"NrthUmpq";#N/A,#N/A,FALSE,"KlamRog"}</definedName>
    <definedName name="inventory_1" localSheetId="0" hidden="1">{#N/A,#N/A,FALSE,"Summary";#N/A,#N/A,FALSE,"SmPlants";#N/A,#N/A,FALSE,"Utah";#N/A,#N/A,FALSE,"Idaho";#N/A,#N/A,FALSE,"Lewis River";#N/A,#N/A,FALSE,"NrthUmpq";#N/A,#N/A,FALSE,"KlamRog"}</definedName>
    <definedName name="inventory_1" hidden="1">{#N/A,#N/A,FALSE,"Summary";#N/A,#N/A,FALSE,"SmPlants";#N/A,#N/A,FALSE,"Utah";#N/A,#N/A,FALSE,"Idaho";#N/A,#N/A,FALSE,"Lewis River";#N/A,#N/A,FALSE,"NrthUmpq";#N/A,#N/A,FALSE,"KlamRog"}</definedName>
    <definedName name="inventory_2" localSheetId="1" hidden="1">{#N/A,#N/A,FALSE,"Summary";#N/A,#N/A,FALSE,"SmPlants";#N/A,#N/A,FALSE,"Utah";#N/A,#N/A,FALSE,"Idaho";#N/A,#N/A,FALSE,"Lewis River";#N/A,#N/A,FALSE,"NrthUmpq";#N/A,#N/A,FALSE,"KlamRog"}</definedName>
    <definedName name="inventory_2" localSheetId="3" hidden="1">{#N/A,#N/A,FALSE,"Summary";#N/A,#N/A,FALSE,"SmPlants";#N/A,#N/A,FALSE,"Utah";#N/A,#N/A,FALSE,"Idaho";#N/A,#N/A,FALSE,"Lewis River";#N/A,#N/A,FALSE,"NrthUmpq";#N/A,#N/A,FALSE,"KlamRog"}</definedName>
    <definedName name="inventory_2" localSheetId="4" hidden="1">{#N/A,#N/A,FALSE,"Summary";#N/A,#N/A,FALSE,"SmPlants";#N/A,#N/A,FALSE,"Utah";#N/A,#N/A,FALSE,"Idaho";#N/A,#N/A,FALSE,"Lewis River";#N/A,#N/A,FALSE,"NrthUmpq";#N/A,#N/A,FALSE,"KlamRog"}</definedName>
    <definedName name="inventory_2" localSheetId="18" hidden="1">{#N/A,#N/A,FALSE,"Summary";#N/A,#N/A,FALSE,"SmPlants";#N/A,#N/A,FALSE,"Utah";#N/A,#N/A,FALSE,"Idaho";#N/A,#N/A,FALSE,"Lewis River";#N/A,#N/A,FALSE,"NrthUmpq";#N/A,#N/A,FALSE,"KlamRog"}</definedName>
    <definedName name="inventory_2" localSheetId="19" hidden="1">{#N/A,#N/A,FALSE,"Summary";#N/A,#N/A,FALSE,"SmPlants";#N/A,#N/A,FALSE,"Utah";#N/A,#N/A,FALSE,"Idaho";#N/A,#N/A,FALSE,"Lewis River";#N/A,#N/A,FALSE,"NrthUmpq";#N/A,#N/A,FALSE,"KlamRog"}</definedName>
    <definedName name="inventory_2" localSheetId="20" hidden="1">{#N/A,#N/A,FALSE,"Summary";#N/A,#N/A,FALSE,"SmPlants";#N/A,#N/A,FALSE,"Utah";#N/A,#N/A,FALSE,"Idaho";#N/A,#N/A,FALSE,"Lewis River";#N/A,#N/A,FALSE,"NrthUmpq";#N/A,#N/A,FALSE,"KlamRog"}</definedName>
    <definedName name="inventory_2" localSheetId="21" hidden="1">{#N/A,#N/A,FALSE,"Summary";#N/A,#N/A,FALSE,"SmPlants";#N/A,#N/A,FALSE,"Utah";#N/A,#N/A,FALSE,"Idaho";#N/A,#N/A,FALSE,"Lewis River";#N/A,#N/A,FALSE,"NrthUmpq";#N/A,#N/A,FALSE,"KlamRog"}</definedName>
    <definedName name="inventory_2" localSheetId="24" hidden="1">{#N/A,#N/A,FALSE,"Summary";#N/A,#N/A,FALSE,"SmPlants";#N/A,#N/A,FALSE,"Utah";#N/A,#N/A,FALSE,"Idaho";#N/A,#N/A,FALSE,"Lewis River";#N/A,#N/A,FALSE,"NrthUmpq";#N/A,#N/A,FALSE,"KlamRog"}</definedName>
    <definedName name="inventory_2" localSheetId="27" hidden="1">{#N/A,#N/A,FALSE,"Summary";#N/A,#N/A,FALSE,"SmPlants";#N/A,#N/A,FALSE,"Utah";#N/A,#N/A,FALSE,"Idaho";#N/A,#N/A,FALSE,"Lewis River";#N/A,#N/A,FALSE,"NrthUmpq";#N/A,#N/A,FALSE,"KlamRog"}</definedName>
    <definedName name="inventory_2" localSheetId="28" hidden="1">{#N/A,#N/A,FALSE,"Summary";#N/A,#N/A,FALSE,"SmPlants";#N/A,#N/A,FALSE,"Utah";#N/A,#N/A,FALSE,"Idaho";#N/A,#N/A,FALSE,"Lewis River";#N/A,#N/A,FALSE,"NrthUmpq";#N/A,#N/A,FALSE,"KlamRog"}</definedName>
    <definedName name="inventory_2" localSheetId="29" hidden="1">{#N/A,#N/A,FALSE,"Summary";#N/A,#N/A,FALSE,"SmPlants";#N/A,#N/A,FALSE,"Utah";#N/A,#N/A,FALSE,"Idaho";#N/A,#N/A,FALSE,"Lewis River";#N/A,#N/A,FALSE,"NrthUmpq";#N/A,#N/A,FALSE,"KlamRog"}</definedName>
    <definedName name="inventory_2" localSheetId="30" hidden="1">{#N/A,#N/A,FALSE,"Summary";#N/A,#N/A,FALSE,"SmPlants";#N/A,#N/A,FALSE,"Utah";#N/A,#N/A,FALSE,"Idaho";#N/A,#N/A,FALSE,"Lewis River";#N/A,#N/A,FALSE,"NrthUmpq";#N/A,#N/A,FALSE,"KlamRog"}</definedName>
    <definedName name="inventory_2" localSheetId="31" hidden="1">{#N/A,#N/A,FALSE,"Summary";#N/A,#N/A,FALSE,"SmPlants";#N/A,#N/A,FALSE,"Utah";#N/A,#N/A,FALSE,"Idaho";#N/A,#N/A,FALSE,"Lewis River";#N/A,#N/A,FALSE,"NrthUmpq";#N/A,#N/A,FALSE,"KlamRog"}</definedName>
    <definedName name="inventory_2" localSheetId="37" hidden="1">{#N/A,#N/A,FALSE,"Summary";#N/A,#N/A,FALSE,"SmPlants";#N/A,#N/A,FALSE,"Utah";#N/A,#N/A,FALSE,"Idaho";#N/A,#N/A,FALSE,"Lewis River";#N/A,#N/A,FALSE,"NrthUmpq";#N/A,#N/A,FALSE,"KlamRog"}</definedName>
    <definedName name="inventory_2" localSheetId="41" hidden="1">{#N/A,#N/A,FALSE,"Summary";#N/A,#N/A,FALSE,"SmPlants";#N/A,#N/A,FALSE,"Utah";#N/A,#N/A,FALSE,"Idaho";#N/A,#N/A,FALSE,"Lewis River";#N/A,#N/A,FALSE,"NrthUmpq";#N/A,#N/A,FALSE,"KlamRog"}</definedName>
    <definedName name="inventory_2" localSheetId="42" hidden="1">{#N/A,#N/A,FALSE,"Summary";#N/A,#N/A,FALSE,"SmPlants";#N/A,#N/A,FALSE,"Utah";#N/A,#N/A,FALSE,"Idaho";#N/A,#N/A,FALSE,"Lewis River";#N/A,#N/A,FALSE,"NrthUmpq";#N/A,#N/A,FALSE,"KlamRog"}</definedName>
    <definedName name="inventory_2" localSheetId="0" hidden="1">{#N/A,#N/A,FALSE,"Summary";#N/A,#N/A,FALSE,"SmPlants";#N/A,#N/A,FALSE,"Utah";#N/A,#N/A,FALSE,"Idaho";#N/A,#N/A,FALSE,"Lewis River";#N/A,#N/A,FALSE,"NrthUmpq";#N/A,#N/A,FALSE,"KlamRog"}</definedName>
    <definedName name="inventory_2" hidden="1">{#N/A,#N/A,FALSE,"Summary";#N/A,#N/A,FALSE,"SmPlants";#N/A,#N/A,FALSE,"Utah";#N/A,#N/A,FALSE,"Idaho";#N/A,#N/A,FALSE,"Lewis River";#N/A,#N/A,FALSE,"NrthUmpq";#N/A,#N/A,FALSE,"KlamRog"}</definedName>
    <definedName name="inventory_3" localSheetId="1" hidden="1">{#N/A,#N/A,FALSE,"Summary";#N/A,#N/A,FALSE,"SmPlants";#N/A,#N/A,FALSE,"Utah";#N/A,#N/A,FALSE,"Idaho";#N/A,#N/A,FALSE,"Lewis River";#N/A,#N/A,FALSE,"NrthUmpq";#N/A,#N/A,FALSE,"KlamRog"}</definedName>
    <definedName name="inventory_3" localSheetId="3" hidden="1">{#N/A,#N/A,FALSE,"Summary";#N/A,#N/A,FALSE,"SmPlants";#N/A,#N/A,FALSE,"Utah";#N/A,#N/A,FALSE,"Idaho";#N/A,#N/A,FALSE,"Lewis River";#N/A,#N/A,FALSE,"NrthUmpq";#N/A,#N/A,FALSE,"KlamRog"}</definedName>
    <definedName name="inventory_3" localSheetId="4" hidden="1">{#N/A,#N/A,FALSE,"Summary";#N/A,#N/A,FALSE,"SmPlants";#N/A,#N/A,FALSE,"Utah";#N/A,#N/A,FALSE,"Idaho";#N/A,#N/A,FALSE,"Lewis River";#N/A,#N/A,FALSE,"NrthUmpq";#N/A,#N/A,FALSE,"KlamRog"}</definedName>
    <definedName name="inventory_3" localSheetId="18" hidden="1">{#N/A,#N/A,FALSE,"Summary";#N/A,#N/A,FALSE,"SmPlants";#N/A,#N/A,FALSE,"Utah";#N/A,#N/A,FALSE,"Idaho";#N/A,#N/A,FALSE,"Lewis River";#N/A,#N/A,FALSE,"NrthUmpq";#N/A,#N/A,FALSE,"KlamRog"}</definedName>
    <definedName name="inventory_3" localSheetId="19" hidden="1">{#N/A,#N/A,FALSE,"Summary";#N/A,#N/A,FALSE,"SmPlants";#N/A,#N/A,FALSE,"Utah";#N/A,#N/A,FALSE,"Idaho";#N/A,#N/A,FALSE,"Lewis River";#N/A,#N/A,FALSE,"NrthUmpq";#N/A,#N/A,FALSE,"KlamRog"}</definedName>
    <definedName name="inventory_3" localSheetId="20" hidden="1">{#N/A,#N/A,FALSE,"Summary";#N/A,#N/A,FALSE,"SmPlants";#N/A,#N/A,FALSE,"Utah";#N/A,#N/A,FALSE,"Idaho";#N/A,#N/A,FALSE,"Lewis River";#N/A,#N/A,FALSE,"NrthUmpq";#N/A,#N/A,FALSE,"KlamRog"}</definedName>
    <definedName name="inventory_3" localSheetId="21" hidden="1">{#N/A,#N/A,FALSE,"Summary";#N/A,#N/A,FALSE,"SmPlants";#N/A,#N/A,FALSE,"Utah";#N/A,#N/A,FALSE,"Idaho";#N/A,#N/A,FALSE,"Lewis River";#N/A,#N/A,FALSE,"NrthUmpq";#N/A,#N/A,FALSE,"KlamRog"}</definedName>
    <definedName name="inventory_3" localSheetId="24" hidden="1">{#N/A,#N/A,FALSE,"Summary";#N/A,#N/A,FALSE,"SmPlants";#N/A,#N/A,FALSE,"Utah";#N/A,#N/A,FALSE,"Idaho";#N/A,#N/A,FALSE,"Lewis River";#N/A,#N/A,FALSE,"NrthUmpq";#N/A,#N/A,FALSE,"KlamRog"}</definedName>
    <definedName name="inventory_3" localSheetId="27" hidden="1">{#N/A,#N/A,FALSE,"Summary";#N/A,#N/A,FALSE,"SmPlants";#N/A,#N/A,FALSE,"Utah";#N/A,#N/A,FALSE,"Idaho";#N/A,#N/A,FALSE,"Lewis River";#N/A,#N/A,FALSE,"NrthUmpq";#N/A,#N/A,FALSE,"KlamRog"}</definedName>
    <definedName name="inventory_3" localSheetId="28" hidden="1">{#N/A,#N/A,FALSE,"Summary";#N/A,#N/A,FALSE,"SmPlants";#N/A,#N/A,FALSE,"Utah";#N/A,#N/A,FALSE,"Idaho";#N/A,#N/A,FALSE,"Lewis River";#N/A,#N/A,FALSE,"NrthUmpq";#N/A,#N/A,FALSE,"KlamRog"}</definedName>
    <definedName name="inventory_3" localSheetId="29" hidden="1">{#N/A,#N/A,FALSE,"Summary";#N/A,#N/A,FALSE,"SmPlants";#N/A,#N/A,FALSE,"Utah";#N/A,#N/A,FALSE,"Idaho";#N/A,#N/A,FALSE,"Lewis River";#N/A,#N/A,FALSE,"NrthUmpq";#N/A,#N/A,FALSE,"KlamRog"}</definedName>
    <definedName name="inventory_3" localSheetId="30" hidden="1">{#N/A,#N/A,FALSE,"Summary";#N/A,#N/A,FALSE,"SmPlants";#N/A,#N/A,FALSE,"Utah";#N/A,#N/A,FALSE,"Idaho";#N/A,#N/A,FALSE,"Lewis River";#N/A,#N/A,FALSE,"NrthUmpq";#N/A,#N/A,FALSE,"KlamRog"}</definedName>
    <definedName name="inventory_3" localSheetId="31" hidden="1">{#N/A,#N/A,FALSE,"Summary";#N/A,#N/A,FALSE,"SmPlants";#N/A,#N/A,FALSE,"Utah";#N/A,#N/A,FALSE,"Idaho";#N/A,#N/A,FALSE,"Lewis River";#N/A,#N/A,FALSE,"NrthUmpq";#N/A,#N/A,FALSE,"KlamRog"}</definedName>
    <definedName name="inventory_3" localSheetId="37" hidden="1">{#N/A,#N/A,FALSE,"Summary";#N/A,#N/A,FALSE,"SmPlants";#N/A,#N/A,FALSE,"Utah";#N/A,#N/A,FALSE,"Idaho";#N/A,#N/A,FALSE,"Lewis River";#N/A,#N/A,FALSE,"NrthUmpq";#N/A,#N/A,FALSE,"KlamRog"}</definedName>
    <definedName name="inventory_3" localSheetId="41" hidden="1">{#N/A,#N/A,FALSE,"Summary";#N/A,#N/A,FALSE,"SmPlants";#N/A,#N/A,FALSE,"Utah";#N/A,#N/A,FALSE,"Idaho";#N/A,#N/A,FALSE,"Lewis River";#N/A,#N/A,FALSE,"NrthUmpq";#N/A,#N/A,FALSE,"KlamRog"}</definedName>
    <definedName name="inventory_3" localSheetId="42" hidden="1">{#N/A,#N/A,FALSE,"Summary";#N/A,#N/A,FALSE,"SmPlants";#N/A,#N/A,FALSE,"Utah";#N/A,#N/A,FALSE,"Idaho";#N/A,#N/A,FALSE,"Lewis River";#N/A,#N/A,FALSE,"NrthUmpq";#N/A,#N/A,FALSE,"KlamRog"}</definedName>
    <definedName name="inventory_3" localSheetId="0" hidden="1">{#N/A,#N/A,FALSE,"Summary";#N/A,#N/A,FALSE,"SmPlants";#N/A,#N/A,FALSE,"Utah";#N/A,#N/A,FALSE,"Idaho";#N/A,#N/A,FALSE,"Lewis River";#N/A,#N/A,FALSE,"NrthUmpq";#N/A,#N/A,FALSE,"KlamRog"}</definedName>
    <definedName name="inventory_3" hidden="1">{#N/A,#N/A,FALSE,"Summary";#N/A,#N/A,FALSE,"SmPlants";#N/A,#N/A,FALSE,"Utah";#N/A,#N/A,FALSE,"Idaho";#N/A,#N/A,FALSE,"Lewis River";#N/A,#N/A,FALSE,"NrthUmpq";#N/A,#N/A,FALSE,"KlamRog"}</definedName>
    <definedName name="inventory_4" localSheetId="1" hidden="1">{#N/A,#N/A,FALSE,"Summary";#N/A,#N/A,FALSE,"SmPlants";#N/A,#N/A,FALSE,"Utah";#N/A,#N/A,FALSE,"Idaho";#N/A,#N/A,FALSE,"Lewis River";#N/A,#N/A,FALSE,"NrthUmpq";#N/A,#N/A,FALSE,"KlamRog"}</definedName>
    <definedName name="inventory_4" localSheetId="3" hidden="1">{#N/A,#N/A,FALSE,"Summary";#N/A,#N/A,FALSE,"SmPlants";#N/A,#N/A,FALSE,"Utah";#N/A,#N/A,FALSE,"Idaho";#N/A,#N/A,FALSE,"Lewis River";#N/A,#N/A,FALSE,"NrthUmpq";#N/A,#N/A,FALSE,"KlamRog"}</definedName>
    <definedName name="inventory_4" localSheetId="4" hidden="1">{#N/A,#N/A,FALSE,"Summary";#N/A,#N/A,FALSE,"SmPlants";#N/A,#N/A,FALSE,"Utah";#N/A,#N/A,FALSE,"Idaho";#N/A,#N/A,FALSE,"Lewis River";#N/A,#N/A,FALSE,"NrthUmpq";#N/A,#N/A,FALSE,"KlamRog"}</definedName>
    <definedName name="inventory_4" localSheetId="18" hidden="1">{#N/A,#N/A,FALSE,"Summary";#N/A,#N/A,FALSE,"SmPlants";#N/A,#N/A,FALSE,"Utah";#N/A,#N/A,FALSE,"Idaho";#N/A,#N/A,FALSE,"Lewis River";#N/A,#N/A,FALSE,"NrthUmpq";#N/A,#N/A,FALSE,"KlamRog"}</definedName>
    <definedName name="inventory_4" localSheetId="19" hidden="1">{#N/A,#N/A,FALSE,"Summary";#N/A,#N/A,FALSE,"SmPlants";#N/A,#N/A,FALSE,"Utah";#N/A,#N/A,FALSE,"Idaho";#N/A,#N/A,FALSE,"Lewis River";#N/A,#N/A,FALSE,"NrthUmpq";#N/A,#N/A,FALSE,"KlamRog"}</definedName>
    <definedName name="inventory_4" localSheetId="20" hidden="1">{#N/A,#N/A,FALSE,"Summary";#N/A,#N/A,FALSE,"SmPlants";#N/A,#N/A,FALSE,"Utah";#N/A,#N/A,FALSE,"Idaho";#N/A,#N/A,FALSE,"Lewis River";#N/A,#N/A,FALSE,"NrthUmpq";#N/A,#N/A,FALSE,"KlamRog"}</definedName>
    <definedName name="inventory_4" localSheetId="21" hidden="1">{#N/A,#N/A,FALSE,"Summary";#N/A,#N/A,FALSE,"SmPlants";#N/A,#N/A,FALSE,"Utah";#N/A,#N/A,FALSE,"Idaho";#N/A,#N/A,FALSE,"Lewis River";#N/A,#N/A,FALSE,"NrthUmpq";#N/A,#N/A,FALSE,"KlamRog"}</definedName>
    <definedName name="inventory_4" localSheetId="24" hidden="1">{#N/A,#N/A,FALSE,"Summary";#N/A,#N/A,FALSE,"SmPlants";#N/A,#N/A,FALSE,"Utah";#N/A,#N/A,FALSE,"Idaho";#N/A,#N/A,FALSE,"Lewis River";#N/A,#N/A,FALSE,"NrthUmpq";#N/A,#N/A,FALSE,"KlamRog"}</definedName>
    <definedName name="inventory_4" localSheetId="27" hidden="1">{#N/A,#N/A,FALSE,"Summary";#N/A,#N/A,FALSE,"SmPlants";#N/A,#N/A,FALSE,"Utah";#N/A,#N/A,FALSE,"Idaho";#N/A,#N/A,FALSE,"Lewis River";#N/A,#N/A,FALSE,"NrthUmpq";#N/A,#N/A,FALSE,"KlamRog"}</definedName>
    <definedName name="inventory_4" localSheetId="28" hidden="1">{#N/A,#N/A,FALSE,"Summary";#N/A,#N/A,FALSE,"SmPlants";#N/A,#N/A,FALSE,"Utah";#N/A,#N/A,FALSE,"Idaho";#N/A,#N/A,FALSE,"Lewis River";#N/A,#N/A,FALSE,"NrthUmpq";#N/A,#N/A,FALSE,"KlamRog"}</definedName>
    <definedName name="inventory_4" localSheetId="29" hidden="1">{#N/A,#N/A,FALSE,"Summary";#N/A,#N/A,FALSE,"SmPlants";#N/A,#N/A,FALSE,"Utah";#N/A,#N/A,FALSE,"Idaho";#N/A,#N/A,FALSE,"Lewis River";#N/A,#N/A,FALSE,"NrthUmpq";#N/A,#N/A,FALSE,"KlamRog"}</definedName>
    <definedName name="inventory_4" localSheetId="30" hidden="1">{#N/A,#N/A,FALSE,"Summary";#N/A,#N/A,FALSE,"SmPlants";#N/A,#N/A,FALSE,"Utah";#N/A,#N/A,FALSE,"Idaho";#N/A,#N/A,FALSE,"Lewis River";#N/A,#N/A,FALSE,"NrthUmpq";#N/A,#N/A,FALSE,"KlamRog"}</definedName>
    <definedName name="inventory_4" localSheetId="31" hidden="1">{#N/A,#N/A,FALSE,"Summary";#N/A,#N/A,FALSE,"SmPlants";#N/A,#N/A,FALSE,"Utah";#N/A,#N/A,FALSE,"Idaho";#N/A,#N/A,FALSE,"Lewis River";#N/A,#N/A,FALSE,"NrthUmpq";#N/A,#N/A,FALSE,"KlamRog"}</definedName>
    <definedName name="inventory_4" localSheetId="37" hidden="1">{#N/A,#N/A,FALSE,"Summary";#N/A,#N/A,FALSE,"SmPlants";#N/A,#N/A,FALSE,"Utah";#N/A,#N/A,FALSE,"Idaho";#N/A,#N/A,FALSE,"Lewis River";#N/A,#N/A,FALSE,"NrthUmpq";#N/A,#N/A,FALSE,"KlamRog"}</definedName>
    <definedName name="inventory_4" localSheetId="41" hidden="1">{#N/A,#N/A,FALSE,"Summary";#N/A,#N/A,FALSE,"SmPlants";#N/A,#N/A,FALSE,"Utah";#N/A,#N/A,FALSE,"Idaho";#N/A,#N/A,FALSE,"Lewis River";#N/A,#N/A,FALSE,"NrthUmpq";#N/A,#N/A,FALSE,"KlamRog"}</definedName>
    <definedName name="inventory_4" localSheetId="42" hidden="1">{#N/A,#N/A,FALSE,"Summary";#N/A,#N/A,FALSE,"SmPlants";#N/A,#N/A,FALSE,"Utah";#N/A,#N/A,FALSE,"Idaho";#N/A,#N/A,FALSE,"Lewis River";#N/A,#N/A,FALSE,"NrthUmpq";#N/A,#N/A,FALSE,"KlamRog"}</definedName>
    <definedName name="inventory_4" localSheetId="0" hidden="1">{#N/A,#N/A,FALSE,"Summary";#N/A,#N/A,FALSE,"SmPlants";#N/A,#N/A,FALSE,"Utah";#N/A,#N/A,FALSE,"Idaho";#N/A,#N/A,FALSE,"Lewis River";#N/A,#N/A,FALSE,"NrthUmpq";#N/A,#N/A,FALSE,"KlamRog"}</definedName>
    <definedName name="inventory_4" hidden="1">{#N/A,#N/A,FALSE,"Summary";#N/A,#N/A,FALSE,"SmPlants";#N/A,#N/A,FALSE,"Utah";#N/A,#N/A,FALSE,"Idaho";#N/A,#N/A,FALSE,"Lewis River";#N/A,#N/A,FALSE,"NrthUmpq";#N/A,#N/A,FALSE,"KlamRog"}</definedName>
    <definedName name="inventory_5" localSheetId="1" hidden="1">{#N/A,#N/A,FALSE,"Summary";#N/A,#N/A,FALSE,"SmPlants";#N/A,#N/A,FALSE,"Utah";#N/A,#N/A,FALSE,"Idaho";#N/A,#N/A,FALSE,"Lewis River";#N/A,#N/A,FALSE,"NrthUmpq";#N/A,#N/A,FALSE,"KlamRog"}</definedName>
    <definedName name="inventory_5" localSheetId="3" hidden="1">{#N/A,#N/A,FALSE,"Summary";#N/A,#N/A,FALSE,"SmPlants";#N/A,#N/A,FALSE,"Utah";#N/A,#N/A,FALSE,"Idaho";#N/A,#N/A,FALSE,"Lewis River";#N/A,#N/A,FALSE,"NrthUmpq";#N/A,#N/A,FALSE,"KlamRog"}</definedName>
    <definedName name="inventory_5" localSheetId="4" hidden="1">{#N/A,#N/A,FALSE,"Summary";#N/A,#N/A,FALSE,"SmPlants";#N/A,#N/A,FALSE,"Utah";#N/A,#N/A,FALSE,"Idaho";#N/A,#N/A,FALSE,"Lewis River";#N/A,#N/A,FALSE,"NrthUmpq";#N/A,#N/A,FALSE,"KlamRog"}</definedName>
    <definedName name="inventory_5" localSheetId="18" hidden="1">{#N/A,#N/A,FALSE,"Summary";#N/A,#N/A,FALSE,"SmPlants";#N/A,#N/A,FALSE,"Utah";#N/A,#N/A,FALSE,"Idaho";#N/A,#N/A,FALSE,"Lewis River";#N/A,#N/A,FALSE,"NrthUmpq";#N/A,#N/A,FALSE,"KlamRog"}</definedName>
    <definedName name="inventory_5" localSheetId="19" hidden="1">{#N/A,#N/A,FALSE,"Summary";#N/A,#N/A,FALSE,"SmPlants";#N/A,#N/A,FALSE,"Utah";#N/A,#N/A,FALSE,"Idaho";#N/A,#N/A,FALSE,"Lewis River";#N/A,#N/A,FALSE,"NrthUmpq";#N/A,#N/A,FALSE,"KlamRog"}</definedName>
    <definedName name="inventory_5" localSheetId="20" hidden="1">{#N/A,#N/A,FALSE,"Summary";#N/A,#N/A,FALSE,"SmPlants";#N/A,#N/A,FALSE,"Utah";#N/A,#N/A,FALSE,"Idaho";#N/A,#N/A,FALSE,"Lewis River";#N/A,#N/A,FALSE,"NrthUmpq";#N/A,#N/A,FALSE,"KlamRog"}</definedName>
    <definedName name="inventory_5" localSheetId="21" hidden="1">{#N/A,#N/A,FALSE,"Summary";#N/A,#N/A,FALSE,"SmPlants";#N/A,#N/A,FALSE,"Utah";#N/A,#N/A,FALSE,"Idaho";#N/A,#N/A,FALSE,"Lewis River";#N/A,#N/A,FALSE,"NrthUmpq";#N/A,#N/A,FALSE,"KlamRog"}</definedName>
    <definedName name="inventory_5" localSheetId="24" hidden="1">{#N/A,#N/A,FALSE,"Summary";#N/A,#N/A,FALSE,"SmPlants";#N/A,#N/A,FALSE,"Utah";#N/A,#N/A,FALSE,"Idaho";#N/A,#N/A,FALSE,"Lewis River";#N/A,#N/A,FALSE,"NrthUmpq";#N/A,#N/A,FALSE,"KlamRog"}</definedName>
    <definedName name="inventory_5" localSheetId="27" hidden="1">{#N/A,#N/A,FALSE,"Summary";#N/A,#N/A,FALSE,"SmPlants";#N/A,#N/A,FALSE,"Utah";#N/A,#N/A,FALSE,"Idaho";#N/A,#N/A,FALSE,"Lewis River";#N/A,#N/A,FALSE,"NrthUmpq";#N/A,#N/A,FALSE,"KlamRog"}</definedName>
    <definedName name="inventory_5" localSheetId="28" hidden="1">{#N/A,#N/A,FALSE,"Summary";#N/A,#N/A,FALSE,"SmPlants";#N/A,#N/A,FALSE,"Utah";#N/A,#N/A,FALSE,"Idaho";#N/A,#N/A,FALSE,"Lewis River";#N/A,#N/A,FALSE,"NrthUmpq";#N/A,#N/A,FALSE,"KlamRog"}</definedName>
    <definedName name="inventory_5" localSheetId="29" hidden="1">{#N/A,#N/A,FALSE,"Summary";#N/A,#N/A,FALSE,"SmPlants";#N/A,#N/A,FALSE,"Utah";#N/A,#N/A,FALSE,"Idaho";#N/A,#N/A,FALSE,"Lewis River";#N/A,#N/A,FALSE,"NrthUmpq";#N/A,#N/A,FALSE,"KlamRog"}</definedName>
    <definedName name="inventory_5" localSheetId="30" hidden="1">{#N/A,#N/A,FALSE,"Summary";#N/A,#N/A,FALSE,"SmPlants";#N/A,#N/A,FALSE,"Utah";#N/A,#N/A,FALSE,"Idaho";#N/A,#N/A,FALSE,"Lewis River";#N/A,#N/A,FALSE,"NrthUmpq";#N/A,#N/A,FALSE,"KlamRog"}</definedName>
    <definedName name="inventory_5" localSheetId="31" hidden="1">{#N/A,#N/A,FALSE,"Summary";#N/A,#N/A,FALSE,"SmPlants";#N/A,#N/A,FALSE,"Utah";#N/A,#N/A,FALSE,"Idaho";#N/A,#N/A,FALSE,"Lewis River";#N/A,#N/A,FALSE,"NrthUmpq";#N/A,#N/A,FALSE,"KlamRog"}</definedName>
    <definedName name="inventory_5" localSheetId="37" hidden="1">{#N/A,#N/A,FALSE,"Summary";#N/A,#N/A,FALSE,"SmPlants";#N/A,#N/A,FALSE,"Utah";#N/A,#N/A,FALSE,"Idaho";#N/A,#N/A,FALSE,"Lewis River";#N/A,#N/A,FALSE,"NrthUmpq";#N/A,#N/A,FALSE,"KlamRog"}</definedName>
    <definedName name="inventory_5" localSheetId="41" hidden="1">{#N/A,#N/A,FALSE,"Summary";#N/A,#N/A,FALSE,"SmPlants";#N/A,#N/A,FALSE,"Utah";#N/A,#N/A,FALSE,"Idaho";#N/A,#N/A,FALSE,"Lewis River";#N/A,#N/A,FALSE,"NrthUmpq";#N/A,#N/A,FALSE,"KlamRog"}</definedName>
    <definedName name="inventory_5" localSheetId="42" hidden="1">{#N/A,#N/A,FALSE,"Summary";#N/A,#N/A,FALSE,"SmPlants";#N/A,#N/A,FALSE,"Utah";#N/A,#N/A,FALSE,"Idaho";#N/A,#N/A,FALSE,"Lewis River";#N/A,#N/A,FALSE,"NrthUmpq";#N/A,#N/A,FALSE,"KlamRog"}</definedName>
    <definedName name="inventory_5" localSheetId="0" hidden="1">{#N/A,#N/A,FALSE,"Summary";#N/A,#N/A,FALSE,"SmPlants";#N/A,#N/A,FALSE,"Utah";#N/A,#N/A,FALSE,"Idaho";#N/A,#N/A,FALSE,"Lewis River";#N/A,#N/A,FALSE,"NrthUmpq";#N/A,#N/A,FALSE,"KlamRog"}</definedName>
    <definedName name="inventory_5" hidden="1">{#N/A,#N/A,FALSE,"Summary";#N/A,#N/A,FALSE,"SmPlants";#N/A,#N/A,FALSE,"Utah";#N/A,#N/A,FALSE,"Idaho";#N/A,#N/A,FALSE,"Lewis River";#N/A,#N/A,FALSE,"NrthUmpq";#N/A,#N/A,FALSE,"KlamRog"}</definedName>
    <definedName name="Keep" localSheetId="1" hidden="1">{"PRINT",#N/A,TRUE,"APPA";"PRINT",#N/A,TRUE,"APS";"PRINT",#N/A,TRUE,"BHPL";"PRINT",#N/A,TRUE,"BHPL2";"PRINT",#N/A,TRUE,"CDWR";"PRINT",#N/A,TRUE,"EWEB";"PRINT",#N/A,TRUE,"LADWP";"PRINT",#N/A,TRUE,"NEVBASE"}</definedName>
    <definedName name="Keep" localSheetId="3" hidden="1">{"PRINT",#N/A,TRUE,"APPA";"PRINT",#N/A,TRUE,"APS";"PRINT",#N/A,TRUE,"BHPL";"PRINT",#N/A,TRUE,"BHPL2";"PRINT",#N/A,TRUE,"CDWR";"PRINT",#N/A,TRUE,"EWEB";"PRINT",#N/A,TRUE,"LADWP";"PRINT",#N/A,TRUE,"NEVBASE"}</definedName>
    <definedName name="Keep" localSheetId="4" hidden="1">{"PRINT",#N/A,TRUE,"APPA";"PRINT",#N/A,TRUE,"APS";"PRINT",#N/A,TRUE,"BHPL";"PRINT",#N/A,TRUE,"BHPL2";"PRINT",#N/A,TRUE,"CDWR";"PRINT",#N/A,TRUE,"EWEB";"PRINT",#N/A,TRUE,"LADWP";"PRINT",#N/A,TRUE,"NEVBASE"}</definedName>
    <definedName name="Keep" localSheetId="18" hidden="1">{"PRINT",#N/A,TRUE,"APPA";"PRINT",#N/A,TRUE,"APS";"PRINT",#N/A,TRUE,"BHPL";"PRINT",#N/A,TRUE,"BHPL2";"PRINT",#N/A,TRUE,"CDWR";"PRINT",#N/A,TRUE,"EWEB";"PRINT",#N/A,TRUE,"LADWP";"PRINT",#N/A,TRUE,"NEVBASE"}</definedName>
    <definedName name="Keep" localSheetId="19" hidden="1">{"PRINT",#N/A,TRUE,"APPA";"PRINT",#N/A,TRUE,"APS";"PRINT",#N/A,TRUE,"BHPL";"PRINT",#N/A,TRUE,"BHPL2";"PRINT",#N/A,TRUE,"CDWR";"PRINT",#N/A,TRUE,"EWEB";"PRINT",#N/A,TRUE,"LADWP";"PRINT",#N/A,TRUE,"NEVBASE"}</definedName>
    <definedName name="Keep" localSheetId="20" hidden="1">{"PRINT",#N/A,TRUE,"APPA";"PRINT",#N/A,TRUE,"APS";"PRINT",#N/A,TRUE,"BHPL";"PRINT",#N/A,TRUE,"BHPL2";"PRINT",#N/A,TRUE,"CDWR";"PRINT",#N/A,TRUE,"EWEB";"PRINT",#N/A,TRUE,"LADWP";"PRINT",#N/A,TRUE,"NEVBASE"}</definedName>
    <definedName name="Keep" localSheetId="21" hidden="1">{"PRINT",#N/A,TRUE,"APPA";"PRINT",#N/A,TRUE,"APS";"PRINT",#N/A,TRUE,"BHPL";"PRINT",#N/A,TRUE,"BHPL2";"PRINT",#N/A,TRUE,"CDWR";"PRINT",#N/A,TRUE,"EWEB";"PRINT",#N/A,TRUE,"LADWP";"PRINT",#N/A,TRUE,"NEVBASE"}</definedName>
    <definedName name="Keep" localSheetId="24" hidden="1">{"PRINT",#N/A,TRUE,"APPA";"PRINT",#N/A,TRUE,"APS";"PRINT",#N/A,TRUE,"BHPL";"PRINT",#N/A,TRUE,"BHPL2";"PRINT",#N/A,TRUE,"CDWR";"PRINT",#N/A,TRUE,"EWEB";"PRINT",#N/A,TRUE,"LADWP";"PRINT",#N/A,TRUE,"NEVBASE"}</definedName>
    <definedName name="Keep" localSheetId="27" hidden="1">{"PRINT",#N/A,TRUE,"APPA";"PRINT",#N/A,TRUE,"APS";"PRINT",#N/A,TRUE,"BHPL";"PRINT",#N/A,TRUE,"BHPL2";"PRINT",#N/A,TRUE,"CDWR";"PRINT",#N/A,TRUE,"EWEB";"PRINT",#N/A,TRUE,"LADWP";"PRINT",#N/A,TRUE,"NEVBASE"}</definedName>
    <definedName name="Keep" localSheetId="28" hidden="1">{"PRINT",#N/A,TRUE,"APPA";"PRINT",#N/A,TRUE,"APS";"PRINT",#N/A,TRUE,"BHPL";"PRINT",#N/A,TRUE,"BHPL2";"PRINT",#N/A,TRUE,"CDWR";"PRINT",#N/A,TRUE,"EWEB";"PRINT",#N/A,TRUE,"LADWP";"PRINT",#N/A,TRUE,"NEVBASE"}</definedName>
    <definedName name="Keep" localSheetId="29" hidden="1">{"PRINT",#N/A,TRUE,"APPA";"PRINT",#N/A,TRUE,"APS";"PRINT",#N/A,TRUE,"BHPL";"PRINT",#N/A,TRUE,"BHPL2";"PRINT",#N/A,TRUE,"CDWR";"PRINT",#N/A,TRUE,"EWEB";"PRINT",#N/A,TRUE,"LADWP";"PRINT",#N/A,TRUE,"NEVBASE"}</definedName>
    <definedName name="Keep" localSheetId="30" hidden="1">{"PRINT",#N/A,TRUE,"APPA";"PRINT",#N/A,TRUE,"APS";"PRINT",#N/A,TRUE,"BHPL";"PRINT",#N/A,TRUE,"BHPL2";"PRINT",#N/A,TRUE,"CDWR";"PRINT",#N/A,TRUE,"EWEB";"PRINT",#N/A,TRUE,"LADWP";"PRINT",#N/A,TRUE,"NEVBASE"}</definedName>
    <definedName name="Keep" localSheetId="31" hidden="1">{"PRINT",#N/A,TRUE,"APPA";"PRINT",#N/A,TRUE,"APS";"PRINT",#N/A,TRUE,"BHPL";"PRINT",#N/A,TRUE,"BHPL2";"PRINT",#N/A,TRUE,"CDWR";"PRINT",#N/A,TRUE,"EWEB";"PRINT",#N/A,TRUE,"LADWP";"PRINT",#N/A,TRUE,"NEVBASE"}</definedName>
    <definedName name="Keep" localSheetId="37" hidden="1">{"PRINT",#N/A,TRUE,"APPA";"PRINT",#N/A,TRUE,"APS";"PRINT",#N/A,TRUE,"BHPL";"PRINT",#N/A,TRUE,"BHPL2";"PRINT",#N/A,TRUE,"CDWR";"PRINT",#N/A,TRUE,"EWEB";"PRINT",#N/A,TRUE,"LADWP";"PRINT",#N/A,TRUE,"NEVBASE"}</definedName>
    <definedName name="Keep" localSheetId="41" hidden="1">{"PRINT",#N/A,TRUE,"APPA";"PRINT",#N/A,TRUE,"APS";"PRINT",#N/A,TRUE,"BHPL";"PRINT",#N/A,TRUE,"BHPL2";"PRINT",#N/A,TRUE,"CDWR";"PRINT",#N/A,TRUE,"EWEB";"PRINT",#N/A,TRUE,"LADWP";"PRINT",#N/A,TRUE,"NEVBASE"}</definedName>
    <definedName name="Keep" localSheetId="42" hidden="1">{"PRINT",#N/A,TRUE,"APPA";"PRINT",#N/A,TRUE,"APS";"PRINT",#N/A,TRUE,"BHPL";"PRINT",#N/A,TRUE,"BHPL2";"PRINT",#N/A,TRUE,"CDWR";"PRINT",#N/A,TRUE,"EWEB";"PRINT",#N/A,TRUE,"LADWP";"PRINT",#N/A,TRUE,"NEVBASE"}</definedName>
    <definedName name="Keep" localSheetId="0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1" localSheetId="1" hidden="1">{"PRINT",#N/A,TRUE,"APPA";"PRINT",#N/A,TRUE,"APS";"PRINT",#N/A,TRUE,"BHPL";"PRINT",#N/A,TRUE,"BHPL2";"PRINT",#N/A,TRUE,"CDWR";"PRINT",#N/A,TRUE,"EWEB";"PRINT",#N/A,TRUE,"LADWP";"PRINT",#N/A,TRUE,"NEVBASE"}</definedName>
    <definedName name="Keep_1" localSheetId="3" hidden="1">{"PRINT",#N/A,TRUE,"APPA";"PRINT",#N/A,TRUE,"APS";"PRINT",#N/A,TRUE,"BHPL";"PRINT",#N/A,TRUE,"BHPL2";"PRINT",#N/A,TRUE,"CDWR";"PRINT",#N/A,TRUE,"EWEB";"PRINT",#N/A,TRUE,"LADWP";"PRINT",#N/A,TRUE,"NEVBASE"}</definedName>
    <definedName name="Keep_1" localSheetId="4" hidden="1">{"PRINT",#N/A,TRUE,"APPA";"PRINT",#N/A,TRUE,"APS";"PRINT",#N/A,TRUE,"BHPL";"PRINT",#N/A,TRUE,"BHPL2";"PRINT",#N/A,TRUE,"CDWR";"PRINT",#N/A,TRUE,"EWEB";"PRINT",#N/A,TRUE,"LADWP";"PRINT",#N/A,TRUE,"NEVBASE"}</definedName>
    <definedName name="Keep_1" localSheetId="18" hidden="1">{"PRINT",#N/A,TRUE,"APPA";"PRINT",#N/A,TRUE,"APS";"PRINT",#N/A,TRUE,"BHPL";"PRINT",#N/A,TRUE,"BHPL2";"PRINT",#N/A,TRUE,"CDWR";"PRINT",#N/A,TRUE,"EWEB";"PRINT",#N/A,TRUE,"LADWP";"PRINT",#N/A,TRUE,"NEVBASE"}</definedName>
    <definedName name="Keep_1" localSheetId="19" hidden="1">{"PRINT",#N/A,TRUE,"APPA";"PRINT",#N/A,TRUE,"APS";"PRINT",#N/A,TRUE,"BHPL";"PRINT",#N/A,TRUE,"BHPL2";"PRINT",#N/A,TRUE,"CDWR";"PRINT",#N/A,TRUE,"EWEB";"PRINT",#N/A,TRUE,"LADWP";"PRINT",#N/A,TRUE,"NEVBASE"}</definedName>
    <definedName name="Keep_1" localSheetId="20" hidden="1">{"PRINT",#N/A,TRUE,"APPA";"PRINT",#N/A,TRUE,"APS";"PRINT",#N/A,TRUE,"BHPL";"PRINT",#N/A,TRUE,"BHPL2";"PRINT",#N/A,TRUE,"CDWR";"PRINT",#N/A,TRUE,"EWEB";"PRINT",#N/A,TRUE,"LADWP";"PRINT",#N/A,TRUE,"NEVBASE"}</definedName>
    <definedName name="Keep_1" localSheetId="21" hidden="1">{"PRINT",#N/A,TRUE,"APPA";"PRINT",#N/A,TRUE,"APS";"PRINT",#N/A,TRUE,"BHPL";"PRINT",#N/A,TRUE,"BHPL2";"PRINT",#N/A,TRUE,"CDWR";"PRINT",#N/A,TRUE,"EWEB";"PRINT",#N/A,TRUE,"LADWP";"PRINT",#N/A,TRUE,"NEVBASE"}</definedName>
    <definedName name="Keep_1" localSheetId="24" hidden="1">{"PRINT",#N/A,TRUE,"APPA";"PRINT",#N/A,TRUE,"APS";"PRINT",#N/A,TRUE,"BHPL";"PRINT",#N/A,TRUE,"BHPL2";"PRINT",#N/A,TRUE,"CDWR";"PRINT",#N/A,TRUE,"EWEB";"PRINT",#N/A,TRUE,"LADWP";"PRINT",#N/A,TRUE,"NEVBASE"}</definedName>
    <definedName name="Keep_1" localSheetId="27" hidden="1">{"PRINT",#N/A,TRUE,"APPA";"PRINT",#N/A,TRUE,"APS";"PRINT",#N/A,TRUE,"BHPL";"PRINT",#N/A,TRUE,"BHPL2";"PRINT",#N/A,TRUE,"CDWR";"PRINT",#N/A,TRUE,"EWEB";"PRINT",#N/A,TRUE,"LADWP";"PRINT",#N/A,TRUE,"NEVBASE"}</definedName>
    <definedName name="Keep_1" localSheetId="28" hidden="1">{"PRINT",#N/A,TRUE,"APPA";"PRINT",#N/A,TRUE,"APS";"PRINT",#N/A,TRUE,"BHPL";"PRINT",#N/A,TRUE,"BHPL2";"PRINT",#N/A,TRUE,"CDWR";"PRINT",#N/A,TRUE,"EWEB";"PRINT",#N/A,TRUE,"LADWP";"PRINT",#N/A,TRUE,"NEVBASE"}</definedName>
    <definedName name="Keep_1" localSheetId="29" hidden="1">{"PRINT",#N/A,TRUE,"APPA";"PRINT",#N/A,TRUE,"APS";"PRINT",#N/A,TRUE,"BHPL";"PRINT",#N/A,TRUE,"BHPL2";"PRINT",#N/A,TRUE,"CDWR";"PRINT",#N/A,TRUE,"EWEB";"PRINT",#N/A,TRUE,"LADWP";"PRINT",#N/A,TRUE,"NEVBASE"}</definedName>
    <definedName name="Keep_1" localSheetId="30" hidden="1">{"PRINT",#N/A,TRUE,"APPA";"PRINT",#N/A,TRUE,"APS";"PRINT",#N/A,TRUE,"BHPL";"PRINT",#N/A,TRUE,"BHPL2";"PRINT",#N/A,TRUE,"CDWR";"PRINT",#N/A,TRUE,"EWEB";"PRINT",#N/A,TRUE,"LADWP";"PRINT",#N/A,TRUE,"NEVBASE"}</definedName>
    <definedName name="Keep_1" localSheetId="31" hidden="1">{"PRINT",#N/A,TRUE,"APPA";"PRINT",#N/A,TRUE,"APS";"PRINT",#N/A,TRUE,"BHPL";"PRINT",#N/A,TRUE,"BHPL2";"PRINT",#N/A,TRUE,"CDWR";"PRINT",#N/A,TRUE,"EWEB";"PRINT",#N/A,TRUE,"LADWP";"PRINT",#N/A,TRUE,"NEVBASE"}</definedName>
    <definedName name="Keep_1" localSheetId="37" hidden="1">{"PRINT",#N/A,TRUE,"APPA";"PRINT",#N/A,TRUE,"APS";"PRINT",#N/A,TRUE,"BHPL";"PRINT",#N/A,TRUE,"BHPL2";"PRINT",#N/A,TRUE,"CDWR";"PRINT",#N/A,TRUE,"EWEB";"PRINT",#N/A,TRUE,"LADWP";"PRINT",#N/A,TRUE,"NEVBASE"}</definedName>
    <definedName name="Keep_1" localSheetId="41" hidden="1">{"PRINT",#N/A,TRUE,"APPA";"PRINT",#N/A,TRUE,"APS";"PRINT",#N/A,TRUE,"BHPL";"PRINT",#N/A,TRUE,"BHPL2";"PRINT",#N/A,TRUE,"CDWR";"PRINT",#N/A,TRUE,"EWEB";"PRINT",#N/A,TRUE,"LADWP";"PRINT",#N/A,TRUE,"NEVBASE"}</definedName>
    <definedName name="Keep_1" localSheetId="42" hidden="1">{"PRINT",#N/A,TRUE,"APPA";"PRINT",#N/A,TRUE,"APS";"PRINT",#N/A,TRUE,"BHPL";"PRINT",#N/A,TRUE,"BHPL2";"PRINT",#N/A,TRUE,"CDWR";"PRINT",#N/A,TRUE,"EWEB";"PRINT",#N/A,TRUE,"LADWP";"PRINT",#N/A,TRUE,"NEVBASE"}</definedName>
    <definedName name="Keep_1" localSheetId="0" hidden="1">{"PRINT",#N/A,TRUE,"APPA";"PRINT",#N/A,TRUE,"APS";"PRINT",#N/A,TRUE,"BHPL";"PRINT",#N/A,TRUE,"BHPL2";"PRINT",#N/A,TRUE,"CDWR";"PRINT",#N/A,TRUE,"EWEB";"PRINT",#N/A,TRUE,"LADWP";"PRINT",#N/A,TRUE,"NEVBASE"}</definedName>
    <definedName name="Keep_1" hidden="1">{"PRINT",#N/A,TRUE,"APPA";"PRINT",#N/A,TRUE,"APS";"PRINT",#N/A,TRUE,"BHPL";"PRINT",#N/A,TRUE,"BHPL2";"PRINT",#N/A,TRUE,"CDWR";"PRINT",#N/A,TRUE,"EWEB";"PRINT",#N/A,TRUE,"LADWP";"PRINT",#N/A,TRUE,"NEVBASE"}</definedName>
    <definedName name="Keep_2" localSheetId="1" hidden="1">{"PRINT",#N/A,TRUE,"APPA";"PRINT",#N/A,TRUE,"APS";"PRINT",#N/A,TRUE,"BHPL";"PRINT",#N/A,TRUE,"BHPL2";"PRINT",#N/A,TRUE,"CDWR";"PRINT",#N/A,TRUE,"EWEB";"PRINT",#N/A,TRUE,"LADWP";"PRINT",#N/A,TRUE,"NEVBASE"}</definedName>
    <definedName name="Keep_2" localSheetId="3" hidden="1">{"PRINT",#N/A,TRUE,"APPA";"PRINT",#N/A,TRUE,"APS";"PRINT",#N/A,TRUE,"BHPL";"PRINT",#N/A,TRUE,"BHPL2";"PRINT",#N/A,TRUE,"CDWR";"PRINT",#N/A,TRUE,"EWEB";"PRINT",#N/A,TRUE,"LADWP";"PRINT",#N/A,TRUE,"NEVBASE"}</definedName>
    <definedName name="Keep_2" localSheetId="4" hidden="1">{"PRINT",#N/A,TRUE,"APPA";"PRINT",#N/A,TRUE,"APS";"PRINT",#N/A,TRUE,"BHPL";"PRINT",#N/A,TRUE,"BHPL2";"PRINT",#N/A,TRUE,"CDWR";"PRINT",#N/A,TRUE,"EWEB";"PRINT",#N/A,TRUE,"LADWP";"PRINT",#N/A,TRUE,"NEVBASE"}</definedName>
    <definedName name="Keep_2" localSheetId="18" hidden="1">{"PRINT",#N/A,TRUE,"APPA";"PRINT",#N/A,TRUE,"APS";"PRINT",#N/A,TRUE,"BHPL";"PRINT",#N/A,TRUE,"BHPL2";"PRINT",#N/A,TRUE,"CDWR";"PRINT",#N/A,TRUE,"EWEB";"PRINT",#N/A,TRUE,"LADWP";"PRINT",#N/A,TRUE,"NEVBASE"}</definedName>
    <definedName name="Keep_2" localSheetId="19" hidden="1">{"PRINT",#N/A,TRUE,"APPA";"PRINT",#N/A,TRUE,"APS";"PRINT",#N/A,TRUE,"BHPL";"PRINT",#N/A,TRUE,"BHPL2";"PRINT",#N/A,TRUE,"CDWR";"PRINT",#N/A,TRUE,"EWEB";"PRINT",#N/A,TRUE,"LADWP";"PRINT",#N/A,TRUE,"NEVBASE"}</definedName>
    <definedName name="Keep_2" localSheetId="20" hidden="1">{"PRINT",#N/A,TRUE,"APPA";"PRINT",#N/A,TRUE,"APS";"PRINT",#N/A,TRUE,"BHPL";"PRINT",#N/A,TRUE,"BHPL2";"PRINT",#N/A,TRUE,"CDWR";"PRINT",#N/A,TRUE,"EWEB";"PRINT",#N/A,TRUE,"LADWP";"PRINT",#N/A,TRUE,"NEVBASE"}</definedName>
    <definedName name="Keep_2" localSheetId="21" hidden="1">{"PRINT",#N/A,TRUE,"APPA";"PRINT",#N/A,TRUE,"APS";"PRINT",#N/A,TRUE,"BHPL";"PRINT",#N/A,TRUE,"BHPL2";"PRINT",#N/A,TRUE,"CDWR";"PRINT",#N/A,TRUE,"EWEB";"PRINT",#N/A,TRUE,"LADWP";"PRINT",#N/A,TRUE,"NEVBASE"}</definedName>
    <definedName name="Keep_2" localSheetId="24" hidden="1">{"PRINT",#N/A,TRUE,"APPA";"PRINT",#N/A,TRUE,"APS";"PRINT",#N/A,TRUE,"BHPL";"PRINT",#N/A,TRUE,"BHPL2";"PRINT",#N/A,TRUE,"CDWR";"PRINT",#N/A,TRUE,"EWEB";"PRINT",#N/A,TRUE,"LADWP";"PRINT",#N/A,TRUE,"NEVBASE"}</definedName>
    <definedName name="Keep_2" localSheetId="27" hidden="1">{"PRINT",#N/A,TRUE,"APPA";"PRINT",#N/A,TRUE,"APS";"PRINT",#N/A,TRUE,"BHPL";"PRINT",#N/A,TRUE,"BHPL2";"PRINT",#N/A,TRUE,"CDWR";"PRINT",#N/A,TRUE,"EWEB";"PRINT",#N/A,TRUE,"LADWP";"PRINT",#N/A,TRUE,"NEVBASE"}</definedName>
    <definedName name="Keep_2" localSheetId="28" hidden="1">{"PRINT",#N/A,TRUE,"APPA";"PRINT",#N/A,TRUE,"APS";"PRINT",#N/A,TRUE,"BHPL";"PRINT",#N/A,TRUE,"BHPL2";"PRINT",#N/A,TRUE,"CDWR";"PRINT",#N/A,TRUE,"EWEB";"PRINT",#N/A,TRUE,"LADWP";"PRINT",#N/A,TRUE,"NEVBASE"}</definedName>
    <definedName name="Keep_2" localSheetId="29" hidden="1">{"PRINT",#N/A,TRUE,"APPA";"PRINT",#N/A,TRUE,"APS";"PRINT",#N/A,TRUE,"BHPL";"PRINT",#N/A,TRUE,"BHPL2";"PRINT",#N/A,TRUE,"CDWR";"PRINT",#N/A,TRUE,"EWEB";"PRINT",#N/A,TRUE,"LADWP";"PRINT",#N/A,TRUE,"NEVBASE"}</definedName>
    <definedName name="Keep_2" localSheetId="30" hidden="1">{"PRINT",#N/A,TRUE,"APPA";"PRINT",#N/A,TRUE,"APS";"PRINT",#N/A,TRUE,"BHPL";"PRINT",#N/A,TRUE,"BHPL2";"PRINT",#N/A,TRUE,"CDWR";"PRINT",#N/A,TRUE,"EWEB";"PRINT",#N/A,TRUE,"LADWP";"PRINT",#N/A,TRUE,"NEVBASE"}</definedName>
    <definedName name="Keep_2" localSheetId="31" hidden="1">{"PRINT",#N/A,TRUE,"APPA";"PRINT",#N/A,TRUE,"APS";"PRINT",#N/A,TRUE,"BHPL";"PRINT",#N/A,TRUE,"BHPL2";"PRINT",#N/A,TRUE,"CDWR";"PRINT",#N/A,TRUE,"EWEB";"PRINT",#N/A,TRUE,"LADWP";"PRINT",#N/A,TRUE,"NEVBASE"}</definedName>
    <definedName name="Keep_2" localSheetId="37" hidden="1">{"PRINT",#N/A,TRUE,"APPA";"PRINT",#N/A,TRUE,"APS";"PRINT",#N/A,TRUE,"BHPL";"PRINT",#N/A,TRUE,"BHPL2";"PRINT",#N/A,TRUE,"CDWR";"PRINT",#N/A,TRUE,"EWEB";"PRINT",#N/A,TRUE,"LADWP";"PRINT",#N/A,TRUE,"NEVBASE"}</definedName>
    <definedName name="Keep_2" localSheetId="41" hidden="1">{"PRINT",#N/A,TRUE,"APPA";"PRINT",#N/A,TRUE,"APS";"PRINT",#N/A,TRUE,"BHPL";"PRINT",#N/A,TRUE,"BHPL2";"PRINT",#N/A,TRUE,"CDWR";"PRINT",#N/A,TRUE,"EWEB";"PRINT",#N/A,TRUE,"LADWP";"PRINT",#N/A,TRUE,"NEVBASE"}</definedName>
    <definedName name="Keep_2" localSheetId="42" hidden="1">{"PRINT",#N/A,TRUE,"APPA";"PRINT",#N/A,TRUE,"APS";"PRINT",#N/A,TRUE,"BHPL";"PRINT",#N/A,TRUE,"BHPL2";"PRINT",#N/A,TRUE,"CDWR";"PRINT",#N/A,TRUE,"EWEB";"PRINT",#N/A,TRUE,"LADWP";"PRINT",#N/A,TRUE,"NEVBASE"}</definedName>
    <definedName name="Keep_2" localSheetId="0" hidden="1">{"PRINT",#N/A,TRUE,"APPA";"PRINT",#N/A,TRUE,"APS";"PRINT",#N/A,TRUE,"BHPL";"PRINT",#N/A,TRUE,"BHPL2";"PRINT",#N/A,TRUE,"CDWR";"PRINT",#N/A,TRUE,"EWEB";"PRINT",#N/A,TRUE,"LADWP";"PRINT",#N/A,TRUE,"NEVBASE"}</definedName>
    <definedName name="Keep_2" hidden="1">{"PRINT",#N/A,TRUE,"APPA";"PRINT",#N/A,TRUE,"APS";"PRINT",#N/A,TRUE,"BHPL";"PRINT",#N/A,TRUE,"BHPL2";"PRINT",#N/A,TRUE,"CDWR";"PRINT",#N/A,TRUE,"EWEB";"PRINT",#N/A,TRUE,"LADWP";"PRINT",#N/A,TRUE,"NEVBASE"}</definedName>
    <definedName name="Keep_3" localSheetId="1" hidden="1">{"PRINT",#N/A,TRUE,"APPA";"PRINT",#N/A,TRUE,"APS";"PRINT",#N/A,TRUE,"BHPL";"PRINT",#N/A,TRUE,"BHPL2";"PRINT",#N/A,TRUE,"CDWR";"PRINT",#N/A,TRUE,"EWEB";"PRINT",#N/A,TRUE,"LADWP";"PRINT",#N/A,TRUE,"NEVBASE"}</definedName>
    <definedName name="Keep_3" localSheetId="3" hidden="1">{"PRINT",#N/A,TRUE,"APPA";"PRINT",#N/A,TRUE,"APS";"PRINT",#N/A,TRUE,"BHPL";"PRINT",#N/A,TRUE,"BHPL2";"PRINT",#N/A,TRUE,"CDWR";"PRINT",#N/A,TRUE,"EWEB";"PRINT",#N/A,TRUE,"LADWP";"PRINT",#N/A,TRUE,"NEVBASE"}</definedName>
    <definedName name="Keep_3" localSheetId="4" hidden="1">{"PRINT",#N/A,TRUE,"APPA";"PRINT",#N/A,TRUE,"APS";"PRINT",#N/A,TRUE,"BHPL";"PRINT",#N/A,TRUE,"BHPL2";"PRINT",#N/A,TRUE,"CDWR";"PRINT",#N/A,TRUE,"EWEB";"PRINT",#N/A,TRUE,"LADWP";"PRINT",#N/A,TRUE,"NEVBASE"}</definedName>
    <definedName name="Keep_3" localSheetId="18" hidden="1">{"PRINT",#N/A,TRUE,"APPA";"PRINT",#N/A,TRUE,"APS";"PRINT",#N/A,TRUE,"BHPL";"PRINT",#N/A,TRUE,"BHPL2";"PRINT",#N/A,TRUE,"CDWR";"PRINT",#N/A,TRUE,"EWEB";"PRINT",#N/A,TRUE,"LADWP";"PRINT",#N/A,TRUE,"NEVBASE"}</definedName>
    <definedName name="Keep_3" localSheetId="19" hidden="1">{"PRINT",#N/A,TRUE,"APPA";"PRINT",#N/A,TRUE,"APS";"PRINT",#N/A,TRUE,"BHPL";"PRINT",#N/A,TRUE,"BHPL2";"PRINT",#N/A,TRUE,"CDWR";"PRINT",#N/A,TRUE,"EWEB";"PRINT",#N/A,TRUE,"LADWP";"PRINT",#N/A,TRUE,"NEVBASE"}</definedName>
    <definedName name="Keep_3" localSheetId="20" hidden="1">{"PRINT",#N/A,TRUE,"APPA";"PRINT",#N/A,TRUE,"APS";"PRINT",#N/A,TRUE,"BHPL";"PRINT",#N/A,TRUE,"BHPL2";"PRINT",#N/A,TRUE,"CDWR";"PRINT",#N/A,TRUE,"EWEB";"PRINT",#N/A,TRUE,"LADWP";"PRINT",#N/A,TRUE,"NEVBASE"}</definedName>
    <definedName name="Keep_3" localSheetId="21" hidden="1">{"PRINT",#N/A,TRUE,"APPA";"PRINT",#N/A,TRUE,"APS";"PRINT",#N/A,TRUE,"BHPL";"PRINT",#N/A,TRUE,"BHPL2";"PRINT",#N/A,TRUE,"CDWR";"PRINT",#N/A,TRUE,"EWEB";"PRINT",#N/A,TRUE,"LADWP";"PRINT",#N/A,TRUE,"NEVBASE"}</definedName>
    <definedName name="Keep_3" localSheetId="24" hidden="1">{"PRINT",#N/A,TRUE,"APPA";"PRINT",#N/A,TRUE,"APS";"PRINT",#N/A,TRUE,"BHPL";"PRINT",#N/A,TRUE,"BHPL2";"PRINT",#N/A,TRUE,"CDWR";"PRINT",#N/A,TRUE,"EWEB";"PRINT",#N/A,TRUE,"LADWP";"PRINT",#N/A,TRUE,"NEVBASE"}</definedName>
    <definedName name="Keep_3" localSheetId="27" hidden="1">{"PRINT",#N/A,TRUE,"APPA";"PRINT",#N/A,TRUE,"APS";"PRINT",#N/A,TRUE,"BHPL";"PRINT",#N/A,TRUE,"BHPL2";"PRINT",#N/A,TRUE,"CDWR";"PRINT",#N/A,TRUE,"EWEB";"PRINT",#N/A,TRUE,"LADWP";"PRINT",#N/A,TRUE,"NEVBASE"}</definedName>
    <definedName name="Keep_3" localSheetId="28" hidden="1">{"PRINT",#N/A,TRUE,"APPA";"PRINT",#N/A,TRUE,"APS";"PRINT",#N/A,TRUE,"BHPL";"PRINT",#N/A,TRUE,"BHPL2";"PRINT",#N/A,TRUE,"CDWR";"PRINT",#N/A,TRUE,"EWEB";"PRINT",#N/A,TRUE,"LADWP";"PRINT",#N/A,TRUE,"NEVBASE"}</definedName>
    <definedName name="Keep_3" localSheetId="29" hidden="1">{"PRINT",#N/A,TRUE,"APPA";"PRINT",#N/A,TRUE,"APS";"PRINT",#N/A,TRUE,"BHPL";"PRINT",#N/A,TRUE,"BHPL2";"PRINT",#N/A,TRUE,"CDWR";"PRINT",#N/A,TRUE,"EWEB";"PRINT",#N/A,TRUE,"LADWP";"PRINT",#N/A,TRUE,"NEVBASE"}</definedName>
    <definedName name="Keep_3" localSheetId="30" hidden="1">{"PRINT",#N/A,TRUE,"APPA";"PRINT",#N/A,TRUE,"APS";"PRINT",#N/A,TRUE,"BHPL";"PRINT",#N/A,TRUE,"BHPL2";"PRINT",#N/A,TRUE,"CDWR";"PRINT",#N/A,TRUE,"EWEB";"PRINT",#N/A,TRUE,"LADWP";"PRINT",#N/A,TRUE,"NEVBASE"}</definedName>
    <definedName name="Keep_3" localSheetId="31" hidden="1">{"PRINT",#N/A,TRUE,"APPA";"PRINT",#N/A,TRUE,"APS";"PRINT",#N/A,TRUE,"BHPL";"PRINT",#N/A,TRUE,"BHPL2";"PRINT",#N/A,TRUE,"CDWR";"PRINT",#N/A,TRUE,"EWEB";"PRINT",#N/A,TRUE,"LADWP";"PRINT",#N/A,TRUE,"NEVBASE"}</definedName>
    <definedName name="Keep_3" localSheetId="37" hidden="1">{"PRINT",#N/A,TRUE,"APPA";"PRINT",#N/A,TRUE,"APS";"PRINT",#N/A,TRUE,"BHPL";"PRINT",#N/A,TRUE,"BHPL2";"PRINT",#N/A,TRUE,"CDWR";"PRINT",#N/A,TRUE,"EWEB";"PRINT",#N/A,TRUE,"LADWP";"PRINT",#N/A,TRUE,"NEVBASE"}</definedName>
    <definedName name="Keep_3" localSheetId="41" hidden="1">{"PRINT",#N/A,TRUE,"APPA";"PRINT",#N/A,TRUE,"APS";"PRINT",#N/A,TRUE,"BHPL";"PRINT",#N/A,TRUE,"BHPL2";"PRINT",#N/A,TRUE,"CDWR";"PRINT",#N/A,TRUE,"EWEB";"PRINT",#N/A,TRUE,"LADWP";"PRINT",#N/A,TRUE,"NEVBASE"}</definedName>
    <definedName name="Keep_3" localSheetId="42" hidden="1">{"PRINT",#N/A,TRUE,"APPA";"PRINT",#N/A,TRUE,"APS";"PRINT",#N/A,TRUE,"BHPL";"PRINT",#N/A,TRUE,"BHPL2";"PRINT",#N/A,TRUE,"CDWR";"PRINT",#N/A,TRUE,"EWEB";"PRINT",#N/A,TRUE,"LADWP";"PRINT",#N/A,TRUE,"NEVBASE"}</definedName>
    <definedName name="Keep_3" localSheetId="0" hidden="1">{"PRINT",#N/A,TRUE,"APPA";"PRINT",#N/A,TRUE,"APS";"PRINT",#N/A,TRUE,"BHPL";"PRINT",#N/A,TRUE,"BHPL2";"PRINT",#N/A,TRUE,"CDWR";"PRINT",#N/A,TRUE,"EWEB";"PRINT",#N/A,TRUE,"LADWP";"PRINT",#N/A,TRUE,"NEVBASE"}</definedName>
    <definedName name="Keep_3" hidden="1">{"PRINT",#N/A,TRUE,"APPA";"PRINT",#N/A,TRUE,"APS";"PRINT",#N/A,TRUE,"BHPL";"PRINT",#N/A,TRUE,"BHPL2";"PRINT",#N/A,TRUE,"CDWR";"PRINT",#N/A,TRUE,"EWEB";"PRINT",#N/A,TRUE,"LADWP";"PRINT",#N/A,TRUE,"NEVBASE"}</definedName>
    <definedName name="Keep_4" localSheetId="1" hidden="1">{"PRINT",#N/A,TRUE,"APPA";"PRINT",#N/A,TRUE,"APS";"PRINT",#N/A,TRUE,"BHPL";"PRINT",#N/A,TRUE,"BHPL2";"PRINT",#N/A,TRUE,"CDWR";"PRINT",#N/A,TRUE,"EWEB";"PRINT",#N/A,TRUE,"LADWP";"PRINT",#N/A,TRUE,"NEVBASE"}</definedName>
    <definedName name="Keep_4" localSheetId="3" hidden="1">{"PRINT",#N/A,TRUE,"APPA";"PRINT",#N/A,TRUE,"APS";"PRINT",#N/A,TRUE,"BHPL";"PRINT",#N/A,TRUE,"BHPL2";"PRINT",#N/A,TRUE,"CDWR";"PRINT",#N/A,TRUE,"EWEB";"PRINT",#N/A,TRUE,"LADWP";"PRINT",#N/A,TRUE,"NEVBASE"}</definedName>
    <definedName name="Keep_4" localSheetId="4" hidden="1">{"PRINT",#N/A,TRUE,"APPA";"PRINT",#N/A,TRUE,"APS";"PRINT",#N/A,TRUE,"BHPL";"PRINT",#N/A,TRUE,"BHPL2";"PRINT",#N/A,TRUE,"CDWR";"PRINT",#N/A,TRUE,"EWEB";"PRINT",#N/A,TRUE,"LADWP";"PRINT",#N/A,TRUE,"NEVBASE"}</definedName>
    <definedName name="Keep_4" localSheetId="18" hidden="1">{"PRINT",#N/A,TRUE,"APPA";"PRINT",#N/A,TRUE,"APS";"PRINT",#N/A,TRUE,"BHPL";"PRINT",#N/A,TRUE,"BHPL2";"PRINT",#N/A,TRUE,"CDWR";"PRINT",#N/A,TRUE,"EWEB";"PRINT",#N/A,TRUE,"LADWP";"PRINT",#N/A,TRUE,"NEVBASE"}</definedName>
    <definedName name="Keep_4" localSheetId="19" hidden="1">{"PRINT",#N/A,TRUE,"APPA";"PRINT",#N/A,TRUE,"APS";"PRINT",#N/A,TRUE,"BHPL";"PRINT",#N/A,TRUE,"BHPL2";"PRINT",#N/A,TRUE,"CDWR";"PRINT",#N/A,TRUE,"EWEB";"PRINT",#N/A,TRUE,"LADWP";"PRINT",#N/A,TRUE,"NEVBASE"}</definedName>
    <definedName name="Keep_4" localSheetId="20" hidden="1">{"PRINT",#N/A,TRUE,"APPA";"PRINT",#N/A,TRUE,"APS";"PRINT",#N/A,TRUE,"BHPL";"PRINT",#N/A,TRUE,"BHPL2";"PRINT",#N/A,TRUE,"CDWR";"PRINT",#N/A,TRUE,"EWEB";"PRINT",#N/A,TRUE,"LADWP";"PRINT",#N/A,TRUE,"NEVBASE"}</definedName>
    <definedName name="Keep_4" localSheetId="21" hidden="1">{"PRINT",#N/A,TRUE,"APPA";"PRINT",#N/A,TRUE,"APS";"PRINT",#N/A,TRUE,"BHPL";"PRINT",#N/A,TRUE,"BHPL2";"PRINT",#N/A,TRUE,"CDWR";"PRINT",#N/A,TRUE,"EWEB";"PRINT",#N/A,TRUE,"LADWP";"PRINT",#N/A,TRUE,"NEVBASE"}</definedName>
    <definedName name="Keep_4" localSheetId="24" hidden="1">{"PRINT",#N/A,TRUE,"APPA";"PRINT",#N/A,TRUE,"APS";"PRINT",#N/A,TRUE,"BHPL";"PRINT",#N/A,TRUE,"BHPL2";"PRINT",#N/A,TRUE,"CDWR";"PRINT",#N/A,TRUE,"EWEB";"PRINT",#N/A,TRUE,"LADWP";"PRINT",#N/A,TRUE,"NEVBASE"}</definedName>
    <definedName name="Keep_4" localSheetId="27" hidden="1">{"PRINT",#N/A,TRUE,"APPA";"PRINT",#N/A,TRUE,"APS";"PRINT",#N/A,TRUE,"BHPL";"PRINT",#N/A,TRUE,"BHPL2";"PRINT",#N/A,TRUE,"CDWR";"PRINT",#N/A,TRUE,"EWEB";"PRINT",#N/A,TRUE,"LADWP";"PRINT",#N/A,TRUE,"NEVBASE"}</definedName>
    <definedName name="Keep_4" localSheetId="28" hidden="1">{"PRINT",#N/A,TRUE,"APPA";"PRINT",#N/A,TRUE,"APS";"PRINT",#N/A,TRUE,"BHPL";"PRINT",#N/A,TRUE,"BHPL2";"PRINT",#N/A,TRUE,"CDWR";"PRINT",#N/A,TRUE,"EWEB";"PRINT",#N/A,TRUE,"LADWP";"PRINT",#N/A,TRUE,"NEVBASE"}</definedName>
    <definedName name="Keep_4" localSheetId="29" hidden="1">{"PRINT",#N/A,TRUE,"APPA";"PRINT",#N/A,TRUE,"APS";"PRINT",#N/A,TRUE,"BHPL";"PRINT",#N/A,TRUE,"BHPL2";"PRINT",#N/A,TRUE,"CDWR";"PRINT",#N/A,TRUE,"EWEB";"PRINT",#N/A,TRUE,"LADWP";"PRINT",#N/A,TRUE,"NEVBASE"}</definedName>
    <definedName name="Keep_4" localSheetId="30" hidden="1">{"PRINT",#N/A,TRUE,"APPA";"PRINT",#N/A,TRUE,"APS";"PRINT",#N/A,TRUE,"BHPL";"PRINT",#N/A,TRUE,"BHPL2";"PRINT",#N/A,TRUE,"CDWR";"PRINT",#N/A,TRUE,"EWEB";"PRINT",#N/A,TRUE,"LADWP";"PRINT",#N/A,TRUE,"NEVBASE"}</definedName>
    <definedName name="Keep_4" localSheetId="31" hidden="1">{"PRINT",#N/A,TRUE,"APPA";"PRINT",#N/A,TRUE,"APS";"PRINT",#N/A,TRUE,"BHPL";"PRINT",#N/A,TRUE,"BHPL2";"PRINT",#N/A,TRUE,"CDWR";"PRINT",#N/A,TRUE,"EWEB";"PRINT",#N/A,TRUE,"LADWP";"PRINT",#N/A,TRUE,"NEVBASE"}</definedName>
    <definedName name="Keep_4" localSheetId="37" hidden="1">{"PRINT",#N/A,TRUE,"APPA";"PRINT",#N/A,TRUE,"APS";"PRINT",#N/A,TRUE,"BHPL";"PRINT",#N/A,TRUE,"BHPL2";"PRINT",#N/A,TRUE,"CDWR";"PRINT",#N/A,TRUE,"EWEB";"PRINT",#N/A,TRUE,"LADWP";"PRINT",#N/A,TRUE,"NEVBASE"}</definedName>
    <definedName name="Keep_4" localSheetId="41" hidden="1">{"PRINT",#N/A,TRUE,"APPA";"PRINT",#N/A,TRUE,"APS";"PRINT",#N/A,TRUE,"BHPL";"PRINT",#N/A,TRUE,"BHPL2";"PRINT",#N/A,TRUE,"CDWR";"PRINT",#N/A,TRUE,"EWEB";"PRINT",#N/A,TRUE,"LADWP";"PRINT",#N/A,TRUE,"NEVBASE"}</definedName>
    <definedName name="Keep_4" localSheetId="42" hidden="1">{"PRINT",#N/A,TRUE,"APPA";"PRINT",#N/A,TRUE,"APS";"PRINT",#N/A,TRUE,"BHPL";"PRINT",#N/A,TRUE,"BHPL2";"PRINT",#N/A,TRUE,"CDWR";"PRINT",#N/A,TRUE,"EWEB";"PRINT",#N/A,TRUE,"LADWP";"PRINT",#N/A,TRUE,"NEVBASE"}</definedName>
    <definedName name="Keep_4" localSheetId="0" hidden="1">{"PRINT",#N/A,TRUE,"APPA";"PRINT",#N/A,TRUE,"APS";"PRINT",#N/A,TRUE,"BHPL";"PRINT",#N/A,TRUE,"BHPL2";"PRINT",#N/A,TRUE,"CDWR";"PRINT",#N/A,TRUE,"EWEB";"PRINT",#N/A,TRUE,"LADWP";"PRINT",#N/A,TRUE,"NEVBASE"}</definedName>
    <definedName name="Keep_4" hidden="1">{"PRINT",#N/A,TRUE,"APPA";"PRINT",#N/A,TRUE,"APS";"PRINT",#N/A,TRUE,"BHPL";"PRINT",#N/A,TRUE,"BHPL2";"PRINT",#N/A,TRUE,"CDWR";"PRINT",#N/A,TRUE,"EWEB";"PRINT",#N/A,TRUE,"LADWP";"PRINT",#N/A,TRUE,"NEVBASE"}</definedName>
    <definedName name="Keep_5" localSheetId="1" hidden="1">{"PRINT",#N/A,TRUE,"APPA";"PRINT",#N/A,TRUE,"APS";"PRINT",#N/A,TRUE,"BHPL";"PRINT",#N/A,TRUE,"BHPL2";"PRINT",#N/A,TRUE,"CDWR";"PRINT",#N/A,TRUE,"EWEB";"PRINT",#N/A,TRUE,"LADWP";"PRINT",#N/A,TRUE,"NEVBASE"}</definedName>
    <definedName name="Keep_5" localSheetId="3" hidden="1">{"PRINT",#N/A,TRUE,"APPA";"PRINT",#N/A,TRUE,"APS";"PRINT",#N/A,TRUE,"BHPL";"PRINT",#N/A,TRUE,"BHPL2";"PRINT",#N/A,TRUE,"CDWR";"PRINT",#N/A,TRUE,"EWEB";"PRINT",#N/A,TRUE,"LADWP";"PRINT",#N/A,TRUE,"NEVBASE"}</definedName>
    <definedName name="Keep_5" localSheetId="4" hidden="1">{"PRINT",#N/A,TRUE,"APPA";"PRINT",#N/A,TRUE,"APS";"PRINT",#N/A,TRUE,"BHPL";"PRINT",#N/A,TRUE,"BHPL2";"PRINT",#N/A,TRUE,"CDWR";"PRINT",#N/A,TRUE,"EWEB";"PRINT",#N/A,TRUE,"LADWP";"PRINT",#N/A,TRUE,"NEVBASE"}</definedName>
    <definedName name="Keep_5" localSheetId="18" hidden="1">{"PRINT",#N/A,TRUE,"APPA";"PRINT",#N/A,TRUE,"APS";"PRINT",#N/A,TRUE,"BHPL";"PRINT",#N/A,TRUE,"BHPL2";"PRINT",#N/A,TRUE,"CDWR";"PRINT",#N/A,TRUE,"EWEB";"PRINT",#N/A,TRUE,"LADWP";"PRINT",#N/A,TRUE,"NEVBASE"}</definedName>
    <definedName name="Keep_5" localSheetId="19" hidden="1">{"PRINT",#N/A,TRUE,"APPA";"PRINT",#N/A,TRUE,"APS";"PRINT",#N/A,TRUE,"BHPL";"PRINT",#N/A,TRUE,"BHPL2";"PRINT",#N/A,TRUE,"CDWR";"PRINT",#N/A,TRUE,"EWEB";"PRINT",#N/A,TRUE,"LADWP";"PRINT",#N/A,TRUE,"NEVBASE"}</definedName>
    <definedName name="Keep_5" localSheetId="20" hidden="1">{"PRINT",#N/A,TRUE,"APPA";"PRINT",#N/A,TRUE,"APS";"PRINT",#N/A,TRUE,"BHPL";"PRINT",#N/A,TRUE,"BHPL2";"PRINT",#N/A,TRUE,"CDWR";"PRINT",#N/A,TRUE,"EWEB";"PRINT",#N/A,TRUE,"LADWP";"PRINT",#N/A,TRUE,"NEVBASE"}</definedName>
    <definedName name="Keep_5" localSheetId="21" hidden="1">{"PRINT",#N/A,TRUE,"APPA";"PRINT",#N/A,TRUE,"APS";"PRINT",#N/A,TRUE,"BHPL";"PRINT",#N/A,TRUE,"BHPL2";"PRINT",#N/A,TRUE,"CDWR";"PRINT",#N/A,TRUE,"EWEB";"PRINT",#N/A,TRUE,"LADWP";"PRINT",#N/A,TRUE,"NEVBASE"}</definedName>
    <definedName name="Keep_5" localSheetId="24" hidden="1">{"PRINT",#N/A,TRUE,"APPA";"PRINT",#N/A,TRUE,"APS";"PRINT",#N/A,TRUE,"BHPL";"PRINT",#N/A,TRUE,"BHPL2";"PRINT",#N/A,TRUE,"CDWR";"PRINT",#N/A,TRUE,"EWEB";"PRINT",#N/A,TRUE,"LADWP";"PRINT",#N/A,TRUE,"NEVBASE"}</definedName>
    <definedName name="Keep_5" localSheetId="27" hidden="1">{"PRINT",#N/A,TRUE,"APPA";"PRINT",#N/A,TRUE,"APS";"PRINT",#N/A,TRUE,"BHPL";"PRINT",#N/A,TRUE,"BHPL2";"PRINT",#N/A,TRUE,"CDWR";"PRINT",#N/A,TRUE,"EWEB";"PRINT",#N/A,TRUE,"LADWP";"PRINT",#N/A,TRUE,"NEVBASE"}</definedName>
    <definedName name="Keep_5" localSheetId="28" hidden="1">{"PRINT",#N/A,TRUE,"APPA";"PRINT",#N/A,TRUE,"APS";"PRINT",#N/A,TRUE,"BHPL";"PRINT",#N/A,TRUE,"BHPL2";"PRINT",#N/A,TRUE,"CDWR";"PRINT",#N/A,TRUE,"EWEB";"PRINT",#N/A,TRUE,"LADWP";"PRINT",#N/A,TRUE,"NEVBASE"}</definedName>
    <definedName name="Keep_5" localSheetId="29" hidden="1">{"PRINT",#N/A,TRUE,"APPA";"PRINT",#N/A,TRUE,"APS";"PRINT",#N/A,TRUE,"BHPL";"PRINT",#N/A,TRUE,"BHPL2";"PRINT",#N/A,TRUE,"CDWR";"PRINT",#N/A,TRUE,"EWEB";"PRINT",#N/A,TRUE,"LADWP";"PRINT",#N/A,TRUE,"NEVBASE"}</definedName>
    <definedName name="Keep_5" localSheetId="30" hidden="1">{"PRINT",#N/A,TRUE,"APPA";"PRINT",#N/A,TRUE,"APS";"PRINT",#N/A,TRUE,"BHPL";"PRINT",#N/A,TRUE,"BHPL2";"PRINT",#N/A,TRUE,"CDWR";"PRINT",#N/A,TRUE,"EWEB";"PRINT",#N/A,TRUE,"LADWP";"PRINT",#N/A,TRUE,"NEVBASE"}</definedName>
    <definedName name="Keep_5" localSheetId="31" hidden="1">{"PRINT",#N/A,TRUE,"APPA";"PRINT",#N/A,TRUE,"APS";"PRINT",#N/A,TRUE,"BHPL";"PRINT",#N/A,TRUE,"BHPL2";"PRINT",#N/A,TRUE,"CDWR";"PRINT",#N/A,TRUE,"EWEB";"PRINT",#N/A,TRUE,"LADWP";"PRINT",#N/A,TRUE,"NEVBASE"}</definedName>
    <definedName name="Keep_5" localSheetId="37" hidden="1">{"PRINT",#N/A,TRUE,"APPA";"PRINT",#N/A,TRUE,"APS";"PRINT",#N/A,TRUE,"BHPL";"PRINT",#N/A,TRUE,"BHPL2";"PRINT",#N/A,TRUE,"CDWR";"PRINT",#N/A,TRUE,"EWEB";"PRINT",#N/A,TRUE,"LADWP";"PRINT",#N/A,TRUE,"NEVBASE"}</definedName>
    <definedName name="Keep_5" localSheetId="41" hidden="1">{"PRINT",#N/A,TRUE,"APPA";"PRINT",#N/A,TRUE,"APS";"PRINT",#N/A,TRUE,"BHPL";"PRINT",#N/A,TRUE,"BHPL2";"PRINT",#N/A,TRUE,"CDWR";"PRINT",#N/A,TRUE,"EWEB";"PRINT",#N/A,TRUE,"LADWP";"PRINT",#N/A,TRUE,"NEVBASE"}</definedName>
    <definedName name="Keep_5" localSheetId="42" hidden="1">{"PRINT",#N/A,TRUE,"APPA";"PRINT",#N/A,TRUE,"APS";"PRINT",#N/A,TRUE,"BHPL";"PRINT",#N/A,TRUE,"BHPL2";"PRINT",#N/A,TRUE,"CDWR";"PRINT",#N/A,TRUE,"EWEB";"PRINT",#N/A,TRUE,"LADWP";"PRINT",#N/A,TRUE,"NEVBASE"}</definedName>
    <definedName name="Keep_5" localSheetId="0" hidden="1">{"PRINT",#N/A,TRUE,"APPA";"PRINT",#N/A,TRUE,"APS";"PRINT",#N/A,TRUE,"BHPL";"PRINT",#N/A,TRUE,"BHPL2";"PRINT",#N/A,TRUE,"CDWR";"PRINT",#N/A,TRUE,"EWEB";"PRINT",#N/A,TRUE,"LADWP";"PRINT",#N/A,TRUE,"NEVBASE"}</definedName>
    <definedName name="Keep_5" hidden="1">{"PRINT",#N/A,TRUE,"APPA";"PRINT",#N/A,TRUE,"APS";"PRINT",#N/A,TRUE,"BHPL";"PRINT",#N/A,TRUE,"BHPL2";"PRINT",#N/A,TRUE,"CDWR";"PRINT",#N/A,TRUE,"EWEB";"PRINT",#N/A,TRUE,"LADWP";"PRINT",#N/A,TRUE,"NEVBASE"}</definedName>
    <definedName name="keep2" localSheetId="1" hidden="1">{"PRINT",#N/A,TRUE,"APPA";"PRINT",#N/A,TRUE,"APS";"PRINT",#N/A,TRUE,"BHPL";"PRINT",#N/A,TRUE,"BHPL2";"PRINT",#N/A,TRUE,"CDWR";"PRINT",#N/A,TRUE,"EWEB";"PRINT",#N/A,TRUE,"LADWP";"PRINT",#N/A,TRUE,"NEVBASE"}</definedName>
    <definedName name="keep2" localSheetId="3" hidden="1">{"PRINT",#N/A,TRUE,"APPA";"PRINT",#N/A,TRUE,"APS";"PRINT",#N/A,TRUE,"BHPL";"PRINT",#N/A,TRUE,"BHPL2";"PRINT",#N/A,TRUE,"CDWR";"PRINT",#N/A,TRUE,"EWEB";"PRINT",#N/A,TRUE,"LADWP";"PRINT",#N/A,TRUE,"NEVBASE"}</definedName>
    <definedName name="keep2" localSheetId="4" hidden="1">{"PRINT",#N/A,TRUE,"APPA";"PRINT",#N/A,TRUE,"APS";"PRINT",#N/A,TRUE,"BHPL";"PRINT",#N/A,TRUE,"BHPL2";"PRINT",#N/A,TRUE,"CDWR";"PRINT",#N/A,TRUE,"EWEB";"PRINT",#N/A,TRUE,"LADWP";"PRINT",#N/A,TRUE,"NEVBASE"}</definedName>
    <definedName name="keep2" localSheetId="18" hidden="1">{"PRINT",#N/A,TRUE,"APPA";"PRINT",#N/A,TRUE,"APS";"PRINT",#N/A,TRUE,"BHPL";"PRINT",#N/A,TRUE,"BHPL2";"PRINT",#N/A,TRUE,"CDWR";"PRINT",#N/A,TRUE,"EWEB";"PRINT",#N/A,TRUE,"LADWP";"PRINT",#N/A,TRUE,"NEVBASE"}</definedName>
    <definedName name="keep2" localSheetId="19" hidden="1">{"PRINT",#N/A,TRUE,"APPA";"PRINT",#N/A,TRUE,"APS";"PRINT",#N/A,TRUE,"BHPL";"PRINT",#N/A,TRUE,"BHPL2";"PRINT",#N/A,TRUE,"CDWR";"PRINT",#N/A,TRUE,"EWEB";"PRINT",#N/A,TRUE,"LADWP";"PRINT",#N/A,TRUE,"NEVBASE"}</definedName>
    <definedName name="keep2" localSheetId="20" hidden="1">{"PRINT",#N/A,TRUE,"APPA";"PRINT",#N/A,TRUE,"APS";"PRINT",#N/A,TRUE,"BHPL";"PRINT",#N/A,TRUE,"BHPL2";"PRINT",#N/A,TRUE,"CDWR";"PRINT",#N/A,TRUE,"EWEB";"PRINT",#N/A,TRUE,"LADWP";"PRINT",#N/A,TRUE,"NEVBASE"}</definedName>
    <definedName name="keep2" localSheetId="21" hidden="1">{"PRINT",#N/A,TRUE,"APPA";"PRINT",#N/A,TRUE,"APS";"PRINT",#N/A,TRUE,"BHPL";"PRINT",#N/A,TRUE,"BHPL2";"PRINT",#N/A,TRUE,"CDWR";"PRINT",#N/A,TRUE,"EWEB";"PRINT",#N/A,TRUE,"LADWP";"PRINT",#N/A,TRUE,"NEVBASE"}</definedName>
    <definedName name="keep2" localSheetId="24" hidden="1">{"PRINT",#N/A,TRUE,"APPA";"PRINT",#N/A,TRUE,"APS";"PRINT",#N/A,TRUE,"BHPL";"PRINT",#N/A,TRUE,"BHPL2";"PRINT",#N/A,TRUE,"CDWR";"PRINT",#N/A,TRUE,"EWEB";"PRINT",#N/A,TRUE,"LADWP";"PRINT",#N/A,TRUE,"NEVBASE"}</definedName>
    <definedName name="keep2" localSheetId="27" hidden="1">{"PRINT",#N/A,TRUE,"APPA";"PRINT",#N/A,TRUE,"APS";"PRINT",#N/A,TRUE,"BHPL";"PRINT",#N/A,TRUE,"BHPL2";"PRINT",#N/A,TRUE,"CDWR";"PRINT",#N/A,TRUE,"EWEB";"PRINT",#N/A,TRUE,"LADWP";"PRINT",#N/A,TRUE,"NEVBASE"}</definedName>
    <definedName name="keep2" localSheetId="28" hidden="1">{"PRINT",#N/A,TRUE,"APPA";"PRINT",#N/A,TRUE,"APS";"PRINT",#N/A,TRUE,"BHPL";"PRINT",#N/A,TRUE,"BHPL2";"PRINT",#N/A,TRUE,"CDWR";"PRINT",#N/A,TRUE,"EWEB";"PRINT",#N/A,TRUE,"LADWP";"PRINT",#N/A,TRUE,"NEVBASE"}</definedName>
    <definedName name="keep2" localSheetId="29" hidden="1">{"PRINT",#N/A,TRUE,"APPA";"PRINT",#N/A,TRUE,"APS";"PRINT",#N/A,TRUE,"BHPL";"PRINT",#N/A,TRUE,"BHPL2";"PRINT",#N/A,TRUE,"CDWR";"PRINT",#N/A,TRUE,"EWEB";"PRINT",#N/A,TRUE,"LADWP";"PRINT",#N/A,TRUE,"NEVBASE"}</definedName>
    <definedName name="keep2" localSheetId="30" hidden="1">{"PRINT",#N/A,TRUE,"APPA";"PRINT",#N/A,TRUE,"APS";"PRINT",#N/A,TRUE,"BHPL";"PRINT",#N/A,TRUE,"BHPL2";"PRINT",#N/A,TRUE,"CDWR";"PRINT",#N/A,TRUE,"EWEB";"PRINT",#N/A,TRUE,"LADWP";"PRINT",#N/A,TRUE,"NEVBASE"}</definedName>
    <definedName name="keep2" localSheetId="31" hidden="1">{"PRINT",#N/A,TRUE,"APPA";"PRINT",#N/A,TRUE,"APS";"PRINT",#N/A,TRUE,"BHPL";"PRINT",#N/A,TRUE,"BHPL2";"PRINT",#N/A,TRUE,"CDWR";"PRINT",#N/A,TRUE,"EWEB";"PRINT",#N/A,TRUE,"LADWP";"PRINT",#N/A,TRUE,"NEVBASE"}</definedName>
    <definedName name="keep2" localSheetId="37" hidden="1">{"PRINT",#N/A,TRUE,"APPA";"PRINT",#N/A,TRUE,"APS";"PRINT",#N/A,TRUE,"BHPL";"PRINT",#N/A,TRUE,"BHPL2";"PRINT",#N/A,TRUE,"CDWR";"PRINT",#N/A,TRUE,"EWEB";"PRINT",#N/A,TRUE,"LADWP";"PRINT",#N/A,TRUE,"NEVBASE"}</definedName>
    <definedName name="keep2" localSheetId="41" hidden="1">{"PRINT",#N/A,TRUE,"APPA";"PRINT",#N/A,TRUE,"APS";"PRINT",#N/A,TRUE,"BHPL";"PRINT",#N/A,TRUE,"BHPL2";"PRINT",#N/A,TRUE,"CDWR";"PRINT",#N/A,TRUE,"EWEB";"PRINT",#N/A,TRUE,"LADWP";"PRINT",#N/A,TRUE,"NEVBASE"}</definedName>
    <definedName name="keep2" localSheetId="42" hidden="1">{"PRINT",#N/A,TRUE,"APPA";"PRINT",#N/A,TRUE,"APS";"PRINT",#N/A,TRUE,"BHPL";"PRINT",#N/A,TRUE,"BHPL2";"PRINT",#N/A,TRUE,"CDWR";"PRINT",#N/A,TRUE,"EWEB";"PRINT",#N/A,TRUE,"LADWP";"PRINT",#N/A,TRUE,"NEVBASE"}</definedName>
    <definedName name="keep2" localSheetId="0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" hidden="1">{"PRINT",#N/A,TRUE,"APPA";"PRINT",#N/A,TRUE,"APS";"PRINT",#N/A,TRUE,"BHPL";"PRINT",#N/A,TRUE,"BHPL2";"PRINT",#N/A,TRUE,"CDWR";"PRINT",#N/A,TRUE,"EWEB";"PRINT",#N/A,TRUE,"LADWP";"PRINT",#N/A,TRUE,"NEVBASE"}</definedName>
    <definedName name="keep2_1" localSheetId="4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8" hidden="1">{"PRINT",#N/A,TRUE,"APPA";"PRINT",#N/A,TRUE,"APS";"PRINT",#N/A,TRUE,"BHPL";"PRINT",#N/A,TRUE,"BHPL2";"PRINT",#N/A,TRUE,"CDWR";"PRINT",#N/A,TRUE,"EWEB";"PRINT",#N/A,TRUE,"LADWP";"PRINT",#N/A,TRUE,"NEVBASE"}</definedName>
    <definedName name="keep2_1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0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1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7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8" hidden="1">{"PRINT",#N/A,TRUE,"APPA";"PRINT",#N/A,TRUE,"APS";"PRINT",#N/A,TRUE,"BHPL";"PRINT",#N/A,TRUE,"BHPL2";"PRINT",#N/A,TRUE,"CDWR";"PRINT",#N/A,TRUE,"EWEB";"PRINT",#N/A,TRUE,"LADWP";"PRINT",#N/A,TRUE,"NEVBASE"}</definedName>
    <definedName name="keep2_1" localSheetId="29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0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1" localSheetId="37" hidden="1">{"PRINT",#N/A,TRUE,"APPA";"PRINT",#N/A,TRUE,"APS";"PRINT",#N/A,TRUE,"BHPL";"PRINT",#N/A,TRUE,"BHPL2";"PRINT",#N/A,TRUE,"CDWR";"PRINT",#N/A,TRUE,"EWEB";"PRINT",#N/A,TRUE,"LADWP";"PRINT",#N/A,TRUE,"NEVBASE"}</definedName>
    <definedName name="keep2_1" localSheetId="41" hidden="1">{"PRINT",#N/A,TRUE,"APPA";"PRINT",#N/A,TRUE,"APS";"PRINT",#N/A,TRUE,"BHPL";"PRINT",#N/A,TRUE,"BHPL2";"PRINT",#N/A,TRUE,"CDWR";"PRINT",#N/A,TRUE,"EWEB";"PRINT",#N/A,TRUE,"LADWP";"PRINT",#N/A,TRUE,"NEVBASE"}</definedName>
    <definedName name="keep2_1" localSheetId="42" hidden="1">{"PRINT",#N/A,TRUE,"APPA";"PRINT",#N/A,TRUE,"APS";"PRINT",#N/A,TRUE,"BHPL";"PRINT",#N/A,TRUE,"BHPL2";"PRINT",#N/A,TRUE,"CDWR";"PRINT",#N/A,TRUE,"EWEB";"PRINT",#N/A,TRUE,"LADWP";"PRINT",#N/A,TRUE,"NEVBASE"}</definedName>
    <definedName name="keep2_1" localSheetId="0" hidden="1">{"PRINT",#N/A,TRUE,"APPA";"PRINT",#N/A,TRUE,"APS";"PRINT",#N/A,TRUE,"BHPL";"PRINT",#N/A,TRUE,"BHPL2";"PRINT",#N/A,TRUE,"CDWR";"PRINT",#N/A,TRUE,"EWEB";"PRINT",#N/A,TRUE,"LADWP";"PRINT",#N/A,TRUE,"NEVBASE"}</definedName>
    <definedName name="keep2_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" hidden="1">{"PRINT",#N/A,TRUE,"APPA";"PRINT",#N/A,TRUE,"APS";"PRINT",#N/A,TRUE,"BHPL";"PRINT",#N/A,TRUE,"BHPL2";"PRINT",#N/A,TRUE,"CDWR";"PRINT",#N/A,TRUE,"EWEB";"PRINT",#N/A,TRUE,"LADWP";"PRINT",#N/A,TRUE,"NEVBASE"}</definedName>
    <definedName name="keep2_2" localSheetId="4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8" hidden="1">{"PRINT",#N/A,TRUE,"APPA";"PRINT",#N/A,TRUE,"APS";"PRINT",#N/A,TRUE,"BHPL";"PRINT",#N/A,TRUE,"BHPL2";"PRINT",#N/A,TRUE,"CDWR";"PRINT",#N/A,TRUE,"EWEB";"PRINT",#N/A,TRUE,"LADWP";"PRINT",#N/A,TRUE,"NEVBASE"}</definedName>
    <definedName name="keep2_2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0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7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8" hidden="1">{"PRINT",#N/A,TRUE,"APPA";"PRINT",#N/A,TRUE,"APS";"PRINT",#N/A,TRUE,"BHPL";"PRINT",#N/A,TRUE,"BHPL2";"PRINT",#N/A,TRUE,"CDWR";"PRINT",#N/A,TRUE,"EWEB";"PRINT",#N/A,TRUE,"LADWP";"PRINT",#N/A,TRUE,"NEVBASE"}</definedName>
    <definedName name="keep2_2" localSheetId="29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0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37" hidden="1">{"PRINT",#N/A,TRUE,"APPA";"PRINT",#N/A,TRUE,"APS";"PRINT",#N/A,TRUE,"BHPL";"PRINT",#N/A,TRUE,"BHPL2";"PRINT",#N/A,TRUE,"CDWR";"PRINT",#N/A,TRUE,"EWEB";"PRINT",#N/A,TRUE,"LADWP";"PRINT",#N/A,TRUE,"NEVBASE"}</definedName>
    <definedName name="keep2_2" localSheetId="41" hidden="1">{"PRINT",#N/A,TRUE,"APPA";"PRINT",#N/A,TRUE,"APS";"PRINT",#N/A,TRUE,"BHPL";"PRINT",#N/A,TRUE,"BHPL2";"PRINT",#N/A,TRUE,"CDWR";"PRINT",#N/A,TRUE,"EWEB";"PRINT",#N/A,TRUE,"LADWP";"PRINT",#N/A,TRUE,"NEVBASE"}</definedName>
    <definedName name="keep2_2" localSheetId="42" hidden="1">{"PRINT",#N/A,TRUE,"APPA";"PRINT",#N/A,TRUE,"APS";"PRINT",#N/A,TRUE,"BHPL";"PRINT",#N/A,TRUE,"BHPL2";"PRINT",#N/A,TRUE,"CDWR";"PRINT",#N/A,TRUE,"EWEB";"PRINT",#N/A,TRUE,"LADWP";"PRINT",#N/A,TRUE,"NEVBASE"}</definedName>
    <definedName name="keep2_2" localSheetId="0" hidden="1">{"PRINT",#N/A,TRUE,"APPA";"PRINT",#N/A,TRUE,"APS";"PRINT",#N/A,TRUE,"BHPL";"PRINT",#N/A,TRUE,"BHPL2";"PRINT",#N/A,TRUE,"CDWR";"PRINT",#N/A,TRUE,"EWEB";"PRINT",#N/A,TRUE,"LADWP";"PRINT",#N/A,TRUE,"NEVBASE"}</definedName>
    <definedName name="keep2_2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" hidden="1">{"PRINT",#N/A,TRUE,"APPA";"PRINT",#N/A,TRUE,"APS";"PRINT",#N/A,TRUE,"BHPL";"PRINT",#N/A,TRUE,"BHPL2";"PRINT",#N/A,TRUE,"CDWR";"PRINT",#N/A,TRUE,"EWEB";"PRINT",#N/A,TRUE,"LADWP";"PRINT",#N/A,TRUE,"NEVBASE"}</definedName>
    <definedName name="keep2_3" localSheetId="4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8" hidden="1">{"PRINT",#N/A,TRUE,"APPA";"PRINT",#N/A,TRUE,"APS";"PRINT",#N/A,TRUE,"BHPL";"PRINT",#N/A,TRUE,"BHPL2";"PRINT",#N/A,TRUE,"CDWR";"PRINT",#N/A,TRUE,"EWEB";"PRINT",#N/A,TRUE,"LADWP";"PRINT",#N/A,TRUE,"NEVBASE"}</definedName>
    <definedName name="keep2_3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0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1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7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8" hidden="1">{"PRINT",#N/A,TRUE,"APPA";"PRINT",#N/A,TRUE,"APS";"PRINT",#N/A,TRUE,"BHPL";"PRINT",#N/A,TRUE,"BHPL2";"PRINT",#N/A,TRUE,"CDWR";"PRINT",#N/A,TRUE,"EWEB";"PRINT",#N/A,TRUE,"LADWP";"PRINT",#N/A,TRUE,"NEVBASE"}</definedName>
    <definedName name="keep2_3" localSheetId="29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0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3" localSheetId="37" hidden="1">{"PRINT",#N/A,TRUE,"APPA";"PRINT",#N/A,TRUE,"APS";"PRINT",#N/A,TRUE,"BHPL";"PRINT",#N/A,TRUE,"BHPL2";"PRINT",#N/A,TRUE,"CDWR";"PRINT",#N/A,TRUE,"EWEB";"PRINT",#N/A,TRUE,"LADWP";"PRINT",#N/A,TRUE,"NEVBASE"}</definedName>
    <definedName name="keep2_3" localSheetId="41" hidden="1">{"PRINT",#N/A,TRUE,"APPA";"PRINT",#N/A,TRUE,"APS";"PRINT",#N/A,TRUE,"BHPL";"PRINT",#N/A,TRUE,"BHPL2";"PRINT",#N/A,TRUE,"CDWR";"PRINT",#N/A,TRUE,"EWEB";"PRINT",#N/A,TRUE,"LADWP";"PRINT",#N/A,TRUE,"NEVBASE"}</definedName>
    <definedName name="keep2_3" localSheetId="42" hidden="1">{"PRINT",#N/A,TRUE,"APPA";"PRINT",#N/A,TRUE,"APS";"PRINT",#N/A,TRUE,"BHPL";"PRINT",#N/A,TRUE,"BHPL2";"PRINT",#N/A,TRUE,"CDWR";"PRINT",#N/A,TRUE,"EWEB";"PRINT",#N/A,TRUE,"LADWP";"PRINT",#N/A,TRUE,"NEVBASE"}</definedName>
    <definedName name="keep2_3" localSheetId="0" hidden="1">{"PRINT",#N/A,TRUE,"APPA";"PRINT",#N/A,TRUE,"APS";"PRINT",#N/A,TRUE,"BHPL";"PRINT",#N/A,TRUE,"BHPL2";"PRINT",#N/A,TRUE,"CDWR";"PRINT",#N/A,TRUE,"EWEB";"PRINT",#N/A,TRUE,"LADWP";"PRINT",#N/A,TRUE,"NEVBASE"}</definedName>
    <definedName name="keep2_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" hidden="1">{"PRINT",#N/A,TRUE,"APPA";"PRINT",#N/A,TRUE,"APS";"PRINT",#N/A,TRUE,"BHPL";"PRINT",#N/A,TRUE,"BHPL2";"PRINT",#N/A,TRUE,"CDWR";"PRINT",#N/A,TRUE,"EWEB";"PRINT",#N/A,TRUE,"LADWP";"PRINT",#N/A,TRUE,"NEVBASE"}</definedName>
    <definedName name="keep2_4" localSheetId="4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8" hidden="1">{"PRINT",#N/A,TRUE,"APPA";"PRINT",#N/A,TRUE,"APS";"PRINT",#N/A,TRUE,"BHPL";"PRINT",#N/A,TRUE,"BHPL2";"PRINT",#N/A,TRUE,"CDWR";"PRINT",#N/A,TRUE,"EWEB";"PRINT",#N/A,TRUE,"LADWP";"PRINT",#N/A,TRUE,"NEVBASE"}</definedName>
    <definedName name="keep2_4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0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1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7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8" hidden="1">{"PRINT",#N/A,TRUE,"APPA";"PRINT",#N/A,TRUE,"APS";"PRINT",#N/A,TRUE,"BHPL";"PRINT",#N/A,TRUE,"BHPL2";"PRINT",#N/A,TRUE,"CDWR";"PRINT",#N/A,TRUE,"EWEB";"PRINT",#N/A,TRUE,"LADWP";"PRINT",#N/A,TRUE,"NEVBASE"}</definedName>
    <definedName name="keep2_4" localSheetId="29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0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4" localSheetId="37" hidden="1">{"PRINT",#N/A,TRUE,"APPA";"PRINT",#N/A,TRUE,"APS";"PRINT",#N/A,TRUE,"BHPL";"PRINT",#N/A,TRUE,"BHPL2";"PRINT",#N/A,TRUE,"CDWR";"PRINT",#N/A,TRUE,"EWEB";"PRINT",#N/A,TRUE,"LADWP";"PRINT",#N/A,TRUE,"NEVBASE"}</definedName>
    <definedName name="keep2_4" localSheetId="41" hidden="1">{"PRINT",#N/A,TRUE,"APPA";"PRINT",#N/A,TRUE,"APS";"PRINT",#N/A,TRUE,"BHPL";"PRINT",#N/A,TRUE,"BHPL2";"PRINT",#N/A,TRUE,"CDWR";"PRINT",#N/A,TRUE,"EWEB";"PRINT",#N/A,TRUE,"LADWP";"PRINT",#N/A,TRUE,"NEVBASE"}</definedName>
    <definedName name="keep2_4" localSheetId="42" hidden="1">{"PRINT",#N/A,TRUE,"APPA";"PRINT",#N/A,TRUE,"APS";"PRINT",#N/A,TRUE,"BHPL";"PRINT",#N/A,TRUE,"BHPL2";"PRINT",#N/A,TRUE,"CDWR";"PRINT",#N/A,TRUE,"EWEB";"PRINT",#N/A,TRUE,"LADWP";"PRINT",#N/A,TRUE,"NEVBASE"}</definedName>
    <definedName name="keep2_4" localSheetId="0" hidden="1">{"PRINT",#N/A,TRUE,"APPA";"PRINT",#N/A,TRUE,"APS";"PRINT",#N/A,TRUE,"BHPL";"PRINT",#N/A,TRUE,"BHPL2";"PRINT",#N/A,TRUE,"CDWR";"PRINT",#N/A,TRUE,"EWEB";"PRINT",#N/A,TRUE,"LADWP";"PRINT",#N/A,TRUE,"NEVBASE"}</definedName>
    <definedName name="keep2_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" hidden="1">{"PRINT",#N/A,TRUE,"APPA";"PRINT",#N/A,TRUE,"APS";"PRINT",#N/A,TRUE,"BHPL";"PRINT",#N/A,TRUE,"BHPL2";"PRINT",#N/A,TRUE,"CDWR";"PRINT",#N/A,TRUE,"EWEB";"PRINT",#N/A,TRUE,"LADWP";"PRINT",#N/A,TRUE,"NEVBASE"}</definedName>
    <definedName name="keep2_5" localSheetId="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8" hidden="1">{"PRINT",#N/A,TRUE,"APPA";"PRINT",#N/A,TRUE,"APS";"PRINT",#N/A,TRUE,"BHPL";"PRINT",#N/A,TRUE,"BHPL2";"PRINT",#N/A,TRUE,"CDWR";"PRINT",#N/A,TRUE,"EWEB";"PRINT",#N/A,TRUE,"LADWP";"PRINT",#N/A,TRUE,"NEVBASE"}</definedName>
    <definedName name="keep2_5" localSheetId="19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0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1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4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7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8" hidden="1">{"PRINT",#N/A,TRUE,"APPA";"PRINT",#N/A,TRUE,"APS";"PRINT",#N/A,TRUE,"BHPL";"PRINT",#N/A,TRUE,"BHPL2";"PRINT",#N/A,TRUE,"CDWR";"PRINT",#N/A,TRUE,"EWEB";"PRINT",#N/A,TRUE,"LADWP";"PRINT",#N/A,TRUE,"NEVBASE"}</definedName>
    <definedName name="keep2_5" localSheetId="29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0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1" hidden="1">{"PRINT",#N/A,TRUE,"APPA";"PRINT",#N/A,TRUE,"APS";"PRINT",#N/A,TRUE,"BHPL";"PRINT",#N/A,TRUE,"BHPL2";"PRINT",#N/A,TRUE,"CDWR";"PRINT",#N/A,TRUE,"EWEB";"PRINT",#N/A,TRUE,"LADWP";"PRINT",#N/A,TRUE,"NEVBASE"}</definedName>
    <definedName name="keep2_5" localSheetId="37" hidden="1">{"PRINT",#N/A,TRUE,"APPA";"PRINT",#N/A,TRUE,"APS";"PRINT",#N/A,TRUE,"BHPL";"PRINT",#N/A,TRUE,"BHPL2";"PRINT",#N/A,TRUE,"CDWR";"PRINT",#N/A,TRUE,"EWEB";"PRINT",#N/A,TRUE,"LADWP";"PRINT",#N/A,TRUE,"NEVBASE"}</definedName>
    <definedName name="keep2_5" localSheetId="41" hidden="1">{"PRINT",#N/A,TRUE,"APPA";"PRINT",#N/A,TRUE,"APS";"PRINT",#N/A,TRUE,"BHPL";"PRINT",#N/A,TRUE,"BHPL2";"PRINT",#N/A,TRUE,"CDWR";"PRINT",#N/A,TRUE,"EWEB";"PRINT",#N/A,TRUE,"LADWP";"PRINT",#N/A,TRUE,"NEVBASE"}</definedName>
    <definedName name="keep2_5" localSheetId="42" hidden="1">{"PRINT",#N/A,TRUE,"APPA";"PRINT",#N/A,TRUE,"APS";"PRINT",#N/A,TRUE,"BHPL";"PRINT",#N/A,TRUE,"BHPL2";"PRINT",#N/A,TRUE,"CDWR";"PRINT",#N/A,TRUE,"EWEB";"PRINT",#N/A,TRUE,"LADWP";"PRINT",#N/A,TRUE,"NEVBASE"}</definedName>
    <definedName name="keep2_5" localSheetId="0" hidden="1">{"PRINT",#N/A,TRUE,"APPA";"PRINT",#N/A,TRUE,"APS";"PRINT",#N/A,TRUE,"BHPL";"PRINT",#N/A,TRUE,"BHPL2";"PRINT",#N/A,TRUE,"CDWR";"PRINT",#N/A,TRUE,"EWEB";"PRINT",#N/A,TRUE,"LADWP";"PRINT",#N/A,TRUE,"NEVBASE"}</definedName>
    <definedName name="keep2_5" hidden="1">{"PRINT",#N/A,TRUE,"APPA";"PRINT",#N/A,TRUE,"APS";"PRINT",#N/A,TRUE,"BHPL";"PRINT",#N/A,TRUE,"BHPL2";"PRINT",#N/A,TRUE,"CDWR";"PRINT",#N/A,TRUE,"EWEB";"PRINT",#N/A,TRUE,"LADWP";"PRINT",#N/A,TRUE,"NEVBASE"}</definedName>
    <definedName name="life">#REF!</definedName>
    <definedName name="Master" localSheetId="1" hidden="1">{#N/A,#N/A,FALSE,"Actual";#N/A,#N/A,FALSE,"Normalized";#N/A,#N/A,FALSE,"Electric Actual";#N/A,#N/A,FALSE,"Electric Normalized"}</definedName>
    <definedName name="Master" localSheetId="3" hidden="1">{#N/A,#N/A,FALSE,"Actual";#N/A,#N/A,FALSE,"Normalized";#N/A,#N/A,FALSE,"Electric Actual";#N/A,#N/A,FALSE,"Electric Normalized"}</definedName>
    <definedName name="Master" localSheetId="4" hidden="1">{#N/A,#N/A,FALSE,"Actual";#N/A,#N/A,FALSE,"Normalized";#N/A,#N/A,FALSE,"Electric Actual";#N/A,#N/A,FALSE,"Electric Normalized"}</definedName>
    <definedName name="Master" localSheetId="18" hidden="1">{#N/A,#N/A,FALSE,"Actual";#N/A,#N/A,FALSE,"Normalized";#N/A,#N/A,FALSE,"Electric Actual";#N/A,#N/A,FALSE,"Electric Normalized"}</definedName>
    <definedName name="Master" localSheetId="19" hidden="1">{#N/A,#N/A,FALSE,"Actual";#N/A,#N/A,FALSE,"Normalized";#N/A,#N/A,FALSE,"Electric Actual";#N/A,#N/A,FALSE,"Electric Normalized"}</definedName>
    <definedName name="Master" localSheetId="20" hidden="1">{#N/A,#N/A,FALSE,"Actual";#N/A,#N/A,FALSE,"Normalized";#N/A,#N/A,FALSE,"Electric Actual";#N/A,#N/A,FALSE,"Electric Normalized"}</definedName>
    <definedName name="Master" localSheetId="21" hidden="1">{#N/A,#N/A,FALSE,"Actual";#N/A,#N/A,FALSE,"Normalized";#N/A,#N/A,FALSE,"Electric Actual";#N/A,#N/A,FALSE,"Electric Normalized"}</definedName>
    <definedName name="Master" localSheetId="24" hidden="1">{#N/A,#N/A,FALSE,"Actual";#N/A,#N/A,FALSE,"Normalized";#N/A,#N/A,FALSE,"Electric Actual";#N/A,#N/A,FALSE,"Electric Normalized"}</definedName>
    <definedName name="Master" localSheetId="27" hidden="1">{#N/A,#N/A,FALSE,"Actual";#N/A,#N/A,FALSE,"Normalized";#N/A,#N/A,FALSE,"Electric Actual";#N/A,#N/A,FALSE,"Electric Normalized"}</definedName>
    <definedName name="Master" localSheetId="28" hidden="1">{#N/A,#N/A,FALSE,"Actual";#N/A,#N/A,FALSE,"Normalized";#N/A,#N/A,FALSE,"Electric Actual";#N/A,#N/A,FALSE,"Electric Normalized"}</definedName>
    <definedName name="Master" localSheetId="29" hidden="1">{#N/A,#N/A,FALSE,"Actual";#N/A,#N/A,FALSE,"Normalized";#N/A,#N/A,FALSE,"Electric Actual";#N/A,#N/A,FALSE,"Electric Normalized"}</definedName>
    <definedName name="Master" localSheetId="30" hidden="1">{#N/A,#N/A,FALSE,"Actual";#N/A,#N/A,FALSE,"Normalized";#N/A,#N/A,FALSE,"Electric Actual";#N/A,#N/A,FALSE,"Electric Normalized"}</definedName>
    <definedName name="Master" localSheetId="31" hidden="1">{#N/A,#N/A,FALSE,"Actual";#N/A,#N/A,FALSE,"Normalized";#N/A,#N/A,FALSE,"Electric Actual";#N/A,#N/A,FALSE,"Electric Normalized"}</definedName>
    <definedName name="Master" localSheetId="37" hidden="1">{#N/A,#N/A,FALSE,"Actual";#N/A,#N/A,FALSE,"Normalized";#N/A,#N/A,FALSE,"Electric Actual";#N/A,#N/A,FALSE,"Electric Normalized"}</definedName>
    <definedName name="Master" localSheetId="41" hidden="1">{#N/A,#N/A,FALSE,"Actual";#N/A,#N/A,FALSE,"Normalized";#N/A,#N/A,FALSE,"Electric Actual";#N/A,#N/A,FALSE,"Electric Normalized"}</definedName>
    <definedName name="Master" localSheetId="42" hidden="1">{#N/A,#N/A,FALSE,"Actual";#N/A,#N/A,FALSE,"Normalized";#N/A,#N/A,FALSE,"Electric Actual";#N/A,#N/A,FALSE,"Electric Normalized"}</definedName>
    <definedName name="Master" localSheetId="0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ster_1" localSheetId="1" hidden="1">{#N/A,#N/A,FALSE,"Actual";#N/A,#N/A,FALSE,"Normalized";#N/A,#N/A,FALSE,"Electric Actual";#N/A,#N/A,FALSE,"Electric Normalized"}</definedName>
    <definedName name="Master_1" localSheetId="3" hidden="1">{#N/A,#N/A,FALSE,"Actual";#N/A,#N/A,FALSE,"Normalized";#N/A,#N/A,FALSE,"Electric Actual";#N/A,#N/A,FALSE,"Electric Normalized"}</definedName>
    <definedName name="Master_1" localSheetId="4" hidden="1">{#N/A,#N/A,FALSE,"Actual";#N/A,#N/A,FALSE,"Normalized";#N/A,#N/A,FALSE,"Electric Actual";#N/A,#N/A,FALSE,"Electric Normalized"}</definedName>
    <definedName name="Master_1" localSheetId="18" hidden="1">{#N/A,#N/A,FALSE,"Actual";#N/A,#N/A,FALSE,"Normalized";#N/A,#N/A,FALSE,"Electric Actual";#N/A,#N/A,FALSE,"Electric Normalized"}</definedName>
    <definedName name="Master_1" localSheetId="19" hidden="1">{#N/A,#N/A,FALSE,"Actual";#N/A,#N/A,FALSE,"Normalized";#N/A,#N/A,FALSE,"Electric Actual";#N/A,#N/A,FALSE,"Electric Normalized"}</definedName>
    <definedName name="Master_1" localSheetId="20" hidden="1">{#N/A,#N/A,FALSE,"Actual";#N/A,#N/A,FALSE,"Normalized";#N/A,#N/A,FALSE,"Electric Actual";#N/A,#N/A,FALSE,"Electric Normalized"}</definedName>
    <definedName name="Master_1" localSheetId="21" hidden="1">{#N/A,#N/A,FALSE,"Actual";#N/A,#N/A,FALSE,"Normalized";#N/A,#N/A,FALSE,"Electric Actual";#N/A,#N/A,FALSE,"Electric Normalized"}</definedName>
    <definedName name="Master_1" localSheetId="24" hidden="1">{#N/A,#N/A,FALSE,"Actual";#N/A,#N/A,FALSE,"Normalized";#N/A,#N/A,FALSE,"Electric Actual";#N/A,#N/A,FALSE,"Electric Normalized"}</definedName>
    <definedName name="Master_1" localSheetId="27" hidden="1">{#N/A,#N/A,FALSE,"Actual";#N/A,#N/A,FALSE,"Normalized";#N/A,#N/A,FALSE,"Electric Actual";#N/A,#N/A,FALSE,"Electric Normalized"}</definedName>
    <definedName name="Master_1" localSheetId="28" hidden="1">{#N/A,#N/A,FALSE,"Actual";#N/A,#N/A,FALSE,"Normalized";#N/A,#N/A,FALSE,"Electric Actual";#N/A,#N/A,FALSE,"Electric Normalized"}</definedName>
    <definedName name="Master_1" localSheetId="29" hidden="1">{#N/A,#N/A,FALSE,"Actual";#N/A,#N/A,FALSE,"Normalized";#N/A,#N/A,FALSE,"Electric Actual";#N/A,#N/A,FALSE,"Electric Normalized"}</definedName>
    <definedName name="Master_1" localSheetId="30" hidden="1">{#N/A,#N/A,FALSE,"Actual";#N/A,#N/A,FALSE,"Normalized";#N/A,#N/A,FALSE,"Electric Actual";#N/A,#N/A,FALSE,"Electric Normalized"}</definedName>
    <definedName name="Master_1" localSheetId="31" hidden="1">{#N/A,#N/A,FALSE,"Actual";#N/A,#N/A,FALSE,"Normalized";#N/A,#N/A,FALSE,"Electric Actual";#N/A,#N/A,FALSE,"Electric Normalized"}</definedName>
    <definedName name="Master_1" localSheetId="37" hidden="1">{#N/A,#N/A,FALSE,"Actual";#N/A,#N/A,FALSE,"Normalized";#N/A,#N/A,FALSE,"Electric Actual";#N/A,#N/A,FALSE,"Electric Normalized"}</definedName>
    <definedName name="Master_1" localSheetId="41" hidden="1">{#N/A,#N/A,FALSE,"Actual";#N/A,#N/A,FALSE,"Normalized";#N/A,#N/A,FALSE,"Electric Actual";#N/A,#N/A,FALSE,"Electric Normalized"}</definedName>
    <definedName name="Master_1" localSheetId="42" hidden="1">{#N/A,#N/A,FALSE,"Actual";#N/A,#N/A,FALSE,"Normalized";#N/A,#N/A,FALSE,"Electric Actual";#N/A,#N/A,FALSE,"Electric Normalized"}</definedName>
    <definedName name="Master_1" localSheetId="0" hidden="1">{#N/A,#N/A,FALSE,"Actual";#N/A,#N/A,FALSE,"Normalized";#N/A,#N/A,FALSE,"Electric Actual";#N/A,#N/A,FALSE,"Electric Normalized"}</definedName>
    <definedName name="Master_1" hidden="1">{#N/A,#N/A,FALSE,"Actual";#N/A,#N/A,FALSE,"Normalized";#N/A,#N/A,FALSE,"Electric Actual";#N/A,#N/A,FALSE,"Electric Normalized"}</definedName>
    <definedName name="Master_2" localSheetId="1" hidden="1">{#N/A,#N/A,FALSE,"Actual";#N/A,#N/A,FALSE,"Normalized";#N/A,#N/A,FALSE,"Electric Actual";#N/A,#N/A,FALSE,"Electric Normalized"}</definedName>
    <definedName name="Master_2" localSheetId="3" hidden="1">{#N/A,#N/A,FALSE,"Actual";#N/A,#N/A,FALSE,"Normalized";#N/A,#N/A,FALSE,"Electric Actual";#N/A,#N/A,FALSE,"Electric Normalized"}</definedName>
    <definedName name="Master_2" localSheetId="4" hidden="1">{#N/A,#N/A,FALSE,"Actual";#N/A,#N/A,FALSE,"Normalized";#N/A,#N/A,FALSE,"Electric Actual";#N/A,#N/A,FALSE,"Electric Normalized"}</definedName>
    <definedName name="Master_2" localSheetId="18" hidden="1">{#N/A,#N/A,FALSE,"Actual";#N/A,#N/A,FALSE,"Normalized";#N/A,#N/A,FALSE,"Electric Actual";#N/A,#N/A,FALSE,"Electric Normalized"}</definedName>
    <definedName name="Master_2" localSheetId="19" hidden="1">{#N/A,#N/A,FALSE,"Actual";#N/A,#N/A,FALSE,"Normalized";#N/A,#N/A,FALSE,"Electric Actual";#N/A,#N/A,FALSE,"Electric Normalized"}</definedName>
    <definedName name="Master_2" localSheetId="20" hidden="1">{#N/A,#N/A,FALSE,"Actual";#N/A,#N/A,FALSE,"Normalized";#N/A,#N/A,FALSE,"Electric Actual";#N/A,#N/A,FALSE,"Electric Normalized"}</definedName>
    <definedName name="Master_2" localSheetId="21" hidden="1">{#N/A,#N/A,FALSE,"Actual";#N/A,#N/A,FALSE,"Normalized";#N/A,#N/A,FALSE,"Electric Actual";#N/A,#N/A,FALSE,"Electric Normalized"}</definedName>
    <definedName name="Master_2" localSheetId="24" hidden="1">{#N/A,#N/A,FALSE,"Actual";#N/A,#N/A,FALSE,"Normalized";#N/A,#N/A,FALSE,"Electric Actual";#N/A,#N/A,FALSE,"Electric Normalized"}</definedName>
    <definedName name="Master_2" localSheetId="27" hidden="1">{#N/A,#N/A,FALSE,"Actual";#N/A,#N/A,FALSE,"Normalized";#N/A,#N/A,FALSE,"Electric Actual";#N/A,#N/A,FALSE,"Electric Normalized"}</definedName>
    <definedName name="Master_2" localSheetId="28" hidden="1">{#N/A,#N/A,FALSE,"Actual";#N/A,#N/A,FALSE,"Normalized";#N/A,#N/A,FALSE,"Electric Actual";#N/A,#N/A,FALSE,"Electric Normalized"}</definedName>
    <definedName name="Master_2" localSheetId="29" hidden="1">{#N/A,#N/A,FALSE,"Actual";#N/A,#N/A,FALSE,"Normalized";#N/A,#N/A,FALSE,"Electric Actual";#N/A,#N/A,FALSE,"Electric Normalized"}</definedName>
    <definedName name="Master_2" localSheetId="30" hidden="1">{#N/A,#N/A,FALSE,"Actual";#N/A,#N/A,FALSE,"Normalized";#N/A,#N/A,FALSE,"Electric Actual";#N/A,#N/A,FALSE,"Electric Normalized"}</definedName>
    <definedName name="Master_2" localSheetId="31" hidden="1">{#N/A,#N/A,FALSE,"Actual";#N/A,#N/A,FALSE,"Normalized";#N/A,#N/A,FALSE,"Electric Actual";#N/A,#N/A,FALSE,"Electric Normalized"}</definedName>
    <definedName name="Master_2" localSheetId="37" hidden="1">{#N/A,#N/A,FALSE,"Actual";#N/A,#N/A,FALSE,"Normalized";#N/A,#N/A,FALSE,"Electric Actual";#N/A,#N/A,FALSE,"Electric Normalized"}</definedName>
    <definedName name="Master_2" localSheetId="41" hidden="1">{#N/A,#N/A,FALSE,"Actual";#N/A,#N/A,FALSE,"Normalized";#N/A,#N/A,FALSE,"Electric Actual";#N/A,#N/A,FALSE,"Electric Normalized"}</definedName>
    <definedName name="Master_2" localSheetId="42" hidden="1">{#N/A,#N/A,FALSE,"Actual";#N/A,#N/A,FALSE,"Normalized";#N/A,#N/A,FALSE,"Electric Actual";#N/A,#N/A,FALSE,"Electric Normalized"}</definedName>
    <definedName name="Master_2" localSheetId="0" hidden="1">{#N/A,#N/A,FALSE,"Actual";#N/A,#N/A,FALSE,"Normalized";#N/A,#N/A,FALSE,"Electric Actual";#N/A,#N/A,FALSE,"Electric Normalized"}</definedName>
    <definedName name="Master_2" hidden="1">{#N/A,#N/A,FALSE,"Actual";#N/A,#N/A,FALSE,"Normalized";#N/A,#N/A,FALSE,"Electric Actual";#N/A,#N/A,FALSE,"Electric Normalized"}</definedName>
    <definedName name="Master_3" localSheetId="1" hidden="1">{#N/A,#N/A,FALSE,"Actual";#N/A,#N/A,FALSE,"Normalized";#N/A,#N/A,FALSE,"Electric Actual";#N/A,#N/A,FALSE,"Electric Normalized"}</definedName>
    <definedName name="Master_3" localSheetId="3" hidden="1">{#N/A,#N/A,FALSE,"Actual";#N/A,#N/A,FALSE,"Normalized";#N/A,#N/A,FALSE,"Electric Actual";#N/A,#N/A,FALSE,"Electric Normalized"}</definedName>
    <definedName name="Master_3" localSheetId="4" hidden="1">{#N/A,#N/A,FALSE,"Actual";#N/A,#N/A,FALSE,"Normalized";#N/A,#N/A,FALSE,"Electric Actual";#N/A,#N/A,FALSE,"Electric Normalized"}</definedName>
    <definedName name="Master_3" localSheetId="18" hidden="1">{#N/A,#N/A,FALSE,"Actual";#N/A,#N/A,FALSE,"Normalized";#N/A,#N/A,FALSE,"Electric Actual";#N/A,#N/A,FALSE,"Electric Normalized"}</definedName>
    <definedName name="Master_3" localSheetId="19" hidden="1">{#N/A,#N/A,FALSE,"Actual";#N/A,#N/A,FALSE,"Normalized";#N/A,#N/A,FALSE,"Electric Actual";#N/A,#N/A,FALSE,"Electric Normalized"}</definedName>
    <definedName name="Master_3" localSheetId="20" hidden="1">{#N/A,#N/A,FALSE,"Actual";#N/A,#N/A,FALSE,"Normalized";#N/A,#N/A,FALSE,"Electric Actual";#N/A,#N/A,FALSE,"Electric Normalized"}</definedName>
    <definedName name="Master_3" localSheetId="21" hidden="1">{#N/A,#N/A,FALSE,"Actual";#N/A,#N/A,FALSE,"Normalized";#N/A,#N/A,FALSE,"Electric Actual";#N/A,#N/A,FALSE,"Electric Normalized"}</definedName>
    <definedName name="Master_3" localSheetId="24" hidden="1">{#N/A,#N/A,FALSE,"Actual";#N/A,#N/A,FALSE,"Normalized";#N/A,#N/A,FALSE,"Electric Actual";#N/A,#N/A,FALSE,"Electric Normalized"}</definedName>
    <definedName name="Master_3" localSheetId="27" hidden="1">{#N/A,#N/A,FALSE,"Actual";#N/A,#N/A,FALSE,"Normalized";#N/A,#N/A,FALSE,"Electric Actual";#N/A,#N/A,FALSE,"Electric Normalized"}</definedName>
    <definedName name="Master_3" localSheetId="28" hidden="1">{#N/A,#N/A,FALSE,"Actual";#N/A,#N/A,FALSE,"Normalized";#N/A,#N/A,FALSE,"Electric Actual";#N/A,#N/A,FALSE,"Electric Normalized"}</definedName>
    <definedName name="Master_3" localSheetId="29" hidden="1">{#N/A,#N/A,FALSE,"Actual";#N/A,#N/A,FALSE,"Normalized";#N/A,#N/A,FALSE,"Electric Actual";#N/A,#N/A,FALSE,"Electric Normalized"}</definedName>
    <definedName name="Master_3" localSheetId="30" hidden="1">{#N/A,#N/A,FALSE,"Actual";#N/A,#N/A,FALSE,"Normalized";#N/A,#N/A,FALSE,"Electric Actual";#N/A,#N/A,FALSE,"Electric Normalized"}</definedName>
    <definedName name="Master_3" localSheetId="31" hidden="1">{#N/A,#N/A,FALSE,"Actual";#N/A,#N/A,FALSE,"Normalized";#N/A,#N/A,FALSE,"Electric Actual";#N/A,#N/A,FALSE,"Electric Normalized"}</definedName>
    <definedName name="Master_3" localSheetId="37" hidden="1">{#N/A,#N/A,FALSE,"Actual";#N/A,#N/A,FALSE,"Normalized";#N/A,#N/A,FALSE,"Electric Actual";#N/A,#N/A,FALSE,"Electric Normalized"}</definedName>
    <definedName name="Master_3" localSheetId="41" hidden="1">{#N/A,#N/A,FALSE,"Actual";#N/A,#N/A,FALSE,"Normalized";#N/A,#N/A,FALSE,"Electric Actual";#N/A,#N/A,FALSE,"Electric Normalized"}</definedName>
    <definedName name="Master_3" localSheetId="42" hidden="1">{#N/A,#N/A,FALSE,"Actual";#N/A,#N/A,FALSE,"Normalized";#N/A,#N/A,FALSE,"Electric Actual";#N/A,#N/A,FALSE,"Electric Normalized"}</definedName>
    <definedName name="Master_3" localSheetId="0" hidden="1">{#N/A,#N/A,FALSE,"Actual";#N/A,#N/A,FALSE,"Normalized";#N/A,#N/A,FALSE,"Electric Actual";#N/A,#N/A,FALSE,"Electric Normalized"}</definedName>
    <definedName name="Master_3" hidden="1">{#N/A,#N/A,FALSE,"Actual";#N/A,#N/A,FALSE,"Normalized";#N/A,#N/A,FALSE,"Electric Actual";#N/A,#N/A,FALSE,"Electric Normalized"}</definedName>
    <definedName name="Master_4" localSheetId="1" hidden="1">{#N/A,#N/A,FALSE,"Actual";#N/A,#N/A,FALSE,"Normalized";#N/A,#N/A,FALSE,"Electric Actual";#N/A,#N/A,FALSE,"Electric Normalized"}</definedName>
    <definedName name="Master_4" localSheetId="3" hidden="1">{#N/A,#N/A,FALSE,"Actual";#N/A,#N/A,FALSE,"Normalized";#N/A,#N/A,FALSE,"Electric Actual";#N/A,#N/A,FALSE,"Electric Normalized"}</definedName>
    <definedName name="Master_4" localSheetId="4" hidden="1">{#N/A,#N/A,FALSE,"Actual";#N/A,#N/A,FALSE,"Normalized";#N/A,#N/A,FALSE,"Electric Actual";#N/A,#N/A,FALSE,"Electric Normalized"}</definedName>
    <definedName name="Master_4" localSheetId="18" hidden="1">{#N/A,#N/A,FALSE,"Actual";#N/A,#N/A,FALSE,"Normalized";#N/A,#N/A,FALSE,"Electric Actual";#N/A,#N/A,FALSE,"Electric Normalized"}</definedName>
    <definedName name="Master_4" localSheetId="19" hidden="1">{#N/A,#N/A,FALSE,"Actual";#N/A,#N/A,FALSE,"Normalized";#N/A,#N/A,FALSE,"Electric Actual";#N/A,#N/A,FALSE,"Electric Normalized"}</definedName>
    <definedName name="Master_4" localSheetId="20" hidden="1">{#N/A,#N/A,FALSE,"Actual";#N/A,#N/A,FALSE,"Normalized";#N/A,#N/A,FALSE,"Electric Actual";#N/A,#N/A,FALSE,"Electric Normalized"}</definedName>
    <definedName name="Master_4" localSheetId="21" hidden="1">{#N/A,#N/A,FALSE,"Actual";#N/A,#N/A,FALSE,"Normalized";#N/A,#N/A,FALSE,"Electric Actual";#N/A,#N/A,FALSE,"Electric Normalized"}</definedName>
    <definedName name="Master_4" localSheetId="24" hidden="1">{#N/A,#N/A,FALSE,"Actual";#N/A,#N/A,FALSE,"Normalized";#N/A,#N/A,FALSE,"Electric Actual";#N/A,#N/A,FALSE,"Electric Normalized"}</definedName>
    <definedName name="Master_4" localSheetId="27" hidden="1">{#N/A,#N/A,FALSE,"Actual";#N/A,#N/A,FALSE,"Normalized";#N/A,#N/A,FALSE,"Electric Actual";#N/A,#N/A,FALSE,"Electric Normalized"}</definedName>
    <definedName name="Master_4" localSheetId="28" hidden="1">{#N/A,#N/A,FALSE,"Actual";#N/A,#N/A,FALSE,"Normalized";#N/A,#N/A,FALSE,"Electric Actual";#N/A,#N/A,FALSE,"Electric Normalized"}</definedName>
    <definedName name="Master_4" localSheetId="29" hidden="1">{#N/A,#N/A,FALSE,"Actual";#N/A,#N/A,FALSE,"Normalized";#N/A,#N/A,FALSE,"Electric Actual";#N/A,#N/A,FALSE,"Electric Normalized"}</definedName>
    <definedName name="Master_4" localSheetId="30" hidden="1">{#N/A,#N/A,FALSE,"Actual";#N/A,#N/A,FALSE,"Normalized";#N/A,#N/A,FALSE,"Electric Actual";#N/A,#N/A,FALSE,"Electric Normalized"}</definedName>
    <definedName name="Master_4" localSheetId="31" hidden="1">{#N/A,#N/A,FALSE,"Actual";#N/A,#N/A,FALSE,"Normalized";#N/A,#N/A,FALSE,"Electric Actual";#N/A,#N/A,FALSE,"Electric Normalized"}</definedName>
    <definedName name="Master_4" localSheetId="37" hidden="1">{#N/A,#N/A,FALSE,"Actual";#N/A,#N/A,FALSE,"Normalized";#N/A,#N/A,FALSE,"Electric Actual";#N/A,#N/A,FALSE,"Electric Normalized"}</definedName>
    <definedName name="Master_4" localSheetId="41" hidden="1">{#N/A,#N/A,FALSE,"Actual";#N/A,#N/A,FALSE,"Normalized";#N/A,#N/A,FALSE,"Electric Actual";#N/A,#N/A,FALSE,"Electric Normalized"}</definedName>
    <definedName name="Master_4" localSheetId="42" hidden="1">{#N/A,#N/A,FALSE,"Actual";#N/A,#N/A,FALSE,"Normalized";#N/A,#N/A,FALSE,"Electric Actual";#N/A,#N/A,FALSE,"Electric Normalized"}</definedName>
    <definedName name="Master_4" localSheetId="0" hidden="1">{#N/A,#N/A,FALSE,"Actual";#N/A,#N/A,FALSE,"Normalized";#N/A,#N/A,FALSE,"Electric Actual";#N/A,#N/A,FALSE,"Electric Normalized"}</definedName>
    <definedName name="Master_4" hidden="1">{#N/A,#N/A,FALSE,"Actual";#N/A,#N/A,FALSE,"Normalized";#N/A,#N/A,FALSE,"Electric Actual";#N/A,#N/A,FALSE,"Electric Normalized"}</definedName>
    <definedName name="Master_5" localSheetId="1" hidden="1">{#N/A,#N/A,FALSE,"Actual";#N/A,#N/A,FALSE,"Normalized";#N/A,#N/A,FALSE,"Electric Actual";#N/A,#N/A,FALSE,"Electric Normalized"}</definedName>
    <definedName name="Master_5" localSheetId="3" hidden="1">{#N/A,#N/A,FALSE,"Actual";#N/A,#N/A,FALSE,"Normalized";#N/A,#N/A,FALSE,"Electric Actual";#N/A,#N/A,FALSE,"Electric Normalized"}</definedName>
    <definedName name="Master_5" localSheetId="4" hidden="1">{#N/A,#N/A,FALSE,"Actual";#N/A,#N/A,FALSE,"Normalized";#N/A,#N/A,FALSE,"Electric Actual";#N/A,#N/A,FALSE,"Electric Normalized"}</definedName>
    <definedName name="Master_5" localSheetId="18" hidden="1">{#N/A,#N/A,FALSE,"Actual";#N/A,#N/A,FALSE,"Normalized";#N/A,#N/A,FALSE,"Electric Actual";#N/A,#N/A,FALSE,"Electric Normalized"}</definedName>
    <definedName name="Master_5" localSheetId="19" hidden="1">{#N/A,#N/A,FALSE,"Actual";#N/A,#N/A,FALSE,"Normalized";#N/A,#N/A,FALSE,"Electric Actual";#N/A,#N/A,FALSE,"Electric Normalized"}</definedName>
    <definedName name="Master_5" localSheetId="20" hidden="1">{#N/A,#N/A,FALSE,"Actual";#N/A,#N/A,FALSE,"Normalized";#N/A,#N/A,FALSE,"Electric Actual";#N/A,#N/A,FALSE,"Electric Normalized"}</definedName>
    <definedName name="Master_5" localSheetId="21" hidden="1">{#N/A,#N/A,FALSE,"Actual";#N/A,#N/A,FALSE,"Normalized";#N/A,#N/A,FALSE,"Electric Actual";#N/A,#N/A,FALSE,"Electric Normalized"}</definedName>
    <definedName name="Master_5" localSheetId="24" hidden="1">{#N/A,#N/A,FALSE,"Actual";#N/A,#N/A,FALSE,"Normalized";#N/A,#N/A,FALSE,"Electric Actual";#N/A,#N/A,FALSE,"Electric Normalized"}</definedName>
    <definedName name="Master_5" localSheetId="27" hidden="1">{#N/A,#N/A,FALSE,"Actual";#N/A,#N/A,FALSE,"Normalized";#N/A,#N/A,FALSE,"Electric Actual";#N/A,#N/A,FALSE,"Electric Normalized"}</definedName>
    <definedName name="Master_5" localSheetId="28" hidden="1">{#N/A,#N/A,FALSE,"Actual";#N/A,#N/A,FALSE,"Normalized";#N/A,#N/A,FALSE,"Electric Actual";#N/A,#N/A,FALSE,"Electric Normalized"}</definedName>
    <definedName name="Master_5" localSheetId="29" hidden="1">{#N/A,#N/A,FALSE,"Actual";#N/A,#N/A,FALSE,"Normalized";#N/A,#N/A,FALSE,"Electric Actual";#N/A,#N/A,FALSE,"Electric Normalized"}</definedName>
    <definedName name="Master_5" localSheetId="30" hidden="1">{#N/A,#N/A,FALSE,"Actual";#N/A,#N/A,FALSE,"Normalized";#N/A,#N/A,FALSE,"Electric Actual";#N/A,#N/A,FALSE,"Electric Normalized"}</definedName>
    <definedName name="Master_5" localSheetId="31" hidden="1">{#N/A,#N/A,FALSE,"Actual";#N/A,#N/A,FALSE,"Normalized";#N/A,#N/A,FALSE,"Electric Actual";#N/A,#N/A,FALSE,"Electric Normalized"}</definedName>
    <definedName name="Master_5" localSheetId="37" hidden="1">{#N/A,#N/A,FALSE,"Actual";#N/A,#N/A,FALSE,"Normalized";#N/A,#N/A,FALSE,"Electric Actual";#N/A,#N/A,FALSE,"Electric Normalized"}</definedName>
    <definedName name="Master_5" localSheetId="41" hidden="1">{#N/A,#N/A,FALSE,"Actual";#N/A,#N/A,FALSE,"Normalized";#N/A,#N/A,FALSE,"Electric Actual";#N/A,#N/A,FALSE,"Electric Normalized"}</definedName>
    <definedName name="Master_5" localSheetId="42" hidden="1">{#N/A,#N/A,FALSE,"Actual";#N/A,#N/A,FALSE,"Normalized";#N/A,#N/A,FALSE,"Electric Actual";#N/A,#N/A,FALSE,"Electric Normalized"}</definedName>
    <definedName name="Master_5" localSheetId="0" hidden="1">{#N/A,#N/A,FALSE,"Actual";#N/A,#N/A,FALSE,"Normalized";#N/A,#N/A,FALSE,"Electric Actual";#N/A,#N/A,FALSE,"Electric Normalized"}</definedName>
    <definedName name="Master_5" hidden="1">{#N/A,#N/A,FALSE,"Actual";#N/A,#N/A,FALSE,"Normalized";#N/A,#N/A,FALSE,"Electric Actual";#N/A,#N/A,FALSE,"Electric Normalized"}</definedName>
    <definedName name="OHSch10YR" localSheetId="1" hidden="1">{#N/A,#N/A,FALSE,"Summary";#N/A,#N/A,FALSE,"SmPlants";#N/A,#N/A,FALSE,"Utah";#N/A,#N/A,FALSE,"Idaho";#N/A,#N/A,FALSE,"Lewis River";#N/A,#N/A,FALSE,"NrthUmpq";#N/A,#N/A,FALSE,"KlamRog"}</definedName>
    <definedName name="OHSch10YR" localSheetId="3" hidden="1">{#N/A,#N/A,FALSE,"Summary";#N/A,#N/A,FALSE,"SmPlants";#N/A,#N/A,FALSE,"Utah";#N/A,#N/A,FALSE,"Idaho";#N/A,#N/A,FALSE,"Lewis River";#N/A,#N/A,FALSE,"NrthUmpq";#N/A,#N/A,FALSE,"KlamRog"}</definedName>
    <definedName name="OHSch10YR" localSheetId="4" hidden="1">{#N/A,#N/A,FALSE,"Summary";#N/A,#N/A,FALSE,"SmPlants";#N/A,#N/A,FALSE,"Utah";#N/A,#N/A,FALSE,"Idaho";#N/A,#N/A,FALSE,"Lewis River";#N/A,#N/A,FALSE,"NrthUmpq";#N/A,#N/A,FALSE,"KlamRog"}</definedName>
    <definedName name="OHSch10YR" localSheetId="18" hidden="1">{#N/A,#N/A,FALSE,"Summary";#N/A,#N/A,FALSE,"SmPlants";#N/A,#N/A,FALSE,"Utah";#N/A,#N/A,FALSE,"Idaho";#N/A,#N/A,FALSE,"Lewis River";#N/A,#N/A,FALSE,"NrthUmpq";#N/A,#N/A,FALSE,"KlamRog"}</definedName>
    <definedName name="OHSch10YR" localSheetId="19" hidden="1">{#N/A,#N/A,FALSE,"Summary";#N/A,#N/A,FALSE,"SmPlants";#N/A,#N/A,FALSE,"Utah";#N/A,#N/A,FALSE,"Idaho";#N/A,#N/A,FALSE,"Lewis River";#N/A,#N/A,FALSE,"NrthUmpq";#N/A,#N/A,FALSE,"KlamRog"}</definedName>
    <definedName name="OHSch10YR" localSheetId="20" hidden="1">{#N/A,#N/A,FALSE,"Summary";#N/A,#N/A,FALSE,"SmPlants";#N/A,#N/A,FALSE,"Utah";#N/A,#N/A,FALSE,"Idaho";#N/A,#N/A,FALSE,"Lewis River";#N/A,#N/A,FALSE,"NrthUmpq";#N/A,#N/A,FALSE,"KlamRog"}</definedName>
    <definedName name="OHSch10YR" localSheetId="21" hidden="1">{#N/A,#N/A,FALSE,"Summary";#N/A,#N/A,FALSE,"SmPlants";#N/A,#N/A,FALSE,"Utah";#N/A,#N/A,FALSE,"Idaho";#N/A,#N/A,FALSE,"Lewis River";#N/A,#N/A,FALSE,"NrthUmpq";#N/A,#N/A,FALSE,"KlamRog"}</definedName>
    <definedName name="OHSch10YR" localSheetId="24" hidden="1">{#N/A,#N/A,FALSE,"Summary";#N/A,#N/A,FALSE,"SmPlants";#N/A,#N/A,FALSE,"Utah";#N/A,#N/A,FALSE,"Idaho";#N/A,#N/A,FALSE,"Lewis River";#N/A,#N/A,FALSE,"NrthUmpq";#N/A,#N/A,FALSE,"KlamRog"}</definedName>
    <definedName name="OHSch10YR" localSheetId="27" hidden="1">{#N/A,#N/A,FALSE,"Summary";#N/A,#N/A,FALSE,"SmPlants";#N/A,#N/A,FALSE,"Utah";#N/A,#N/A,FALSE,"Idaho";#N/A,#N/A,FALSE,"Lewis River";#N/A,#N/A,FALSE,"NrthUmpq";#N/A,#N/A,FALSE,"KlamRog"}</definedName>
    <definedName name="OHSch10YR" localSheetId="28" hidden="1">{#N/A,#N/A,FALSE,"Summary";#N/A,#N/A,FALSE,"SmPlants";#N/A,#N/A,FALSE,"Utah";#N/A,#N/A,FALSE,"Idaho";#N/A,#N/A,FALSE,"Lewis River";#N/A,#N/A,FALSE,"NrthUmpq";#N/A,#N/A,FALSE,"KlamRog"}</definedName>
    <definedName name="OHSch10YR" localSheetId="29" hidden="1">{#N/A,#N/A,FALSE,"Summary";#N/A,#N/A,FALSE,"SmPlants";#N/A,#N/A,FALSE,"Utah";#N/A,#N/A,FALSE,"Idaho";#N/A,#N/A,FALSE,"Lewis River";#N/A,#N/A,FALSE,"NrthUmpq";#N/A,#N/A,FALSE,"KlamRog"}</definedName>
    <definedName name="OHSch10YR" localSheetId="30" hidden="1">{#N/A,#N/A,FALSE,"Summary";#N/A,#N/A,FALSE,"SmPlants";#N/A,#N/A,FALSE,"Utah";#N/A,#N/A,FALSE,"Idaho";#N/A,#N/A,FALSE,"Lewis River";#N/A,#N/A,FALSE,"NrthUmpq";#N/A,#N/A,FALSE,"KlamRog"}</definedName>
    <definedName name="OHSch10YR" localSheetId="31" hidden="1">{#N/A,#N/A,FALSE,"Summary";#N/A,#N/A,FALSE,"SmPlants";#N/A,#N/A,FALSE,"Utah";#N/A,#N/A,FALSE,"Idaho";#N/A,#N/A,FALSE,"Lewis River";#N/A,#N/A,FALSE,"NrthUmpq";#N/A,#N/A,FALSE,"KlamRog"}</definedName>
    <definedName name="OHSch10YR" localSheetId="37" hidden="1">{#N/A,#N/A,FALSE,"Summary";#N/A,#N/A,FALSE,"SmPlants";#N/A,#N/A,FALSE,"Utah";#N/A,#N/A,FALSE,"Idaho";#N/A,#N/A,FALSE,"Lewis River";#N/A,#N/A,FALSE,"NrthUmpq";#N/A,#N/A,FALSE,"KlamRog"}</definedName>
    <definedName name="OHSch10YR" localSheetId="41" hidden="1">{#N/A,#N/A,FALSE,"Summary";#N/A,#N/A,FALSE,"SmPlants";#N/A,#N/A,FALSE,"Utah";#N/A,#N/A,FALSE,"Idaho";#N/A,#N/A,FALSE,"Lewis River";#N/A,#N/A,FALSE,"NrthUmpq";#N/A,#N/A,FALSE,"KlamRog"}</definedName>
    <definedName name="OHSch10YR" localSheetId="42" hidden="1">{#N/A,#N/A,FALSE,"Summary";#N/A,#N/A,FALSE,"SmPlants";#N/A,#N/A,FALSE,"Utah";#N/A,#N/A,FALSE,"Idaho";#N/A,#N/A,FALSE,"Lewis River";#N/A,#N/A,FALSE,"NrthUmpq";#N/A,#N/A,FALSE,"KlamRog"}</definedName>
    <definedName name="OHSch10YR" localSheetId="0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HSch10YR_1" localSheetId="1" hidden="1">{#N/A,#N/A,FALSE,"Summary";#N/A,#N/A,FALSE,"SmPlants";#N/A,#N/A,FALSE,"Utah";#N/A,#N/A,FALSE,"Idaho";#N/A,#N/A,FALSE,"Lewis River";#N/A,#N/A,FALSE,"NrthUmpq";#N/A,#N/A,FALSE,"KlamRog"}</definedName>
    <definedName name="OHSch10YR_1" localSheetId="3" hidden="1">{#N/A,#N/A,FALSE,"Summary";#N/A,#N/A,FALSE,"SmPlants";#N/A,#N/A,FALSE,"Utah";#N/A,#N/A,FALSE,"Idaho";#N/A,#N/A,FALSE,"Lewis River";#N/A,#N/A,FALSE,"NrthUmpq";#N/A,#N/A,FALSE,"KlamRog"}</definedName>
    <definedName name="OHSch10YR_1" localSheetId="4" hidden="1">{#N/A,#N/A,FALSE,"Summary";#N/A,#N/A,FALSE,"SmPlants";#N/A,#N/A,FALSE,"Utah";#N/A,#N/A,FALSE,"Idaho";#N/A,#N/A,FALSE,"Lewis River";#N/A,#N/A,FALSE,"NrthUmpq";#N/A,#N/A,FALSE,"KlamRog"}</definedName>
    <definedName name="OHSch10YR_1" localSheetId="18" hidden="1">{#N/A,#N/A,FALSE,"Summary";#N/A,#N/A,FALSE,"SmPlants";#N/A,#N/A,FALSE,"Utah";#N/A,#N/A,FALSE,"Idaho";#N/A,#N/A,FALSE,"Lewis River";#N/A,#N/A,FALSE,"NrthUmpq";#N/A,#N/A,FALSE,"KlamRog"}</definedName>
    <definedName name="OHSch10YR_1" localSheetId="19" hidden="1">{#N/A,#N/A,FALSE,"Summary";#N/A,#N/A,FALSE,"SmPlants";#N/A,#N/A,FALSE,"Utah";#N/A,#N/A,FALSE,"Idaho";#N/A,#N/A,FALSE,"Lewis River";#N/A,#N/A,FALSE,"NrthUmpq";#N/A,#N/A,FALSE,"KlamRog"}</definedName>
    <definedName name="OHSch10YR_1" localSheetId="20" hidden="1">{#N/A,#N/A,FALSE,"Summary";#N/A,#N/A,FALSE,"SmPlants";#N/A,#N/A,FALSE,"Utah";#N/A,#N/A,FALSE,"Idaho";#N/A,#N/A,FALSE,"Lewis River";#N/A,#N/A,FALSE,"NrthUmpq";#N/A,#N/A,FALSE,"KlamRog"}</definedName>
    <definedName name="OHSch10YR_1" localSheetId="21" hidden="1">{#N/A,#N/A,FALSE,"Summary";#N/A,#N/A,FALSE,"SmPlants";#N/A,#N/A,FALSE,"Utah";#N/A,#N/A,FALSE,"Idaho";#N/A,#N/A,FALSE,"Lewis River";#N/A,#N/A,FALSE,"NrthUmpq";#N/A,#N/A,FALSE,"KlamRog"}</definedName>
    <definedName name="OHSch10YR_1" localSheetId="24" hidden="1">{#N/A,#N/A,FALSE,"Summary";#N/A,#N/A,FALSE,"SmPlants";#N/A,#N/A,FALSE,"Utah";#N/A,#N/A,FALSE,"Idaho";#N/A,#N/A,FALSE,"Lewis River";#N/A,#N/A,FALSE,"NrthUmpq";#N/A,#N/A,FALSE,"KlamRog"}</definedName>
    <definedName name="OHSch10YR_1" localSheetId="27" hidden="1">{#N/A,#N/A,FALSE,"Summary";#N/A,#N/A,FALSE,"SmPlants";#N/A,#N/A,FALSE,"Utah";#N/A,#N/A,FALSE,"Idaho";#N/A,#N/A,FALSE,"Lewis River";#N/A,#N/A,FALSE,"NrthUmpq";#N/A,#N/A,FALSE,"KlamRog"}</definedName>
    <definedName name="OHSch10YR_1" localSheetId="28" hidden="1">{#N/A,#N/A,FALSE,"Summary";#N/A,#N/A,FALSE,"SmPlants";#N/A,#N/A,FALSE,"Utah";#N/A,#N/A,FALSE,"Idaho";#N/A,#N/A,FALSE,"Lewis River";#N/A,#N/A,FALSE,"NrthUmpq";#N/A,#N/A,FALSE,"KlamRog"}</definedName>
    <definedName name="OHSch10YR_1" localSheetId="29" hidden="1">{#N/A,#N/A,FALSE,"Summary";#N/A,#N/A,FALSE,"SmPlants";#N/A,#N/A,FALSE,"Utah";#N/A,#N/A,FALSE,"Idaho";#N/A,#N/A,FALSE,"Lewis River";#N/A,#N/A,FALSE,"NrthUmpq";#N/A,#N/A,FALSE,"KlamRog"}</definedName>
    <definedName name="OHSch10YR_1" localSheetId="30" hidden="1">{#N/A,#N/A,FALSE,"Summary";#N/A,#N/A,FALSE,"SmPlants";#N/A,#N/A,FALSE,"Utah";#N/A,#N/A,FALSE,"Idaho";#N/A,#N/A,FALSE,"Lewis River";#N/A,#N/A,FALSE,"NrthUmpq";#N/A,#N/A,FALSE,"KlamRog"}</definedName>
    <definedName name="OHSch10YR_1" localSheetId="31" hidden="1">{#N/A,#N/A,FALSE,"Summary";#N/A,#N/A,FALSE,"SmPlants";#N/A,#N/A,FALSE,"Utah";#N/A,#N/A,FALSE,"Idaho";#N/A,#N/A,FALSE,"Lewis River";#N/A,#N/A,FALSE,"NrthUmpq";#N/A,#N/A,FALSE,"KlamRog"}</definedName>
    <definedName name="OHSch10YR_1" localSheetId="37" hidden="1">{#N/A,#N/A,FALSE,"Summary";#N/A,#N/A,FALSE,"SmPlants";#N/A,#N/A,FALSE,"Utah";#N/A,#N/A,FALSE,"Idaho";#N/A,#N/A,FALSE,"Lewis River";#N/A,#N/A,FALSE,"NrthUmpq";#N/A,#N/A,FALSE,"KlamRog"}</definedName>
    <definedName name="OHSch10YR_1" localSheetId="41" hidden="1">{#N/A,#N/A,FALSE,"Summary";#N/A,#N/A,FALSE,"SmPlants";#N/A,#N/A,FALSE,"Utah";#N/A,#N/A,FALSE,"Idaho";#N/A,#N/A,FALSE,"Lewis River";#N/A,#N/A,FALSE,"NrthUmpq";#N/A,#N/A,FALSE,"KlamRog"}</definedName>
    <definedName name="OHSch10YR_1" localSheetId="42" hidden="1">{#N/A,#N/A,FALSE,"Summary";#N/A,#N/A,FALSE,"SmPlants";#N/A,#N/A,FALSE,"Utah";#N/A,#N/A,FALSE,"Idaho";#N/A,#N/A,FALSE,"Lewis River";#N/A,#N/A,FALSE,"NrthUmpq";#N/A,#N/A,FALSE,"KlamRog"}</definedName>
    <definedName name="OHSch10YR_1" localSheetId="0" hidden="1">{#N/A,#N/A,FALSE,"Summary";#N/A,#N/A,FALSE,"SmPlants";#N/A,#N/A,FALSE,"Utah";#N/A,#N/A,FALSE,"Idaho";#N/A,#N/A,FALSE,"Lewis River";#N/A,#N/A,FALSE,"NrthUmpq";#N/A,#N/A,FALSE,"KlamRog"}</definedName>
    <definedName name="OHSch10YR_1" hidden="1">{#N/A,#N/A,FALSE,"Summary";#N/A,#N/A,FALSE,"SmPlants";#N/A,#N/A,FALSE,"Utah";#N/A,#N/A,FALSE,"Idaho";#N/A,#N/A,FALSE,"Lewis River";#N/A,#N/A,FALSE,"NrthUmpq";#N/A,#N/A,FALSE,"KlamRog"}</definedName>
    <definedName name="OHSch10YR_2" localSheetId="1" hidden="1">{#N/A,#N/A,FALSE,"Summary";#N/A,#N/A,FALSE,"SmPlants";#N/A,#N/A,FALSE,"Utah";#N/A,#N/A,FALSE,"Idaho";#N/A,#N/A,FALSE,"Lewis River";#N/A,#N/A,FALSE,"NrthUmpq";#N/A,#N/A,FALSE,"KlamRog"}</definedName>
    <definedName name="OHSch10YR_2" localSheetId="3" hidden="1">{#N/A,#N/A,FALSE,"Summary";#N/A,#N/A,FALSE,"SmPlants";#N/A,#N/A,FALSE,"Utah";#N/A,#N/A,FALSE,"Idaho";#N/A,#N/A,FALSE,"Lewis River";#N/A,#N/A,FALSE,"NrthUmpq";#N/A,#N/A,FALSE,"KlamRog"}</definedName>
    <definedName name="OHSch10YR_2" localSheetId="4" hidden="1">{#N/A,#N/A,FALSE,"Summary";#N/A,#N/A,FALSE,"SmPlants";#N/A,#N/A,FALSE,"Utah";#N/A,#N/A,FALSE,"Idaho";#N/A,#N/A,FALSE,"Lewis River";#N/A,#N/A,FALSE,"NrthUmpq";#N/A,#N/A,FALSE,"KlamRog"}</definedName>
    <definedName name="OHSch10YR_2" localSheetId="18" hidden="1">{#N/A,#N/A,FALSE,"Summary";#N/A,#N/A,FALSE,"SmPlants";#N/A,#N/A,FALSE,"Utah";#N/A,#N/A,FALSE,"Idaho";#N/A,#N/A,FALSE,"Lewis River";#N/A,#N/A,FALSE,"NrthUmpq";#N/A,#N/A,FALSE,"KlamRog"}</definedName>
    <definedName name="OHSch10YR_2" localSheetId="19" hidden="1">{#N/A,#N/A,FALSE,"Summary";#N/A,#N/A,FALSE,"SmPlants";#N/A,#N/A,FALSE,"Utah";#N/A,#N/A,FALSE,"Idaho";#N/A,#N/A,FALSE,"Lewis River";#N/A,#N/A,FALSE,"NrthUmpq";#N/A,#N/A,FALSE,"KlamRog"}</definedName>
    <definedName name="OHSch10YR_2" localSheetId="20" hidden="1">{#N/A,#N/A,FALSE,"Summary";#N/A,#N/A,FALSE,"SmPlants";#N/A,#N/A,FALSE,"Utah";#N/A,#N/A,FALSE,"Idaho";#N/A,#N/A,FALSE,"Lewis River";#N/A,#N/A,FALSE,"NrthUmpq";#N/A,#N/A,FALSE,"KlamRog"}</definedName>
    <definedName name="OHSch10YR_2" localSheetId="21" hidden="1">{#N/A,#N/A,FALSE,"Summary";#N/A,#N/A,FALSE,"SmPlants";#N/A,#N/A,FALSE,"Utah";#N/A,#N/A,FALSE,"Idaho";#N/A,#N/A,FALSE,"Lewis River";#N/A,#N/A,FALSE,"NrthUmpq";#N/A,#N/A,FALSE,"KlamRog"}</definedName>
    <definedName name="OHSch10YR_2" localSheetId="24" hidden="1">{#N/A,#N/A,FALSE,"Summary";#N/A,#N/A,FALSE,"SmPlants";#N/A,#N/A,FALSE,"Utah";#N/A,#N/A,FALSE,"Idaho";#N/A,#N/A,FALSE,"Lewis River";#N/A,#N/A,FALSE,"NrthUmpq";#N/A,#N/A,FALSE,"KlamRog"}</definedName>
    <definedName name="OHSch10YR_2" localSheetId="27" hidden="1">{#N/A,#N/A,FALSE,"Summary";#N/A,#N/A,FALSE,"SmPlants";#N/A,#N/A,FALSE,"Utah";#N/A,#N/A,FALSE,"Idaho";#N/A,#N/A,FALSE,"Lewis River";#N/A,#N/A,FALSE,"NrthUmpq";#N/A,#N/A,FALSE,"KlamRog"}</definedName>
    <definedName name="OHSch10YR_2" localSheetId="28" hidden="1">{#N/A,#N/A,FALSE,"Summary";#N/A,#N/A,FALSE,"SmPlants";#N/A,#N/A,FALSE,"Utah";#N/A,#N/A,FALSE,"Idaho";#N/A,#N/A,FALSE,"Lewis River";#N/A,#N/A,FALSE,"NrthUmpq";#N/A,#N/A,FALSE,"KlamRog"}</definedName>
    <definedName name="OHSch10YR_2" localSheetId="29" hidden="1">{#N/A,#N/A,FALSE,"Summary";#N/A,#N/A,FALSE,"SmPlants";#N/A,#N/A,FALSE,"Utah";#N/A,#N/A,FALSE,"Idaho";#N/A,#N/A,FALSE,"Lewis River";#N/A,#N/A,FALSE,"NrthUmpq";#N/A,#N/A,FALSE,"KlamRog"}</definedName>
    <definedName name="OHSch10YR_2" localSheetId="30" hidden="1">{#N/A,#N/A,FALSE,"Summary";#N/A,#N/A,FALSE,"SmPlants";#N/A,#N/A,FALSE,"Utah";#N/A,#N/A,FALSE,"Idaho";#N/A,#N/A,FALSE,"Lewis River";#N/A,#N/A,FALSE,"NrthUmpq";#N/A,#N/A,FALSE,"KlamRog"}</definedName>
    <definedName name="OHSch10YR_2" localSheetId="31" hidden="1">{#N/A,#N/A,FALSE,"Summary";#N/A,#N/A,FALSE,"SmPlants";#N/A,#N/A,FALSE,"Utah";#N/A,#N/A,FALSE,"Idaho";#N/A,#N/A,FALSE,"Lewis River";#N/A,#N/A,FALSE,"NrthUmpq";#N/A,#N/A,FALSE,"KlamRog"}</definedName>
    <definedName name="OHSch10YR_2" localSheetId="37" hidden="1">{#N/A,#N/A,FALSE,"Summary";#N/A,#N/A,FALSE,"SmPlants";#N/A,#N/A,FALSE,"Utah";#N/A,#N/A,FALSE,"Idaho";#N/A,#N/A,FALSE,"Lewis River";#N/A,#N/A,FALSE,"NrthUmpq";#N/A,#N/A,FALSE,"KlamRog"}</definedName>
    <definedName name="OHSch10YR_2" localSheetId="41" hidden="1">{#N/A,#N/A,FALSE,"Summary";#N/A,#N/A,FALSE,"SmPlants";#N/A,#N/A,FALSE,"Utah";#N/A,#N/A,FALSE,"Idaho";#N/A,#N/A,FALSE,"Lewis River";#N/A,#N/A,FALSE,"NrthUmpq";#N/A,#N/A,FALSE,"KlamRog"}</definedName>
    <definedName name="OHSch10YR_2" localSheetId="42" hidden="1">{#N/A,#N/A,FALSE,"Summary";#N/A,#N/A,FALSE,"SmPlants";#N/A,#N/A,FALSE,"Utah";#N/A,#N/A,FALSE,"Idaho";#N/A,#N/A,FALSE,"Lewis River";#N/A,#N/A,FALSE,"NrthUmpq";#N/A,#N/A,FALSE,"KlamRog"}</definedName>
    <definedName name="OHSch10YR_2" localSheetId="0" hidden="1">{#N/A,#N/A,FALSE,"Summary";#N/A,#N/A,FALSE,"SmPlants";#N/A,#N/A,FALSE,"Utah";#N/A,#N/A,FALSE,"Idaho";#N/A,#N/A,FALSE,"Lewis River";#N/A,#N/A,FALSE,"NrthUmpq";#N/A,#N/A,FALSE,"KlamRog"}</definedName>
    <definedName name="OHSch10YR_2" hidden="1">{#N/A,#N/A,FALSE,"Summary";#N/A,#N/A,FALSE,"SmPlants";#N/A,#N/A,FALSE,"Utah";#N/A,#N/A,FALSE,"Idaho";#N/A,#N/A,FALSE,"Lewis River";#N/A,#N/A,FALSE,"NrthUmpq";#N/A,#N/A,FALSE,"KlamRog"}</definedName>
    <definedName name="OHSch10YR_3" localSheetId="1" hidden="1">{#N/A,#N/A,FALSE,"Summary";#N/A,#N/A,FALSE,"SmPlants";#N/A,#N/A,FALSE,"Utah";#N/A,#N/A,FALSE,"Idaho";#N/A,#N/A,FALSE,"Lewis River";#N/A,#N/A,FALSE,"NrthUmpq";#N/A,#N/A,FALSE,"KlamRog"}</definedName>
    <definedName name="OHSch10YR_3" localSheetId="3" hidden="1">{#N/A,#N/A,FALSE,"Summary";#N/A,#N/A,FALSE,"SmPlants";#N/A,#N/A,FALSE,"Utah";#N/A,#N/A,FALSE,"Idaho";#N/A,#N/A,FALSE,"Lewis River";#N/A,#N/A,FALSE,"NrthUmpq";#N/A,#N/A,FALSE,"KlamRog"}</definedName>
    <definedName name="OHSch10YR_3" localSheetId="4" hidden="1">{#N/A,#N/A,FALSE,"Summary";#N/A,#N/A,FALSE,"SmPlants";#N/A,#N/A,FALSE,"Utah";#N/A,#N/A,FALSE,"Idaho";#N/A,#N/A,FALSE,"Lewis River";#N/A,#N/A,FALSE,"NrthUmpq";#N/A,#N/A,FALSE,"KlamRog"}</definedName>
    <definedName name="OHSch10YR_3" localSheetId="18" hidden="1">{#N/A,#N/A,FALSE,"Summary";#N/A,#N/A,FALSE,"SmPlants";#N/A,#N/A,FALSE,"Utah";#N/A,#N/A,FALSE,"Idaho";#N/A,#N/A,FALSE,"Lewis River";#N/A,#N/A,FALSE,"NrthUmpq";#N/A,#N/A,FALSE,"KlamRog"}</definedName>
    <definedName name="OHSch10YR_3" localSheetId="19" hidden="1">{#N/A,#N/A,FALSE,"Summary";#N/A,#N/A,FALSE,"SmPlants";#N/A,#N/A,FALSE,"Utah";#N/A,#N/A,FALSE,"Idaho";#N/A,#N/A,FALSE,"Lewis River";#N/A,#N/A,FALSE,"NrthUmpq";#N/A,#N/A,FALSE,"KlamRog"}</definedName>
    <definedName name="OHSch10YR_3" localSheetId="20" hidden="1">{#N/A,#N/A,FALSE,"Summary";#N/A,#N/A,FALSE,"SmPlants";#N/A,#N/A,FALSE,"Utah";#N/A,#N/A,FALSE,"Idaho";#N/A,#N/A,FALSE,"Lewis River";#N/A,#N/A,FALSE,"NrthUmpq";#N/A,#N/A,FALSE,"KlamRog"}</definedName>
    <definedName name="OHSch10YR_3" localSheetId="21" hidden="1">{#N/A,#N/A,FALSE,"Summary";#N/A,#N/A,FALSE,"SmPlants";#N/A,#N/A,FALSE,"Utah";#N/A,#N/A,FALSE,"Idaho";#N/A,#N/A,FALSE,"Lewis River";#N/A,#N/A,FALSE,"NrthUmpq";#N/A,#N/A,FALSE,"KlamRog"}</definedName>
    <definedName name="OHSch10YR_3" localSheetId="24" hidden="1">{#N/A,#N/A,FALSE,"Summary";#N/A,#N/A,FALSE,"SmPlants";#N/A,#N/A,FALSE,"Utah";#N/A,#N/A,FALSE,"Idaho";#N/A,#N/A,FALSE,"Lewis River";#N/A,#N/A,FALSE,"NrthUmpq";#N/A,#N/A,FALSE,"KlamRog"}</definedName>
    <definedName name="OHSch10YR_3" localSheetId="27" hidden="1">{#N/A,#N/A,FALSE,"Summary";#N/A,#N/A,FALSE,"SmPlants";#N/A,#N/A,FALSE,"Utah";#N/A,#N/A,FALSE,"Idaho";#N/A,#N/A,FALSE,"Lewis River";#N/A,#N/A,FALSE,"NrthUmpq";#N/A,#N/A,FALSE,"KlamRog"}</definedName>
    <definedName name="OHSch10YR_3" localSheetId="28" hidden="1">{#N/A,#N/A,FALSE,"Summary";#N/A,#N/A,FALSE,"SmPlants";#N/A,#N/A,FALSE,"Utah";#N/A,#N/A,FALSE,"Idaho";#N/A,#N/A,FALSE,"Lewis River";#N/A,#N/A,FALSE,"NrthUmpq";#N/A,#N/A,FALSE,"KlamRog"}</definedName>
    <definedName name="OHSch10YR_3" localSheetId="29" hidden="1">{#N/A,#N/A,FALSE,"Summary";#N/A,#N/A,FALSE,"SmPlants";#N/A,#N/A,FALSE,"Utah";#N/A,#N/A,FALSE,"Idaho";#N/A,#N/A,FALSE,"Lewis River";#N/A,#N/A,FALSE,"NrthUmpq";#N/A,#N/A,FALSE,"KlamRog"}</definedName>
    <definedName name="OHSch10YR_3" localSheetId="30" hidden="1">{#N/A,#N/A,FALSE,"Summary";#N/A,#N/A,FALSE,"SmPlants";#N/A,#N/A,FALSE,"Utah";#N/A,#N/A,FALSE,"Idaho";#N/A,#N/A,FALSE,"Lewis River";#N/A,#N/A,FALSE,"NrthUmpq";#N/A,#N/A,FALSE,"KlamRog"}</definedName>
    <definedName name="OHSch10YR_3" localSheetId="31" hidden="1">{#N/A,#N/A,FALSE,"Summary";#N/A,#N/A,FALSE,"SmPlants";#N/A,#N/A,FALSE,"Utah";#N/A,#N/A,FALSE,"Idaho";#N/A,#N/A,FALSE,"Lewis River";#N/A,#N/A,FALSE,"NrthUmpq";#N/A,#N/A,FALSE,"KlamRog"}</definedName>
    <definedName name="OHSch10YR_3" localSheetId="37" hidden="1">{#N/A,#N/A,FALSE,"Summary";#N/A,#N/A,FALSE,"SmPlants";#N/A,#N/A,FALSE,"Utah";#N/A,#N/A,FALSE,"Idaho";#N/A,#N/A,FALSE,"Lewis River";#N/A,#N/A,FALSE,"NrthUmpq";#N/A,#N/A,FALSE,"KlamRog"}</definedName>
    <definedName name="OHSch10YR_3" localSheetId="41" hidden="1">{#N/A,#N/A,FALSE,"Summary";#N/A,#N/A,FALSE,"SmPlants";#N/A,#N/A,FALSE,"Utah";#N/A,#N/A,FALSE,"Idaho";#N/A,#N/A,FALSE,"Lewis River";#N/A,#N/A,FALSE,"NrthUmpq";#N/A,#N/A,FALSE,"KlamRog"}</definedName>
    <definedName name="OHSch10YR_3" localSheetId="42" hidden="1">{#N/A,#N/A,FALSE,"Summary";#N/A,#N/A,FALSE,"SmPlants";#N/A,#N/A,FALSE,"Utah";#N/A,#N/A,FALSE,"Idaho";#N/A,#N/A,FALSE,"Lewis River";#N/A,#N/A,FALSE,"NrthUmpq";#N/A,#N/A,FALSE,"KlamRog"}</definedName>
    <definedName name="OHSch10YR_3" localSheetId="0" hidden="1">{#N/A,#N/A,FALSE,"Summary";#N/A,#N/A,FALSE,"SmPlants";#N/A,#N/A,FALSE,"Utah";#N/A,#N/A,FALSE,"Idaho";#N/A,#N/A,FALSE,"Lewis River";#N/A,#N/A,FALSE,"NrthUmpq";#N/A,#N/A,FALSE,"KlamRog"}</definedName>
    <definedName name="OHSch10YR_3" hidden="1">{#N/A,#N/A,FALSE,"Summary";#N/A,#N/A,FALSE,"SmPlants";#N/A,#N/A,FALSE,"Utah";#N/A,#N/A,FALSE,"Idaho";#N/A,#N/A,FALSE,"Lewis River";#N/A,#N/A,FALSE,"NrthUmpq";#N/A,#N/A,FALSE,"KlamRog"}</definedName>
    <definedName name="OHSch10YR_4" localSheetId="1" hidden="1">{#N/A,#N/A,FALSE,"Summary";#N/A,#N/A,FALSE,"SmPlants";#N/A,#N/A,FALSE,"Utah";#N/A,#N/A,FALSE,"Idaho";#N/A,#N/A,FALSE,"Lewis River";#N/A,#N/A,FALSE,"NrthUmpq";#N/A,#N/A,FALSE,"KlamRog"}</definedName>
    <definedName name="OHSch10YR_4" localSheetId="3" hidden="1">{#N/A,#N/A,FALSE,"Summary";#N/A,#N/A,FALSE,"SmPlants";#N/A,#N/A,FALSE,"Utah";#N/A,#N/A,FALSE,"Idaho";#N/A,#N/A,FALSE,"Lewis River";#N/A,#N/A,FALSE,"NrthUmpq";#N/A,#N/A,FALSE,"KlamRog"}</definedName>
    <definedName name="OHSch10YR_4" localSheetId="4" hidden="1">{#N/A,#N/A,FALSE,"Summary";#N/A,#N/A,FALSE,"SmPlants";#N/A,#N/A,FALSE,"Utah";#N/A,#N/A,FALSE,"Idaho";#N/A,#N/A,FALSE,"Lewis River";#N/A,#N/A,FALSE,"NrthUmpq";#N/A,#N/A,FALSE,"KlamRog"}</definedName>
    <definedName name="OHSch10YR_4" localSheetId="18" hidden="1">{#N/A,#N/A,FALSE,"Summary";#N/A,#N/A,FALSE,"SmPlants";#N/A,#N/A,FALSE,"Utah";#N/A,#N/A,FALSE,"Idaho";#N/A,#N/A,FALSE,"Lewis River";#N/A,#N/A,FALSE,"NrthUmpq";#N/A,#N/A,FALSE,"KlamRog"}</definedName>
    <definedName name="OHSch10YR_4" localSheetId="19" hidden="1">{#N/A,#N/A,FALSE,"Summary";#N/A,#N/A,FALSE,"SmPlants";#N/A,#N/A,FALSE,"Utah";#N/A,#N/A,FALSE,"Idaho";#N/A,#N/A,FALSE,"Lewis River";#N/A,#N/A,FALSE,"NrthUmpq";#N/A,#N/A,FALSE,"KlamRog"}</definedName>
    <definedName name="OHSch10YR_4" localSheetId="20" hidden="1">{#N/A,#N/A,FALSE,"Summary";#N/A,#N/A,FALSE,"SmPlants";#N/A,#N/A,FALSE,"Utah";#N/A,#N/A,FALSE,"Idaho";#N/A,#N/A,FALSE,"Lewis River";#N/A,#N/A,FALSE,"NrthUmpq";#N/A,#N/A,FALSE,"KlamRog"}</definedName>
    <definedName name="OHSch10YR_4" localSheetId="21" hidden="1">{#N/A,#N/A,FALSE,"Summary";#N/A,#N/A,FALSE,"SmPlants";#N/A,#N/A,FALSE,"Utah";#N/A,#N/A,FALSE,"Idaho";#N/A,#N/A,FALSE,"Lewis River";#N/A,#N/A,FALSE,"NrthUmpq";#N/A,#N/A,FALSE,"KlamRog"}</definedName>
    <definedName name="OHSch10YR_4" localSheetId="24" hidden="1">{#N/A,#N/A,FALSE,"Summary";#N/A,#N/A,FALSE,"SmPlants";#N/A,#N/A,FALSE,"Utah";#N/A,#N/A,FALSE,"Idaho";#N/A,#N/A,FALSE,"Lewis River";#N/A,#N/A,FALSE,"NrthUmpq";#N/A,#N/A,FALSE,"KlamRog"}</definedName>
    <definedName name="OHSch10YR_4" localSheetId="27" hidden="1">{#N/A,#N/A,FALSE,"Summary";#N/A,#N/A,FALSE,"SmPlants";#N/A,#N/A,FALSE,"Utah";#N/A,#N/A,FALSE,"Idaho";#N/A,#N/A,FALSE,"Lewis River";#N/A,#N/A,FALSE,"NrthUmpq";#N/A,#N/A,FALSE,"KlamRog"}</definedName>
    <definedName name="OHSch10YR_4" localSheetId="28" hidden="1">{#N/A,#N/A,FALSE,"Summary";#N/A,#N/A,FALSE,"SmPlants";#N/A,#N/A,FALSE,"Utah";#N/A,#N/A,FALSE,"Idaho";#N/A,#N/A,FALSE,"Lewis River";#N/A,#N/A,FALSE,"NrthUmpq";#N/A,#N/A,FALSE,"KlamRog"}</definedName>
    <definedName name="OHSch10YR_4" localSheetId="29" hidden="1">{#N/A,#N/A,FALSE,"Summary";#N/A,#N/A,FALSE,"SmPlants";#N/A,#N/A,FALSE,"Utah";#N/A,#N/A,FALSE,"Idaho";#N/A,#N/A,FALSE,"Lewis River";#N/A,#N/A,FALSE,"NrthUmpq";#N/A,#N/A,FALSE,"KlamRog"}</definedName>
    <definedName name="OHSch10YR_4" localSheetId="30" hidden="1">{#N/A,#N/A,FALSE,"Summary";#N/A,#N/A,FALSE,"SmPlants";#N/A,#N/A,FALSE,"Utah";#N/A,#N/A,FALSE,"Idaho";#N/A,#N/A,FALSE,"Lewis River";#N/A,#N/A,FALSE,"NrthUmpq";#N/A,#N/A,FALSE,"KlamRog"}</definedName>
    <definedName name="OHSch10YR_4" localSheetId="31" hidden="1">{#N/A,#N/A,FALSE,"Summary";#N/A,#N/A,FALSE,"SmPlants";#N/A,#N/A,FALSE,"Utah";#N/A,#N/A,FALSE,"Idaho";#N/A,#N/A,FALSE,"Lewis River";#N/A,#N/A,FALSE,"NrthUmpq";#N/A,#N/A,FALSE,"KlamRog"}</definedName>
    <definedName name="OHSch10YR_4" localSheetId="37" hidden="1">{#N/A,#N/A,FALSE,"Summary";#N/A,#N/A,FALSE,"SmPlants";#N/A,#N/A,FALSE,"Utah";#N/A,#N/A,FALSE,"Idaho";#N/A,#N/A,FALSE,"Lewis River";#N/A,#N/A,FALSE,"NrthUmpq";#N/A,#N/A,FALSE,"KlamRog"}</definedName>
    <definedName name="OHSch10YR_4" localSheetId="41" hidden="1">{#N/A,#N/A,FALSE,"Summary";#N/A,#N/A,FALSE,"SmPlants";#N/A,#N/A,FALSE,"Utah";#N/A,#N/A,FALSE,"Idaho";#N/A,#N/A,FALSE,"Lewis River";#N/A,#N/A,FALSE,"NrthUmpq";#N/A,#N/A,FALSE,"KlamRog"}</definedName>
    <definedName name="OHSch10YR_4" localSheetId="42" hidden="1">{#N/A,#N/A,FALSE,"Summary";#N/A,#N/A,FALSE,"SmPlants";#N/A,#N/A,FALSE,"Utah";#N/A,#N/A,FALSE,"Idaho";#N/A,#N/A,FALSE,"Lewis River";#N/A,#N/A,FALSE,"NrthUmpq";#N/A,#N/A,FALSE,"KlamRog"}</definedName>
    <definedName name="OHSch10YR_4" localSheetId="0" hidden="1">{#N/A,#N/A,FALSE,"Summary";#N/A,#N/A,FALSE,"SmPlants";#N/A,#N/A,FALSE,"Utah";#N/A,#N/A,FALSE,"Idaho";#N/A,#N/A,FALSE,"Lewis River";#N/A,#N/A,FALSE,"NrthUmpq";#N/A,#N/A,FALSE,"KlamRog"}</definedName>
    <definedName name="OHSch10YR_4" hidden="1">{#N/A,#N/A,FALSE,"Summary";#N/A,#N/A,FALSE,"SmPlants";#N/A,#N/A,FALSE,"Utah";#N/A,#N/A,FALSE,"Idaho";#N/A,#N/A,FALSE,"Lewis River";#N/A,#N/A,FALSE,"NrthUmpq";#N/A,#N/A,FALSE,"KlamRog"}</definedName>
    <definedName name="OHSch10YR_5" localSheetId="1" hidden="1">{#N/A,#N/A,FALSE,"Summary";#N/A,#N/A,FALSE,"SmPlants";#N/A,#N/A,FALSE,"Utah";#N/A,#N/A,FALSE,"Idaho";#N/A,#N/A,FALSE,"Lewis River";#N/A,#N/A,FALSE,"NrthUmpq";#N/A,#N/A,FALSE,"KlamRog"}</definedName>
    <definedName name="OHSch10YR_5" localSheetId="3" hidden="1">{#N/A,#N/A,FALSE,"Summary";#N/A,#N/A,FALSE,"SmPlants";#N/A,#N/A,FALSE,"Utah";#N/A,#N/A,FALSE,"Idaho";#N/A,#N/A,FALSE,"Lewis River";#N/A,#N/A,FALSE,"NrthUmpq";#N/A,#N/A,FALSE,"KlamRog"}</definedName>
    <definedName name="OHSch10YR_5" localSheetId="4" hidden="1">{#N/A,#N/A,FALSE,"Summary";#N/A,#N/A,FALSE,"SmPlants";#N/A,#N/A,FALSE,"Utah";#N/A,#N/A,FALSE,"Idaho";#N/A,#N/A,FALSE,"Lewis River";#N/A,#N/A,FALSE,"NrthUmpq";#N/A,#N/A,FALSE,"KlamRog"}</definedName>
    <definedName name="OHSch10YR_5" localSheetId="18" hidden="1">{#N/A,#N/A,FALSE,"Summary";#N/A,#N/A,FALSE,"SmPlants";#N/A,#N/A,FALSE,"Utah";#N/A,#N/A,FALSE,"Idaho";#N/A,#N/A,FALSE,"Lewis River";#N/A,#N/A,FALSE,"NrthUmpq";#N/A,#N/A,FALSE,"KlamRog"}</definedName>
    <definedName name="OHSch10YR_5" localSheetId="19" hidden="1">{#N/A,#N/A,FALSE,"Summary";#N/A,#N/A,FALSE,"SmPlants";#N/A,#N/A,FALSE,"Utah";#N/A,#N/A,FALSE,"Idaho";#N/A,#N/A,FALSE,"Lewis River";#N/A,#N/A,FALSE,"NrthUmpq";#N/A,#N/A,FALSE,"KlamRog"}</definedName>
    <definedName name="OHSch10YR_5" localSheetId="20" hidden="1">{#N/A,#N/A,FALSE,"Summary";#N/A,#N/A,FALSE,"SmPlants";#N/A,#N/A,FALSE,"Utah";#N/A,#N/A,FALSE,"Idaho";#N/A,#N/A,FALSE,"Lewis River";#N/A,#N/A,FALSE,"NrthUmpq";#N/A,#N/A,FALSE,"KlamRog"}</definedName>
    <definedName name="OHSch10YR_5" localSheetId="21" hidden="1">{#N/A,#N/A,FALSE,"Summary";#N/A,#N/A,FALSE,"SmPlants";#N/A,#N/A,FALSE,"Utah";#N/A,#N/A,FALSE,"Idaho";#N/A,#N/A,FALSE,"Lewis River";#N/A,#N/A,FALSE,"NrthUmpq";#N/A,#N/A,FALSE,"KlamRog"}</definedName>
    <definedName name="OHSch10YR_5" localSheetId="24" hidden="1">{#N/A,#N/A,FALSE,"Summary";#N/A,#N/A,FALSE,"SmPlants";#N/A,#N/A,FALSE,"Utah";#N/A,#N/A,FALSE,"Idaho";#N/A,#N/A,FALSE,"Lewis River";#N/A,#N/A,FALSE,"NrthUmpq";#N/A,#N/A,FALSE,"KlamRog"}</definedName>
    <definedName name="OHSch10YR_5" localSheetId="27" hidden="1">{#N/A,#N/A,FALSE,"Summary";#N/A,#N/A,FALSE,"SmPlants";#N/A,#N/A,FALSE,"Utah";#N/A,#N/A,FALSE,"Idaho";#N/A,#N/A,FALSE,"Lewis River";#N/A,#N/A,FALSE,"NrthUmpq";#N/A,#N/A,FALSE,"KlamRog"}</definedName>
    <definedName name="OHSch10YR_5" localSheetId="28" hidden="1">{#N/A,#N/A,FALSE,"Summary";#N/A,#N/A,FALSE,"SmPlants";#N/A,#N/A,FALSE,"Utah";#N/A,#N/A,FALSE,"Idaho";#N/A,#N/A,FALSE,"Lewis River";#N/A,#N/A,FALSE,"NrthUmpq";#N/A,#N/A,FALSE,"KlamRog"}</definedName>
    <definedName name="OHSch10YR_5" localSheetId="29" hidden="1">{#N/A,#N/A,FALSE,"Summary";#N/A,#N/A,FALSE,"SmPlants";#N/A,#N/A,FALSE,"Utah";#N/A,#N/A,FALSE,"Idaho";#N/A,#N/A,FALSE,"Lewis River";#N/A,#N/A,FALSE,"NrthUmpq";#N/A,#N/A,FALSE,"KlamRog"}</definedName>
    <definedName name="OHSch10YR_5" localSheetId="30" hidden="1">{#N/A,#N/A,FALSE,"Summary";#N/A,#N/A,FALSE,"SmPlants";#N/A,#N/A,FALSE,"Utah";#N/A,#N/A,FALSE,"Idaho";#N/A,#N/A,FALSE,"Lewis River";#N/A,#N/A,FALSE,"NrthUmpq";#N/A,#N/A,FALSE,"KlamRog"}</definedName>
    <definedName name="OHSch10YR_5" localSheetId="31" hidden="1">{#N/A,#N/A,FALSE,"Summary";#N/A,#N/A,FALSE,"SmPlants";#N/A,#N/A,FALSE,"Utah";#N/A,#N/A,FALSE,"Idaho";#N/A,#N/A,FALSE,"Lewis River";#N/A,#N/A,FALSE,"NrthUmpq";#N/A,#N/A,FALSE,"KlamRog"}</definedName>
    <definedName name="OHSch10YR_5" localSheetId="37" hidden="1">{#N/A,#N/A,FALSE,"Summary";#N/A,#N/A,FALSE,"SmPlants";#N/A,#N/A,FALSE,"Utah";#N/A,#N/A,FALSE,"Idaho";#N/A,#N/A,FALSE,"Lewis River";#N/A,#N/A,FALSE,"NrthUmpq";#N/A,#N/A,FALSE,"KlamRog"}</definedName>
    <definedName name="OHSch10YR_5" localSheetId="41" hidden="1">{#N/A,#N/A,FALSE,"Summary";#N/A,#N/A,FALSE,"SmPlants";#N/A,#N/A,FALSE,"Utah";#N/A,#N/A,FALSE,"Idaho";#N/A,#N/A,FALSE,"Lewis River";#N/A,#N/A,FALSE,"NrthUmpq";#N/A,#N/A,FALSE,"KlamRog"}</definedName>
    <definedName name="OHSch10YR_5" localSheetId="42" hidden="1">{#N/A,#N/A,FALSE,"Summary";#N/A,#N/A,FALSE,"SmPlants";#N/A,#N/A,FALSE,"Utah";#N/A,#N/A,FALSE,"Idaho";#N/A,#N/A,FALSE,"Lewis River";#N/A,#N/A,FALSE,"NrthUmpq";#N/A,#N/A,FALSE,"KlamRog"}</definedName>
    <definedName name="OHSch10YR_5" localSheetId="0" hidden="1">{#N/A,#N/A,FALSE,"Summary";#N/A,#N/A,FALSE,"SmPlants";#N/A,#N/A,FALSE,"Utah";#N/A,#N/A,FALSE,"Idaho";#N/A,#N/A,FALSE,"Lewis River";#N/A,#N/A,FALSE,"NrthUmpq";#N/A,#N/A,FALSE,"KlamRog"}</definedName>
    <definedName name="OHSch10YR_5" hidden="1">{#N/A,#N/A,FALSE,"Summary";#N/A,#N/A,FALSE,"SmPlants";#N/A,#N/A,FALSE,"Utah";#N/A,#N/A,FALSE,"Idaho";#N/A,#N/A,FALSE,"Lewis River";#N/A,#N/A,FALSE,"NrthUmpq";#N/A,#N/A,FALSE,"KlamRog"}</definedName>
    <definedName name="om" localSheetId="1" hidden="1">{#N/A,#N/A,FALSE,"Summary";#N/A,#N/A,FALSE,"SmPlants";#N/A,#N/A,FALSE,"Utah";#N/A,#N/A,FALSE,"Idaho";#N/A,#N/A,FALSE,"Lewis River";#N/A,#N/A,FALSE,"NrthUmpq";#N/A,#N/A,FALSE,"KlamRog"}</definedName>
    <definedName name="om" localSheetId="3" hidden="1">{#N/A,#N/A,FALSE,"Summary";#N/A,#N/A,FALSE,"SmPlants";#N/A,#N/A,FALSE,"Utah";#N/A,#N/A,FALSE,"Idaho";#N/A,#N/A,FALSE,"Lewis River";#N/A,#N/A,FALSE,"NrthUmpq";#N/A,#N/A,FALSE,"KlamRog"}</definedName>
    <definedName name="om" localSheetId="4" hidden="1">{#N/A,#N/A,FALSE,"Summary";#N/A,#N/A,FALSE,"SmPlants";#N/A,#N/A,FALSE,"Utah";#N/A,#N/A,FALSE,"Idaho";#N/A,#N/A,FALSE,"Lewis River";#N/A,#N/A,FALSE,"NrthUmpq";#N/A,#N/A,FALSE,"KlamRog"}</definedName>
    <definedName name="om" localSheetId="18" hidden="1">{#N/A,#N/A,FALSE,"Summary";#N/A,#N/A,FALSE,"SmPlants";#N/A,#N/A,FALSE,"Utah";#N/A,#N/A,FALSE,"Idaho";#N/A,#N/A,FALSE,"Lewis River";#N/A,#N/A,FALSE,"NrthUmpq";#N/A,#N/A,FALSE,"KlamRog"}</definedName>
    <definedName name="om" localSheetId="19" hidden="1">{#N/A,#N/A,FALSE,"Summary";#N/A,#N/A,FALSE,"SmPlants";#N/A,#N/A,FALSE,"Utah";#N/A,#N/A,FALSE,"Idaho";#N/A,#N/A,FALSE,"Lewis River";#N/A,#N/A,FALSE,"NrthUmpq";#N/A,#N/A,FALSE,"KlamRog"}</definedName>
    <definedName name="om" localSheetId="20" hidden="1">{#N/A,#N/A,FALSE,"Summary";#N/A,#N/A,FALSE,"SmPlants";#N/A,#N/A,FALSE,"Utah";#N/A,#N/A,FALSE,"Idaho";#N/A,#N/A,FALSE,"Lewis River";#N/A,#N/A,FALSE,"NrthUmpq";#N/A,#N/A,FALSE,"KlamRog"}</definedName>
    <definedName name="om" localSheetId="21" hidden="1">{#N/A,#N/A,FALSE,"Summary";#N/A,#N/A,FALSE,"SmPlants";#N/A,#N/A,FALSE,"Utah";#N/A,#N/A,FALSE,"Idaho";#N/A,#N/A,FALSE,"Lewis River";#N/A,#N/A,FALSE,"NrthUmpq";#N/A,#N/A,FALSE,"KlamRog"}</definedName>
    <definedName name="om" localSheetId="24" hidden="1">{#N/A,#N/A,FALSE,"Summary";#N/A,#N/A,FALSE,"SmPlants";#N/A,#N/A,FALSE,"Utah";#N/A,#N/A,FALSE,"Idaho";#N/A,#N/A,FALSE,"Lewis River";#N/A,#N/A,FALSE,"NrthUmpq";#N/A,#N/A,FALSE,"KlamRog"}</definedName>
    <definedName name="om" localSheetId="27" hidden="1">{#N/A,#N/A,FALSE,"Summary";#N/A,#N/A,FALSE,"SmPlants";#N/A,#N/A,FALSE,"Utah";#N/A,#N/A,FALSE,"Idaho";#N/A,#N/A,FALSE,"Lewis River";#N/A,#N/A,FALSE,"NrthUmpq";#N/A,#N/A,FALSE,"KlamRog"}</definedName>
    <definedName name="om" localSheetId="28" hidden="1">{#N/A,#N/A,FALSE,"Summary";#N/A,#N/A,FALSE,"SmPlants";#N/A,#N/A,FALSE,"Utah";#N/A,#N/A,FALSE,"Idaho";#N/A,#N/A,FALSE,"Lewis River";#N/A,#N/A,FALSE,"NrthUmpq";#N/A,#N/A,FALSE,"KlamRog"}</definedName>
    <definedName name="om" localSheetId="29" hidden="1">{#N/A,#N/A,FALSE,"Summary";#N/A,#N/A,FALSE,"SmPlants";#N/A,#N/A,FALSE,"Utah";#N/A,#N/A,FALSE,"Idaho";#N/A,#N/A,FALSE,"Lewis River";#N/A,#N/A,FALSE,"NrthUmpq";#N/A,#N/A,FALSE,"KlamRog"}</definedName>
    <definedName name="om" localSheetId="30" hidden="1">{#N/A,#N/A,FALSE,"Summary";#N/A,#N/A,FALSE,"SmPlants";#N/A,#N/A,FALSE,"Utah";#N/A,#N/A,FALSE,"Idaho";#N/A,#N/A,FALSE,"Lewis River";#N/A,#N/A,FALSE,"NrthUmpq";#N/A,#N/A,FALSE,"KlamRog"}</definedName>
    <definedName name="om" localSheetId="31" hidden="1">{#N/A,#N/A,FALSE,"Summary";#N/A,#N/A,FALSE,"SmPlants";#N/A,#N/A,FALSE,"Utah";#N/A,#N/A,FALSE,"Idaho";#N/A,#N/A,FALSE,"Lewis River";#N/A,#N/A,FALSE,"NrthUmpq";#N/A,#N/A,FALSE,"KlamRog"}</definedName>
    <definedName name="om" localSheetId="37" hidden="1">{#N/A,#N/A,FALSE,"Summary";#N/A,#N/A,FALSE,"SmPlants";#N/A,#N/A,FALSE,"Utah";#N/A,#N/A,FALSE,"Idaho";#N/A,#N/A,FALSE,"Lewis River";#N/A,#N/A,FALSE,"NrthUmpq";#N/A,#N/A,FALSE,"KlamRog"}</definedName>
    <definedName name="om" localSheetId="41" hidden="1">{#N/A,#N/A,FALSE,"Summary";#N/A,#N/A,FALSE,"SmPlants";#N/A,#N/A,FALSE,"Utah";#N/A,#N/A,FALSE,"Idaho";#N/A,#N/A,FALSE,"Lewis River";#N/A,#N/A,FALSE,"NrthUmpq";#N/A,#N/A,FALSE,"KlamRog"}</definedName>
    <definedName name="om" localSheetId="42" hidden="1">{#N/A,#N/A,FALSE,"Summary";#N/A,#N/A,FALSE,"SmPlants";#N/A,#N/A,FALSE,"Utah";#N/A,#N/A,FALSE,"Idaho";#N/A,#N/A,FALSE,"Lewis River";#N/A,#N/A,FALSE,"NrthUmpq";#N/A,#N/A,FALSE,"KlamRog"}</definedName>
    <definedName name="om" localSheetId="0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_1" localSheetId="1" hidden="1">{#N/A,#N/A,FALSE,"Summary";#N/A,#N/A,FALSE,"SmPlants";#N/A,#N/A,FALSE,"Utah";#N/A,#N/A,FALSE,"Idaho";#N/A,#N/A,FALSE,"Lewis River";#N/A,#N/A,FALSE,"NrthUmpq";#N/A,#N/A,FALSE,"KlamRog"}</definedName>
    <definedName name="om_1" localSheetId="3" hidden="1">{#N/A,#N/A,FALSE,"Summary";#N/A,#N/A,FALSE,"SmPlants";#N/A,#N/A,FALSE,"Utah";#N/A,#N/A,FALSE,"Idaho";#N/A,#N/A,FALSE,"Lewis River";#N/A,#N/A,FALSE,"NrthUmpq";#N/A,#N/A,FALSE,"KlamRog"}</definedName>
    <definedName name="om_1" localSheetId="4" hidden="1">{#N/A,#N/A,FALSE,"Summary";#N/A,#N/A,FALSE,"SmPlants";#N/A,#N/A,FALSE,"Utah";#N/A,#N/A,FALSE,"Idaho";#N/A,#N/A,FALSE,"Lewis River";#N/A,#N/A,FALSE,"NrthUmpq";#N/A,#N/A,FALSE,"KlamRog"}</definedName>
    <definedName name="om_1" localSheetId="18" hidden="1">{#N/A,#N/A,FALSE,"Summary";#N/A,#N/A,FALSE,"SmPlants";#N/A,#N/A,FALSE,"Utah";#N/A,#N/A,FALSE,"Idaho";#N/A,#N/A,FALSE,"Lewis River";#N/A,#N/A,FALSE,"NrthUmpq";#N/A,#N/A,FALSE,"KlamRog"}</definedName>
    <definedName name="om_1" localSheetId="19" hidden="1">{#N/A,#N/A,FALSE,"Summary";#N/A,#N/A,FALSE,"SmPlants";#N/A,#N/A,FALSE,"Utah";#N/A,#N/A,FALSE,"Idaho";#N/A,#N/A,FALSE,"Lewis River";#N/A,#N/A,FALSE,"NrthUmpq";#N/A,#N/A,FALSE,"KlamRog"}</definedName>
    <definedName name="om_1" localSheetId="20" hidden="1">{#N/A,#N/A,FALSE,"Summary";#N/A,#N/A,FALSE,"SmPlants";#N/A,#N/A,FALSE,"Utah";#N/A,#N/A,FALSE,"Idaho";#N/A,#N/A,FALSE,"Lewis River";#N/A,#N/A,FALSE,"NrthUmpq";#N/A,#N/A,FALSE,"KlamRog"}</definedName>
    <definedName name="om_1" localSheetId="21" hidden="1">{#N/A,#N/A,FALSE,"Summary";#N/A,#N/A,FALSE,"SmPlants";#N/A,#N/A,FALSE,"Utah";#N/A,#N/A,FALSE,"Idaho";#N/A,#N/A,FALSE,"Lewis River";#N/A,#N/A,FALSE,"NrthUmpq";#N/A,#N/A,FALSE,"KlamRog"}</definedName>
    <definedName name="om_1" localSheetId="24" hidden="1">{#N/A,#N/A,FALSE,"Summary";#N/A,#N/A,FALSE,"SmPlants";#N/A,#N/A,FALSE,"Utah";#N/A,#N/A,FALSE,"Idaho";#N/A,#N/A,FALSE,"Lewis River";#N/A,#N/A,FALSE,"NrthUmpq";#N/A,#N/A,FALSE,"KlamRog"}</definedName>
    <definedName name="om_1" localSheetId="27" hidden="1">{#N/A,#N/A,FALSE,"Summary";#N/A,#N/A,FALSE,"SmPlants";#N/A,#N/A,FALSE,"Utah";#N/A,#N/A,FALSE,"Idaho";#N/A,#N/A,FALSE,"Lewis River";#N/A,#N/A,FALSE,"NrthUmpq";#N/A,#N/A,FALSE,"KlamRog"}</definedName>
    <definedName name="om_1" localSheetId="28" hidden="1">{#N/A,#N/A,FALSE,"Summary";#N/A,#N/A,FALSE,"SmPlants";#N/A,#N/A,FALSE,"Utah";#N/A,#N/A,FALSE,"Idaho";#N/A,#N/A,FALSE,"Lewis River";#N/A,#N/A,FALSE,"NrthUmpq";#N/A,#N/A,FALSE,"KlamRog"}</definedName>
    <definedName name="om_1" localSheetId="29" hidden="1">{#N/A,#N/A,FALSE,"Summary";#N/A,#N/A,FALSE,"SmPlants";#N/A,#N/A,FALSE,"Utah";#N/A,#N/A,FALSE,"Idaho";#N/A,#N/A,FALSE,"Lewis River";#N/A,#N/A,FALSE,"NrthUmpq";#N/A,#N/A,FALSE,"KlamRog"}</definedName>
    <definedName name="om_1" localSheetId="30" hidden="1">{#N/A,#N/A,FALSE,"Summary";#N/A,#N/A,FALSE,"SmPlants";#N/A,#N/A,FALSE,"Utah";#N/A,#N/A,FALSE,"Idaho";#N/A,#N/A,FALSE,"Lewis River";#N/A,#N/A,FALSE,"NrthUmpq";#N/A,#N/A,FALSE,"KlamRog"}</definedName>
    <definedName name="om_1" localSheetId="31" hidden="1">{#N/A,#N/A,FALSE,"Summary";#N/A,#N/A,FALSE,"SmPlants";#N/A,#N/A,FALSE,"Utah";#N/A,#N/A,FALSE,"Idaho";#N/A,#N/A,FALSE,"Lewis River";#N/A,#N/A,FALSE,"NrthUmpq";#N/A,#N/A,FALSE,"KlamRog"}</definedName>
    <definedName name="om_1" localSheetId="37" hidden="1">{#N/A,#N/A,FALSE,"Summary";#N/A,#N/A,FALSE,"SmPlants";#N/A,#N/A,FALSE,"Utah";#N/A,#N/A,FALSE,"Idaho";#N/A,#N/A,FALSE,"Lewis River";#N/A,#N/A,FALSE,"NrthUmpq";#N/A,#N/A,FALSE,"KlamRog"}</definedName>
    <definedName name="om_1" localSheetId="41" hidden="1">{#N/A,#N/A,FALSE,"Summary";#N/A,#N/A,FALSE,"SmPlants";#N/A,#N/A,FALSE,"Utah";#N/A,#N/A,FALSE,"Idaho";#N/A,#N/A,FALSE,"Lewis River";#N/A,#N/A,FALSE,"NrthUmpq";#N/A,#N/A,FALSE,"KlamRog"}</definedName>
    <definedName name="om_1" localSheetId="42" hidden="1">{#N/A,#N/A,FALSE,"Summary";#N/A,#N/A,FALSE,"SmPlants";#N/A,#N/A,FALSE,"Utah";#N/A,#N/A,FALSE,"Idaho";#N/A,#N/A,FALSE,"Lewis River";#N/A,#N/A,FALSE,"NrthUmpq";#N/A,#N/A,FALSE,"KlamRog"}</definedName>
    <definedName name="om_1" localSheetId="0" hidden="1">{#N/A,#N/A,FALSE,"Summary";#N/A,#N/A,FALSE,"SmPlants";#N/A,#N/A,FALSE,"Utah";#N/A,#N/A,FALSE,"Idaho";#N/A,#N/A,FALSE,"Lewis River";#N/A,#N/A,FALSE,"NrthUmpq";#N/A,#N/A,FALSE,"KlamRog"}</definedName>
    <definedName name="om_1" hidden="1">{#N/A,#N/A,FALSE,"Summary";#N/A,#N/A,FALSE,"SmPlants";#N/A,#N/A,FALSE,"Utah";#N/A,#N/A,FALSE,"Idaho";#N/A,#N/A,FALSE,"Lewis River";#N/A,#N/A,FALSE,"NrthUmpq";#N/A,#N/A,FALSE,"KlamRog"}</definedName>
    <definedName name="om_2" localSheetId="1" hidden="1">{#N/A,#N/A,FALSE,"Summary";#N/A,#N/A,FALSE,"SmPlants";#N/A,#N/A,FALSE,"Utah";#N/A,#N/A,FALSE,"Idaho";#N/A,#N/A,FALSE,"Lewis River";#N/A,#N/A,FALSE,"NrthUmpq";#N/A,#N/A,FALSE,"KlamRog"}</definedName>
    <definedName name="om_2" localSheetId="3" hidden="1">{#N/A,#N/A,FALSE,"Summary";#N/A,#N/A,FALSE,"SmPlants";#N/A,#N/A,FALSE,"Utah";#N/A,#N/A,FALSE,"Idaho";#N/A,#N/A,FALSE,"Lewis River";#N/A,#N/A,FALSE,"NrthUmpq";#N/A,#N/A,FALSE,"KlamRog"}</definedName>
    <definedName name="om_2" localSheetId="4" hidden="1">{#N/A,#N/A,FALSE,"Summary";#N/A,#N/A,FALSE,"SmPlants";#N/A,#N/A,FALSE,"Utah";#N/A,#N/A,FALSE,"Idaho";#N/A,#N/A,FALSE,"Lewis River";#N/A,#N/A,FALSE,"NrthUmpq";#N/A,#N/A,FALSE,"KlamRog"}</definedName>
    <definedName name="om_2" localSheetId="18" hidden="1">{#N/A,#N/A,FALSE,"Summary";#N/A,#N/A,FALSE,"SmPlants";#N/A,#N/A,FALSE,"Utah";#N/A,#N/A,FALSE,"Idaho";#N/A,#N/A,FALSE,"Lewis River";#N/A,#N/A,FALSE,"NrthUmpq";#N/A,#N/A,FALSE,"KlamRog"}</definedName>
    <definedName name="om_2" localSheetId="19" hidden="1">{#N/A,#N/A,FALSE,"Summary";#N/A,#N/A,FALSE,"SmPlants";#N/A,#N/A,FALSE,"Utah";#N/A,#N/A,FALSE,"Idaho";#N/A,#N/A,FALSE,"Lewis River";#N/A,#N/A,FALSE,"NrthUmpq";#N/A,#N/A,FALSE,"KlamRog"}</definedName>
    <definedName name="om_2" localSheetId="20" hidden="1">{#N/A,#N/A,FALSE,"Summary";#N/A,#N/A,FALSE,"SmPlants";#N/A,#N/A,FALSE,"Utah";#N/A,#N/A,FALSE,"Idaho";#N/A,#N/A,FALSE,"Lewis River";#N/A,#N/A,FALSE,"NrthUmpq";#N/A,#N/A,FALSE,"KlamRog"}</definedName>
    <definedName name="om_2" localSheetId="21" hidden="1">{#N/A,#N/A,FALSE,"Summary";#N/A,#N/A,FALSE,"SmPlants";#N/A,#N/A,FALSE,"Utah";#N/A,#N/A,FALSE,"Idaho";#N/A,#N/A,FALSE,"Lewis River";#N/A,#N/A,FALSE,"NrthUmpq";#N/A,#N/A,FALSE,"KlamRog"}</definedName>
    <definedName name="om_2" localSheetId="24" hidden="1">{#N/A,#N/A,FALSE,"Summary";#N/A,#N/A,FALSE,"SmPlants";#N/A,#N/A,FALSE,"Utah";#N/A,#N/A,FALSE,"Idaho";#N/A,#N/A,FALSE,"Lewis River";#N/A,#N/A,FALSE,"NrthUmpq";#N/A,#N/A,FALSE,"KlamRog"}</definedName>
    <definedName name="om_2" localSheetId="27" hidden="1">{#N/A,#N/A,FALSE,"Summary";#N/A,#N/A,FALSE,"SmPlants";#N/A,#N/A,FALSE,"Utah";#N/A,#N/A,FALSE,"Idaho";#N/A,#N/A,FALSE,"Lewis River";#N/A,#N/A,FALSE,"NrthUmpq";#N/A,#N/A,FALSE,"KlamRog"}</definedName>
    <definedName name="om_2" localSheetId="28" hidden="1">{#N/A,#N/A,FALSE,"Summary";#N/A,#N/A,FALSE,"SmPlants";#N/A,#N/A,FALSE,"Utah";#N/A,#N/A,FALSE,"Idaho";#N/A,#N/A,FALSE,"Lewis River";#N/A,#N/A,FALSE,"NrthUmpq";#N/A,#N/A,FALSE,"KlamRog"}</definedName>
    <definedName name="om_2" localSheetId="29" hidden="1">{#N/A,#N/A,FALSE,"Summary";#N/A,#N/A,FALSE,"SmPlants";#N/A,#N/A,FALSE,"Utah";#N/A,#N/A,FALSE,"Idaho";#N/A,#N/A,FALSE,"Lewis River";#N/A,#N/A,FALSE,"NrthUmpq";#N/A,#N/A,FALSE,"KlamRog"}</definedName>
    <definedName name="om_2" localSheetId="30" hidden="1">{#N/A,#N/A,FALSE,"Summary";#N/A,#N/A,FALSE,"SmPlants";#N/A,#N/A,FALSE,"Utah";#N/A,#N/A,FALSE,"Idaho";#N/A,#N/A,FALSE,"Lewis River";#N/A,#N/A,FALSE,"NrthUmpq";#N/A,#N/A,FALSE,"KlamRog"}</definedName>
    <definedName name="om_2" localSheetId="31" hidden="1">{#N/A,#N/A,FALSE,"Summary";#N/A,#N/A,FALSE,"SmPlants";#N/A,#N/A,FALSE,"Utah";#N/A,#N/A,FALSE,"Idaho";#N/A,#N/A,FALSE,"Lewis River";#N/A,#N/A,FALSE,"NrthUmpq";#N/A,#N/A,FALSE,"KlamRog"}</definedName>
    <definedName name="om_2" localSheetId="37" hidden="1">{#N/A,#N/A,FALSE,"Summary";#N/A,#N/A,FALSE,"SmPlants";#N/A,#N/A,FALSE,"Utah";#N/A,#N/A,FALSE,"Idaho";#N/A,#N/A,FALSE,"Lewis River";#N/A,#N/A,FALSE,"NrthUmpq";#N/A,#N/A,FALSE,"KlamRog"}</definedName>
    <definedName name="om_2" localSheetId="41" hidden="1">{#N/A,#N/A,FALSE,"Summary";#N/A,#N/A,FALSE,"SmPlants";#N/A,#N/A,FALSE,"Utah";#N/A,#N/A,FALSE,"Idaho";#N/A,#N/A,FALSE,"Lewis River";#N/A,#N/A,FALSE,"NrthUmpq";#N/A,#N/A,FALSE,"KlamRog"}</definedName>
    <definedName name="om_2" localSheetId="42" hidden="1">{#N/A,#N/A,FALSE,"Summary";#N/A,#N/A,FALSE,"SmPlants";#N/A,#N/A,FALSE,"Utah";#N/A,#N/A,FALSE,"Idaho";#N/A,#N/A,FALSE,"Lewis River";#N/A,#N/A,FALSE,"NrthUmpq";#N/A,#N/A,FALSE,"KlamRog"}</definedName>
    <definedName name="om_2" localSheetId="0" hidden="1">{#N/A,#N/A,FALSE,"Summary";#N/A,#N/A,FALSE,"SmPlants";#N/A,#N/A,FALSE,"Utah";#N/A,#N/A,FALSE,"Idaho";#N/A,#N/A,FALSE,"Lewis River";#N/A,#N/A,FALSE,"NrthUmpq";#N/A,#N/A,FALSE,"KlamRog"}</definedName>
    <definedName name="om_2" hidden="1">{#N/A,#N/A,FALSE,"Summary";#N/A,#N/A,FALSE,"SmPlants";#N/A,#N/A,FALSE,"Utah";#N/A,#N/A,FALSE,"Idaho";#N/A,#N/A,FALSE,"Lewis River";#N/A,#N/A,FALSE,"NrthUmpq";#N/A,#N/A,FALSE,"KlamRog"}</definedName>
    <definedName name="om_3" localSheetId="1" hidden="1">{#N/A,#N/A,FALSE,"Summary";#N/A,#N/A,FALSE,"SmPlants";#N/A,#N/A,FALSE,"Utah";#N/A,#N/A,FALSE,"Idaho";#N/A,#N/A,FALSE,"Lewis River";#N/A,#N/A,FALSE,"NrthUmpq";#N/A,#N/A,FALSE,"KlamRog"}</definedName>
    <definedName name="om_3" localSheetId="3" hidden="1">{#N/A,#N/A,FALSE,"Summary";#N/A,#N/A,FALSE,"SmPlants";#N/A,#N/A,FALSE,"Utah";#N/A,#N/A,FALSE,"Idaho";#N/A,#N/A,FALSE,"Lewis River";#N/A,#N/A,FALSE,"NrthUmpq";#N/A,#N/A,FALSE,"KlamRog"}</definedName>
    <definedName name="om_3" localSheetId="4" hidden="1">{#N/A,#N/A,FALSE,"Summary";#N/A,#N/A,FALSE,"SmPlants";#N/A,#N/A,FALSE,"Utah";#N/A,#N/A,FALSE,"Idaho";#N/A,#N/A,FALSE,"Lewis River";#N/A,#N/A,FALSE,"NrthUmpq";#N/A,#N/A,FALSE,"KlamRog"}</definedName>
    <definedName name="om_3" localSheetId="18" hidden="1">{#N/A,#N/A,FALSE,"Summary";#N/A,#N/A,FALSE,"SmPlants";#N/A,#N/A,FALSE,"Utah";#N/A,#N/A,FALSE,"Idaho";#N/A,#N/A,FALSE,"Lewis River";#N/A,#N/A,FALSE,"NrthUmpq";#N/A,#N/A,FALSE,"KlamRog"}</definedName>
    <definedName name="om_3" localSheetId="19" hidden="1">{#N/A,#N/A,FALSE,"Summary";#N/A,#N/A,FALSE,"SmPlants";#N/A,#N/A,FALSE,"Utah";#N/A,#N/A,FALSE,"Idaho";#N/A,#N/A,FALSE,"Lewis River";#N/A,#N/A,FALSE,"NrthUmpq";#N/A,#N/A,FALSE,"KlamRog"}</definedName>
    <definedName name="om_3" localSheetId="20" hidden="1">{#N/A,#N/A,FALSE,"Summary";#N/A,#N/A,FALSE,"SmPlants";#N/A,#N/A,FALSE,"Utah";#N/A,#N/A,FALSE,"Idaho";#N/A,#N/A,FALSE,"Lewis River";#N/A,#N/A,FALSE,"NrthUmpq";#N/A,#N/A,FALSE,"KlamRog"}</definedName>
    <definedName name="om_3" localSheetId="21" hidden="1">{#N/A,#N/A,FALSE,"Summary";#N/A,#N/A,FALSE,"SmPlants";#N/A,#N/A,FALSE,"Utah";#N/A,#N/A,FALSE,"Idaho";#N/A,#N/A,FALSE,"Lewis River";#N/A,#N/A,FALSE,"NrthUmpq";#N/A,#N/A,FALSE,"KlamRog"}</definedName>
    <definedName name="om_3" localSheetId="24" hidden="1">{#N/A,#N/A,FALSE,"Summary";#N/A,#N/A,FALSE,"SmPlants";#N/A,#N/A,FALSE,"Utah";#N/A,#N/A,FALSE,"Idaho";#N/A,#N/A,FALSE,"Lewis River";#N/A,#N/A,FALSE,"NrthUmpq";#N/A,#N/A,FALSE,"KlamRog"}</definedName>
    <definedName name="om_3" localSheetId="27" hidden="1">{#N/A,#N/A,FALSE,"Summary";#N/A,#N/A,FALSE,"SmPlants";#N/A,#N/A,FALSE,"Utah";#N/A,#N/A,FALSE,"Idaho";#N/A,#N/A,FALSE,"Lewis River";#N/A,#N/A,FALSE,"NrthUmpq";#N/A,#N/A,FALSE,"KlamRog"}</definedName>
    <definedName name="om_3" localSheetId="28" hidden="1">{#N/A,#N/A,FALSE,"Summary";#N/A,#N/A,FALSE,"SmPlants";#N/A,#N/A,FALSE,"Utah";#N/A,#N/A,FALSE,"Idaho";#N/A,#N/A,FALSE,"Lewis River";#N/A,#N/A,FALSE,"NrthUmpq";#N/A,#N/A,FALSE,"KlamRog"}</definedName>
    <definedName name="om_3" localSheetId="29" hidden="1">{#N/A,#N/A,FALSE,"Summary";#N/A,#N/A,FALSE,"SmPlants";#N/A,#N/A,FALSE,"Utah";#N/A,#N/A,FALSE,"Idaho";#N/A,#N/A,FALSE,"Lewis River";#N/A,#N/A,FALSE,"NrthUmpq";#N/A,#N/A,FALSE,"KlamRog"}</definedName>
    <definedName name="om_3" localSheetId="30" hidden="1">{#N/A,#N/A,FALSE,"Summary";#N/A,#N/A,FALSE,"SmPlants";#N/A,#N/A,FALSE,"Utah";#N/A,#N/A,FALSE,"Idaho";#N/A,#N/A,FALSE,"Lewis River";#N/A,#N/A,FALSE,"NrthUmpq";#N/A,#N/A,FALSE,"KlamRog"}</definedName>
    <definedName name="om_3" localSheetId="31" hidden="1">{#N/A,#N/A,FALSE,"Summary";#N/A,#N/A,FALSE,"SmPlants";#N/A,#N/A,FALSE,"Utah";#N/A,#N/A,FALSE,"Idaho";#N/A,#N/A,FALSE,"Lewis River";#N/A,#N/A,FALSE,"NrthUmpq";#N/A,#N/A,FALSE,"KlamRog"}</definedName>
    <definedName name="om_3" localSheetId="37" hidden="1">{#N/A,#N/A,FALSE,"Summary";#N/A,#N/A,FALSE,"SmPlants";#N/A,#N/A,FALSE,"Utah";#N/A,#N/A,FALSE,"Idaho";#N/A,#N/A,FALSE,"Lewis River";#N/A,#N/A,FALSE,"NrthUmpq";#N/A,#N/A,FALSE,"KlamRog"}</definedName>
    <definedName name="om_3" localSheetId="41" hidden="1">{#N/A,#N/A,FALSE,"Summary";#N/A,#N/A,FALSE,"SmPlants";#N/A,#N/A,FALSE,"Utah";#N/A,#N/A,FALSE,"Idaho";#N/A,#N/A,FALSE,"Lewis River";#N/A,#N/A,FALSE,"NrthUmpq";#N/A,#N/A,FALSE,"KlamRog"}</definedName>
    <definedName name="om_3" localSheetId="42" hidden="1">{#N/A,#N/A,FALSE,"Summary";#N/A,#N/A,FALSE,"SmPlants";#N/A,#N/A,FALSE,"Utah";#N/A,#N/A,FALSE,"Idaho";#N/A,#N/A,FALSE,"Lewis River";#N/A,#N/A,FALSE,"NrthUmpq";#N/A,#N/A,FALSE,"KlamRog"}</definedName>
    <definedName name="om_3" localSheetId="0" hidden="1">{#N/A,#N/A,FALSE,"Summary";#N/A,#N/A,FALSE,"SmPlants";#N/A,#N/A,FALSE,"Utah";#N/A,#N/A,FALSE,"Idaho";#N/A,#N/A,FALSE,"Lewis River";#N/A,#N/A,FALSE,"NrthUmpq";#N/A,#N/A,FALSE,"KlamRog"}</definedName>
    <definedName name="om_3" hidden="1">{#N/A,#N/A,FALSE,"Summary";#N/A,#N/A,FALSE,"SmPlants";#N/A,#N/A,FALSE,"Utah";#N/A,#N/A,FALSE,"Idaho";#N/A,#N/A,FALSE,"Lewis River";#N/A,#N/A,FALSE,"NrthUmpq";#N/A,#N/A,FALSE,"KlamRog"}</definedName>
    <definedName name="om_4" localSheetId="1" hidden="1">{#N/A,#N/A,FALSE,"Summary";#N/A,#N/A,FALSE,"SmPlants";#N/A,#N/A,FALSE,"Utah";#N/A,#N/A,FALSE,"Idaho";#N/A,#N/A,FALSE,"Lewis River";#N/A,#N/A,FALSE,"NrthUmpq";#N/A,#N/A,FALSE,"KlamRog"}</definedName>
    <definedName name="om_4" localSheetId="3" hidden="1">{#N/A,#N/A,FALSE,"Summary";#N/A,#N/A,FALSE,"SmPlants";#N/A,#N/A,FALSE,"Utah";#N/A,#N/A,FALSE,"Idaho";#N/A,#N/A,FALSE,"Lewis River";#N/A,#N/A,FALSE,"NrthUmpq";#N/A,#N/A,FALSE,"KlamRog"}</definedName>
    <definedName name="om_4" localSheetId="4" hidden="1">{#N/A,#N/A,FALSE,"Summary";#N/A,#N/A,FALSE,"SmPlants";#N/A,#N/A,FALSE,"Utah";#N/A,#N/A,FALSE,"Idaho";#N/A,#N/A,FALSE,"Lewis River";#N/A,#N/A,FALSE,"NrthUmpq";#N/A,#N/A,FALSE,"KlamRog"}</definedName>
    <definedName name="om_4" localSheetId="18" hidden="1">{#N/A,#N/A,FALSE,"Summary";#N/A,#N/A,FALSE,"SmPlants";#N/A,#N/A,FALSE,"Utah";#N/A,#N/A,FALSE,"Idaho";#N/A,#N/A,FALSE,"Lewis River";#N/A,#N/A,FALSE,"NrthUmpq";#N/A,#N/A,FALSE,"KlamRog"}</definedName>
    <definedName name="om_4" localSheetId="19" hidden="1">{#N/A,#N/A,FALSE,"Summary";#N/A,#N/A,FALSE,"SmPlants";#N/A,#N/A,FALSE,"Utah";#N/A,#N/A,FALSE,"Idaho";#N/A,#N/A,FALSE,"Lewis River";#N/A,#N/A,FALSE,"NrthUmpq";#N/A,#N/A,FALSE,"KlamRog"}</definedName>
    <definedName name="om_4" localSheetId="20" hidden="1">{#N/A,#N/A,FALSE,"Summary";#N/A,#N/A,FALSE,"SmPlants";#N/A,#N/A,FALSE,"Utah";#N/A,#N/A,FALSE,"Idaho";#N/A,#N/A,FALSE,"Lewis River";#N/A,#N/A,FALSE,"NrthUmpq";#N/A,#N/A,FALSE,"KlamRog"}</definedName>
    <definedName name="om_4" localSheetId="21" hidden="1">{#N/A,#N/A,FALSE,"Summary";#N/A,#N/A,FALSE,"SmPlants";#N/A,#N/A,FALSE,"Utah";#N/A,#N/A,FALSE,"Idaho";#N/A,#N/A,FALSE,"Lewis River";#N/A,#N/A,FALSE,"NrthUmpq";#N/A,#N/A,FALSE,"KlamRog"}</definedName>
    <definedName name="om_4" localSheetId="24" hidden="1">{#N/A,#N/A,FALSE,"Summary";#N/A,#N/A,FALSE,"SmPlants";#N/A,#N/A,FALSE,"Utah";#N/A,#N/A,FALSE,"Idaho";#N/A,#N/A,FALSE,"Lewis River";#N/A,#N/A,FALSE,"NrthUmpq";#N/A,#N/A,FALSE,"KlamRog"}</definedName>
    <definedName name="om_4" localSheetId="27" hidden="1">{#N/A,#N/A,FALSE,"Summary";#N/A,#N/A,FALSE,"SmPlants";#N/A,#N/A,FALSE,"Utah";#N/A,#N/A,FALSE,"Idaho";#N/A,#N/A,FALSE,"Lewis River";#N/A,#N/A,FALSE,"NrthUmpq";#N/A,#N/A,FALSE,"KlamRog"}</definedName>
    <definedName name="om_4" localSheetId="28" hidden="1">{#N/A,#N/A,FALSE,"Summary";#N/A,#N/A,FALSE,"SmPlants";#N/A,#N/A,FALSE,"Utah";#N/A,#N/A,FALSE,"Idaho";#N/A,#N/A,FALSE,"Lewis River";#N/A,#N/A,FALSE,"NrthUmpq";#N/A,#N/A,FALSE,"KlamRog"}</definedName>
    <definedName name="om_4" localSheetId="29" hidden="1">{#N/A,#N/A,FALSE,"Summary";#N/A,#N/A,FALSE,"SmPlants";#N/A,#N/A,FALSE,"Utah";#N/A,#N/A,FALSE,"Idaho";#N/A,#N/A,FALSE,"Lewis River";#N/A,#N/A,FALSE,"NrthUmpq";#N/A,#N/A,FALSE,"KlamRog"}</definedName>
    <definedName name="om_4" localSheetId="30" hidden="1">{#N/A,#N/A,FALSE,"Summary";#N/A,#N/A,FALSE,"SmPlants";#N/A,#N/A,FALSE,"Utah";#N/A,#N/A,FALSE,"Idaho";#N/A,#N/A,FALSE,"Lewis River";#N/A,#N/A,FALSE,"NrthUmpq";#N/A,#N/A,FALSE,"KlamRog"}</definedName>
    <definedName name="om_4" localSheetId="31" hidden="1">{#N/A,#N/A,FALSE,"Summary";#N/A,#N/A,FALSE,"SmPlants";#N/A,#N/A,FALSE,"Utah";#N/A,#N/A,FALSE,"Idaho";#N/A,#N/A,FALSE,"Lewis River";#N/A,#N/A,FALSE,"NrthUmpq";#N/A,#N/A,FALSE,"KlamRog"}</definedName>
    <definedName name="om_4" localSheetId="37" hidden="1">{#N/A,#N/A,FALSE,"Summary";#N/A,#N/A,FALSE,"SmPlants";#N/A,#N/A,FALSE,"Utah";#N/A,#N/A,FALSE,"Idaho";#N/A,#N/A,FALSE,"Lewis River";#N/A,#N/A,FALSE,"NrthUmpq";#N/A,#N/A,FALSE,"KlamRog"}</definedName>
    <definedName name="om_4" localSheetId="41" hidden="1">{#N/A,#N/A,FALSE,"Summary";#N/A,#N/A,FALSE,"SmPlants";#N/A,#N/A,FALSE,"Utah";#N/A,#N/A,FALSE,"Idaho";#N/A,#N/A,FALSE,"Lewis River";#N/A,#N/A,FALSE,"NrthUmpq";#N/A,#N/A,FALSE,"KlamRog"}</definedName>
    <definedName name="om_4" localSheetId="42" hidden="1">{#N/A,#N/A,FALSE,"Summary";#N/A,#N/A,FALSE,"SmPlants";#N/A,#N/A,FALSE,"Utah";#N/A,#N/A,FALSE,"Idaho";#N/A,#N/A,FALSE,"Lewis River";#N/A,#N/A,FALSE,"NrthUmpq";#N/A,#N/A,FALSE,"KlamRog"}</definedName>
    <definedName name="om_4" localSheetId="0" hidden="1">{#N/A,#N/A,FALSE,"Summary";#N/A,#N/A,FALSE,"SmPlants";#N/A,#N/A,FALSE,"Utah";#N/A,#N/A,FALSE,"Idaho";#N/A,#N/A,FALSE,"Lewis River";#N/A,#N/A,FALSE,"NrthUmpq";#N/A,#N/A,FALSE,"KlamRog"}</definedName>
    <definedName name="om_4" hidden="1">{#N/A,#N/A,FALSE,"Summary";#N/A,#N/A,FALSE,"SmPlants";#N/A,#N/A,FALSE,"Utah";#N/A,#N/A,FALSE,"Idaho";#N/A,#N/A,FALSE,"Lewis River";#N/A,#N/A,FALSE,"NrthUmpq";#N/A,#N/A,FALSE,"KlamRog"}</definedName>
    <definedName name="om_5" localSheetId="1" hidden="1">{#N/A,#N/A,FALSE,"Summary";#N/A,#N/A,FALSE,"SmPlants";#N/A,#N/A,FALSE,"Utah";#N/A,#N/A,FALSE,"Idaho";#N/A,#N/A,FALSE,"Lewis River";#N/A,#N/A,FALSE,"NrthUmpq";#N/A,#N/A,FALSE,"KlamRog"}</definedName>
    <definedName name="om_5" localSheetId="3" hidden="1">{#N/A,#N/A,FALSE,"Summary";#N/A,#N/A,FALSE,"SmPlants";#N/A,#N/A,FALSE,"Utah";#N/A,#N/A,FALSE,"Idaho";#N/A,#N/A,FALSE,"Lewis River";#N/A,#N/A,FALSE,"NrthUmpq";#N/A,#N/A,FALSE,"KlamRog"}</definedName>
    <definedName name="om_5" localSheetId="4" hidden="1">{#N/A,#N/A,FALSE,"Summary";#N/A,#N/A,FALSE,"SmPlants";#N/A,#N/A,FALSE,"Utah";#N/A,#N/A,FALSE,"Idaho";#N/A,#N/A,FALSE,"Lewis River";#N/A,#N/A,FALSE,"NrthUmpq";#N/A,#N/A,FALSE,"KlamRog"}</definedName>
    <definedName name="om_5" localSheetId="18" hidden="1">{#N/A,#N/A,FALSE,"Summary";#N/A,#N/A,FALSE,"SmPlants";#N/A,#N/A,FALSE,"Utah";#N/A,#N/A,FALSE,"Idaho";#N/A,#N/A,FALSE,"Lewis River";#N/A,#N/A,FALSE,"NrthUmpq";#N/A,#N/A,FALSE,"KlamRog"}</definedName>
    <definedName name="om_5" localSheetId="19" hidden="1">{#N/A,#N/A,FALSE,"Summary";#N/A,#N/A,FALSE,"SmPlants";#N/A,#N/A,FALSE,"Utah";#N/A,#N/A,FALSE,"Idaho";#N/A,#N/A,FALSE,"Lewis River";#N/A,#N/A,FALSE,"NrthUmpq";#N/A,#N/A,FALSE,"KlamRog"}</definedName>
    <definedName name="om_5" localSheetId="20" hidden="1">{#N/A,#N/A,FALSE,"Summary";#N/A,#N/A,FALSE,"SmPlants";#N/A,#N/A,FALSE,"Utah";#N/A,#N/A,FALSE,"Idaho";#N/A,#N/A,FALSE,"Lewis River";#N/A,#N/A,FALSE,"NrthUmpq";#N/A,#N/A,FALSE,"KlamRog"}</definedName>
    <definedName name="om_5" localSheetId="21" hidden="1">{#N/A,#N/A,FALSE,"Summary";#N/A,#N/A,FALSE,"SmPlants";#N/A,#N/A,FALSE,"Utah";#N/A,#N/A,FALSE,"Idaho";#N/A,#N/A,FALSE,"Lewis River";#N/A,#N/A,FALSE,"NrthUmpq";#N/A,#N/A,FALSE,"KlamRog"}</definedName>
    <definedName name="om_5" localSheetId="24" hidden="1">{#N/A,#N/A,FALSE,"Summary";#N/A,#N/A,FALSE,"SmPlants";#N/A,#N/A,FALSE,"Utah";#N/A,#N/A,FALSE,"Idaho";#N/A,#N/A,FALSE,"Lewis River";#N/A,#N/A,FALSE,"NrthUmpq";#N/A,#N/A,FALSE,"KlamRog"}</definedName>
    <definedName name="om_5" localSheetId="27" hidden="1">{#N/A,#N/A,FALSE,"Summary";#N/A,#N/A,FALSE,"SmPlants";#N/A,#N/A,FALSE,"Utah";#N/A,#N/A,FALSE,"Idaho";#N/A,#N/A,FALSE,"Lewis River";#N/A,#N/A,FALSE,"NrthUmpq";#N/A,#N/A,FALSE,"KlamRog"}</definedName>
    <definedName name="om_5" localSheetId="28" hidden="1">{#N/A,#N/A,FALSE,"Summary";#N/A,#N/A,FALSE,"SmPlants";#N/A,#N/A,FALSE,"Utah";#N/A,#N/A,FALSE,"Idaho";#N/A,#N/A,FALSE,"Lewis River";#N/A,#N/A,FALSE,"NrthUmpq";#N/A,#N/A,FALSE,"KlamRog"}</definedName>
    <definedName name="om_5" localSheetId="29" hidden="1">{#N/A,#N/A,FALSE,"Summary";#N/A,#N/A,FALSE,"SmPlants";#N/A,#N/A,FALSE,"Utah";#N/A,#N/A,FALSE,"Idaho";#N/A,#N/A,FALSE,"Lewis River";#N/A,#N/A,FALSE,"NrthUmpq";#N/A,#N/A,FALSE,"KlamRog"}</definedName>
    <definedName name="om_5" localSheetId="30" hidden="1">{#N/A,#N/A,FALSE,"Summary";#N/A,#N/A,FALSE,"SmPlants";#N/A,#N/A,FALSE,"Utah";#N/A,#N/A,FALSE,"Idaho";#N/A,#N/A,FALSE,"Lewis River";#N/A,#N/A,FALSE,"NrthUmpq";#N/A,#N/A,FALSE,"KlamRog"}</definedName>
    <definedName name="om_5" localSheetId="31" hidden="1">{#N/A,#N/A,FALSE,"Summary";#N/A,#N/A,FALSE,"SmPlants";#N/A,#N/A,FALSE,"Utah";#N/A,#N/A,FALSE,"Idaho";#N/A,#N/A,FALSE,"Lewis River";#N/A,#N/A,FALSE,"NrthUmpq";#N/A,#N/A,FALSE,"KlamRog"}</definedName>
    <definedName name="om_5" localSheetId="37" hidden="1">{#N/A,#N/A,FALSE,"Summary";#N/A,#N/A,FALSE,"SmPlants";#N/A,#N/A,FALSE,"Utah";#N/A,#N/A,FALSE,"Idaho";#N/A,#N/A,FALSE,"Lewis River";#N/A,#N/A,FALSE,"NrthUmpq";#N/A,#N/A,FALSE,"KlamRog"}</definedName>
    <definedName name="om_5" localSheetId="41" hidden="1">{#N/A,#N/A,FALSE,"Summary";#N/A,#N/A,FALSE,"SmPlants";#N/A,#N/A,FALSE,"Utah";#N/A,#N/A,FALSE,"Idaho";#N/A,#N/A,FALSE,"Lewis River";#N/A,#N/A,FALSE,"NrthUmpq";#N/A,#N/A,FALSE,"KlamRog"}</definedName>
    <definedName name="om_5" localSheetId="42" hidden="1">{#N/A,#N/A,FALSE,"Summary";#N/A,#N/A,FALSE,"SmPlants";#N/A,#N/A,FALSE,"Utah";#N/A,#N/A,FALSE,"Idaho";#N/A,#N/A,FALSE,"Lewis River";#N/A,#N/A,FALSE,"NrthUmpq";#N/A,#N/A,FALSE,"KlamRog"}</definedName>
    <definedName name="om_5" localSheetId="0" hidden="1">{#N/A,#N/A,FALSE,"Summary";#N/A,#N/A,FALSE,"SmPlants";#N/A,#N/A,FALSE,"Utah";#N/A,#N/A,FALSE,"Idaho";#N/A,#N/A,FALSE,"Lewis River";#N/A,#N/A,FALSE,"NrthUmpq";#N/A,#N/A,FALSE,"KlamRog"}</definedName>
    <definedName name="om_5" hidden="1">{#N/A,#N/A,FALSE,"Summary";#N/A,#N/A,FALSE,"SmPlants";#N/A,#N/A,FALSE,"Utah";#N/A,#N/A,FALSE,"Idaho";#N/A,#N/A,FALSE,"Lewis River";#N/A,#N/A,FALSE,"NrthUmpq";#N/A,#N/A,FALSE,"KlamRog"}</definedName>
    <definedName name="pete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_xlnm.Print_Area" localSheetId="3">'(2.1)_Proxy Resources'!$A$1:$Q$122</definedName>
    <definedName name="_xlnm.Print_Area" localSheetId="4">'(2.2)_Forward_Price_Curve'!$A$1:$Y$59</definedName>
    <definedName name="_xlnm.Print_Titles" localSheetId="4">'(2.2)_Forward_Price_Curve'!$13:$16</definedName>
    <definedName name="proxy_cost_start">#REF!</definedName>
    <definedName name="ReadDisc">#REF!</definedName>
    <definedName name="shit" localSheetId="1" hidden="1">{"PRINT",#N/A,TRUE,"APPA";"PRINT",#N/A,TRUE,"APS";"PRINT",#N/A,TRUE,"BHPL";"PRINT",#N/A,TRUE,"BHPL2";"PRINT",#N/A,TRUE,"CDWR";"PRINT",#N/A,TRUE,"EWEB";"PRINT",#N/A,TRUE,"LADWP";"PRINT",#N/A,TRUE,"NEVBASE"}</definedName>
    <definedName name="shit" localSheetId="3" hidden="1">{"PRINT",#N/A,TRUE,"APPA";"PRINT",#N/A,TRUE,"APS";"PRINT",#N/A,TRUE,"BHPL";"PRINT",#N/A,TRUE,"BHPL2";"PRINT",#N/A,TRUE,"CDWR";"PRINT",#N/A,TRUE,"EWEB";"PRINT",#N/A,TRUE,"LADWP";"PRINT",#N/A,TRUE,"NEVBASE"}</definedName>
    <definedName name="shit" localSheetId="4" hidden="1">{"PRINT",#N/A,TRUE,"APPA";"PRINT",#N/A,TRUE,"APS";"PRINT",#N/A,TRUE,"BHPL";"PRINT",#N/A,TRUE,"BHPL2";"PRINT",#N/A,TRUE,"CDWR";"PRINT",#N/A,TRUE,"EWEB";"PRINT",#N/A,TRUE,"LADWP";"PRINT",#N/A,TRUE,"NEVBASE"}</definedName>
    <definedName name="shit" localSheetId="18" hidden="1">{"PRINT",#N/A,TRUE,"APPA";"PRINT",#N/A,TRUE,"APS";"PRINT",#N/A,TRUE,"BHPL";"PRINT",#N/A,TRUE,"BHPL2";"PRINT",#N/A,TRUE,"CDWR";"PRINT",#N/A,TRUE,"EWEB";"PRINT",#N/A,TRUE,"LADWP";"PRINT",#N/A,TRUE,"NEVBASE"}</definedName>
    <definedName name="shit" localSheetId="19" hidden="1">{"PRINT",#N/A,TRUE,"APPA";"PRINT",#N/A,TRUE,"APS";"PRINT",#N/A,TRUE,"BHPL";"PRINT",#N/A,TRUE,"BHPL2";"PRINT",#N/A,TRUE,"CDWR";"PRINT",#N/A,TRUE,"EWEB";"PRINT",#N/A,TRUE,"LADWP";"PRINT",#N/A,TRUE,"NEVBASE"}</definedName>
    <definedName name="shit" localSheetId="20" hidden="1">{"PRINT",#N/A,TRUE,"APPA";"PRINT",#N/A,TRUE,"APS";"PRINT",#N/A,TRUE,"BHPL";"PRINT",#N/A,TRUE,"BHPL2";"PRINT",#N/A,TRUE,"CDWR";"PRINT",#N/A,TRUE,"EWEB";"PRINT",#N/A,TRUE,"LADWP";"PRINT",#N/A,TRUE,"NEVBASE"}</definedName>
    <definedName name="shit" localSheetId="21" hidden="1">{"PRINT",#N/A,TRUE,"APPA";"PRINT",#N/A,TRUE,"APS";"PRINT",#N/A,TRUE,"BHPL";"PRINT",#N/A,TRUE,"BHPL2";"PRINT",#N/A,TRUE,"CDWR";"PRINT",#N/A,TRUE,"EWEB";"PRINT",#N/A,TRUE,"LADWP";"PRINT",#N/A,TRUE,"NEVBASE"}</definedName>
    <definedName name="shit" localSheetId="24" hidden="1">{"PRINT",#N/A,TRUE,"APPA";"PRINT",#N/A,TRUE,"APS";"PRINT",#N/A,TRUE,"BHPL";"PRINT",#N/A,TRUE,"BHPL2";"PRINT",#N/A,TRUE,"CDWR";"PRINT",#N/A,TRUE,"EWEB";"PRINT",#N/A,TRUE,"LADWP";"PRINT",#N/A,TRUE,"NEVBASE"}</definedName>
    <definedName name="shit" localSheetId="27" hidden="1">{"PRINT",#N/A,TRUE,"APPA";"PRINT",#N/A,TRUE,"APS";"PRINT",#N/A,TRUE,"BHPL";"PRINT",#N/A,TRUE,"BHPL2";"PRINT",#N/A,TRUE,"CDWR";"PRINT",#N/A,TRUE,"EWEB";"PRINT",#N/A,TRUE,"LADWP";"PRINT",#N/A,TRUE,"NEVBASE"}</definedName>
    <definedName name="shit" localSheetId="28" hidden="1">{"PRINT",#N/A,TRUE,"APPA";"PRINT",#N/A,TRUE,"APS";"PRINT",#N/A,TRUE,"BHPL";"PRINT",#N/A,TRUE,"BHPL2";"PRINT",#N/A,TRUE,"CDWR";"PRINT",#N/A,TRUE,"EWEB";"PRINT",#N/A,TRUE,"LADWP";"PRINT",#N/A,TRUE,"NEVBASE"}</definedName>
    <definedName name="shit" localSheetId="29" hidden="1">{"PRINT",#N/A,TRUE,"APPA";"PRINT",#N/A,TRUE,"APS";"PRINT",#N/A,TRUE,"BHPL";"PRINT",#N/A,TRUE,"BHPL2";"PRINT",#N/A,TRUE,"CDWR";"PRINT",#N/A,TRUE,"EWEB";"PRINT",#N/A,TRUE,"LADWP";"PRINT",#N/A,TRUE,"NEVBASE"}</definedName>
    <definedName name="shit" localSheetId="30" hidden="1">{"PRINT",#N/A,TRUE,"APPA";"PRINT",#N/A,TRUE,"APS";"PRINT",#N/A,TRUE,"BHPL";"PRINT",#N/A,TRUE,"BHPL2";"PRINT",#N/A,TRUE,"CDWR";"PRINT",#N/A,TRUE,"EWEB";"PRINT",#N/A,TRUE,"LADWP";"PRINT",#N/A,TRUE,"NEVBASE"}</definedName>
    <definedName name="shit" localSheetId="31" hidden="1">{"PRINT",#N/A,TRUE,"APPA";"PRINT",#N/A,TRUE,"APS";"PRINT",#N/A,TRUE,"BHPL";"PRINT",#N/A,TRUE,"BHPL2";"PRINT",#N/A,TRUE,"CDWR";"PRINT",#N/A,TRUE,"EWEB";"PRINT",#N/A,TRUE,"LADWP";"PRINT",#N/A,TRUE,"NEVBASE"}</definedName>
    <definedName name="shit" localSheetId="37" hidden="1">{"PRINT",#N/A,TRUE,"APPA";"PRINT",#N/A,TRUE,"APS";"PRINT",#N/A,TRUE,"BHPL";"PRINT",#N/A,TRUE,"BHPL2";"PRINT",#N/A,TRUE,"CDWR";"PRINT",#N/A,TRUE,"EWEB";"PRINT",#N/A,TRUE,"LADWP";"PRINT",#N/A,TRUE,"NEVBASE"}</definedName>
    <definedName name="shit" localSheetId="41" hidden="1">{"PRINT",#N/A,TRUE,"APPA";"PRINT",#N/A,TRUE,"APS";"PRINT",#N/A,TRUE,"BHPL";"PRINT",#N/A,TRUE,"BHPL2";"PRINT",#N/A,TRUE,"CDWR";"PRINT",#N/A,TRUE,"EWEB";"PRINT",#N/A,TRUE,"LADWP";"PRINT",#N/A,TRUE,"NEVBASE"}</definedName>
    <definedName name="shit" localSheetId="42" hidden="1">{"PRINT",#N/A,TRUE,"APPA";"PRINT",#N/A,TRUE,"APS";"PRINT",#N/A,TRUE,"BHPL";"PRINT",#N/A,TRUE,"BHPL2";"PRINT",#N/A,TRUE,"CDWR";"PRINT",#N/A,TRUE,"EWEB";"PRINT",#N/A,TRUE,"LADWP";"PRINT",#N/A,TRUE,"NEVBASE"}</definedName>
    <definedName name="shit" localSheetId="0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hit_1" localSheetId="1" hidden="1">{"PRINT",#N/A,TRUE,"APPA";"PRINT",#N/A,TRUE,"APS";"PRINT",#N/A,TRUE,"BHPL";"PRINT",#N/A,TRUE,"BHPL2";"PRINT",#N/A,TRUE,"CDWR";"PRINT",#N/A,TRUE,"EWEB";"PRINT",#N/A,TRUE,"LADWP";"PRINT",#N/A,TRUE,"NEVBASE"}</definedName>
    <definedName name="shit_1" localSheetId="3" hidden="1">{"PRINT",#N/A,TRUE,"APPA";"PRINT",#N/A,TRUE,"APS";"PRINT",#N/A,TRUE,"BHPL";"PRINT",#N/A,TRUE,"BHPL2";"PRINT",#N/A,TRUE,"CDWR";"PRINT",#N/A,TRUE,"EWEB";"PRINT",#N/A,TRUE,"LADWP";"PRINT",#N/A,TRUE,"NEVBASE"}</definedName>
    <definedName name="shit_1" localSheetId="4" hidden="1">{"PRINT",#N/A,TRUE,"APPA";"PRINT",#N/A,TRUE,"APS";"PRINT",#N/A,TRUE,"BHPL";"PRINT",#N/A,TRUE,"BHPL2";"PRINT",#N/A,TRUE,"CDWR";"PRINT",#N/A,TRUE,"EWEB";"PRINT",#N/A,TRUE,"LADWP";"PRINT",#N/A,TRUE,"NEVBASE"}</definedName>
    <definedName name="shit_1" localSheetId="18" hidden="1">{"PRINT",#N/A,TRUE,"APPA";"PRINT",#N/A,TRUE,"APS";"PRINT",#N/A,TRUE,"BHPL";"PRINT",#N/A,TRUE,"BHPL2";"PRINT",#N/A,TRUE,"CDWR";"PRINT",#N/A,TRUE,"EWEB";"PRINT",#N/A,TRUE,"LADWP";"PRINT",#N/A,TRUE,"NEVBASE"}</definedName>
    <definedName name="shit_1" localSheetId="19" hidden="1">{"PRINT",#N/A,TRUE,"APPA";"PRINT",#N/A,TRUE,"APS";"PRINT",#N/A,TRUE,"BHPL";"PRINT",#N/A,TRUE,"BHPL2";"PRINT",#N/A,TRUE,"CDWR";"PRINT",#N/A,TRUE,"EWEB";"PRINT",#N/A,TRUE,"LADWP";"PRINT",#N/A,TRUE,"NEVBASE"}</definedName>
    <definedName name="shit_1" localSheetId="20" hidden="1">{"PRINT",#N/A,TRUE,"APPA";"PRINT",#N/A,TRUE,"APS";"PRINT",#N/A,TRUE,"BHPL";"PRINT",#N/A,TRUE,"BHPL2";"PRINT",#N/A,TRUE,"CDWR";"PRINT",#N/A,TRUE,"EWEB";"PRINT",#N/A,TRUE,"LADWP";"PRINT",#N/A,TRUE,"NEVBASE"}</definedName>
    <definedName name="shit_1" localSheetId="21" hidden="1">{"PRINT",#N/A,TRUE,"APPA";"PRINT",#N/A,TRUE,"APS";"PRINT",#N/A,TRUE,"BHPL";"PRINT",#N/A,TRUE,"BHPL2";"PRINT",#N/A,TRUE,"CDWR";"PRINT",#N/A,TRUE,"EWEB";"PRINT",#N/A,TRUE,"LADWP";"PRINT",#N/A,TRUE,"NEVBASE"}</definedName>
    <definedName name="shit_1" localSheetId="24" hidden="1">{"PRINT",#N/A,TRUE,"APPA";"PRINT",#N/A,TRUE,"APS";"PRINT",#N/A,TRUE,"BHPL";"PRINT",#N/A,TRUE,"BHPL2";"PRINT",#N/A,TRUE,"CDWR";"PRINT",#N/A,TRUE,"EWEB";"PRINT",#N/A,TRUE,"LADWP";"PRINT",#N/A,TRUE,"NEVBASE"}</definedName>
    <definedName name="shit_1" localSheetId="27" hidden="1">{"PRINT",#N/A,TRUE,"APPA";"PRINT",#N/A,TRUE,"APS";"PRINT",#N/A,TRUE,"BHPL";"PRINT",#N/A,TRUE,"BHPL2";"PRINT",#N/A,TRUE,"CDWR";"PRINT",#N/A,TRUE,"EWEB";"PRINT",#N/A,TRUE,"LADWP";"PRINT",#N/A,TRUE,"NEVBASE"}</definedName>
    <definedName name="shit_1" localSheetId="28" hidden="1">{"PRINT",#N/A,TRUE,"APPA";"PRINT",#N/A,TRUE,"APS";"PRINT",#N/A,TRUE,"BHPL";"PRINT",#N/A,TRUE,"BHPL2";"PRINT",#N/A,TRUE,"CDWR";"PRINT",#N/A,TRUE,"EWEB";"PRINT",#N/A,TRUE,"LADWP";"PRINT",#N/A,TRUE,"NEVBASE"}</definedName>
    <definedName name="shit_1" localSheetId="29" hidden="1">{"PRINT",#N/A,TRUE,"APPA";"PRINT",#N/A,TRUE,"APS";"PRINT",#N/A,TRUE,"BHPL";"PRINT",#N/A,TRUE,"BHPL2";"PRINT",#N/A,TRUE,"CDWR";"PRINT",#N/A,TRUE,"EWEB";"PRINT",#N/A,TRUE,"LADWP";"PRINT",#N/A,TRUE,"NEVBASE"}</definedName>
    <definedName name="shit_1" localSheetId="30" hidden="1">{"PRINT",#N/A,TRUE,"APPA";"PRINT",#N/A,TRUE,"APS";"PRINT",#N/A,TRUE,"BHPL";"PRINT",#N/A,TRUE,"BHPL2";"PRINT",#N/A,TRUE,"CDWR";"PRINT",#N/A,TRUE,"EWEB";"PRINT",#N/A,TRUE,"LADWP";"PRINT",#N/A,TRUE,"NEVBASE"}</definedName>
    <definedName name="shit_1" localSheetId="31" hidden="1">{"PRINT",#N/A,TRUE,"APPA";"PRINT",#N/A,TRUE,"APS";"PRINT",#N/A,TRUE,"BHPL";"PRINT",#N/A,TRUE,"BHPL2";"PRINT",#N/A,TRUE,"CDWR";"PRINT",#N/A,TRUE,"EWEB";"PRINT",#N/A,TRUE,"LADWP";"PRINT",#N/A,TRUE,"NEVBASE"}</definedName>
    <definedName name="shit_1" localSheetId="37" hidden="1">{"PRINT",#N/A,TRUE,"APPA";"PRINT",#N/A,TRUE,"APS";"PRINT",#N/A,TRUE,"BHPL";"PRINT",#N/A,TRUE,"BHPL2";"PRINT",#N/A,TRUE,"CDWR";"PRINT",#N/A,TRUE,"EWEB";"PRINT",#N/A,TRUE,"LADWP";"PRINT",#N/A,TRUE,"NEVBASE"}</definedName>
    <definedName name="shit_1" localSheetId="41" hidden="1">{"PRINT",#N/A,TRUE,"APPA";"PRINT",#N/A,TRUE,"APS";"PRINT",#N/A,TRUE,"BHPL";"PRINT",#N/A,TRUE,"BHPL2";"PRINT",#N/A,TRUE,"CDWR";"PRINT",#N/A,TRUE,"EWEB";"PRINT",#N/A,TRUE,"LADWP";"PRINT",#N/A,TRUE,"NEVBASE"}</definedName>
    <definedName name="shit_1" localSheetId="42" hidden="1">{"PRINT",#N/A,TRUE,"APPA";"PRINT",#N/A,TRUE,"APS";"PRINT",#N/A,TRUE,"BHPL";"PRINT",#N/A,TRUE,"BHPL2";"PRINT",#N/A,TRUE,"CDWR";"PRINT",#N/A,TRUE,"EWEB";"PRINT",#N/A,TRUE,"LADWP";"PRINT",#N/A,TRUE,"NEVBASE"}</definedName>
    <definedName name="shit_1" localSheetId="0" hidden="1">{"PRINT",#N/A,TRUE,"APPA";"PRINT",#N/A,TRUE,"APS";"PRINT",#N/A,TRUE,"BHPL";"PRINT",#N/A,TRUE,"BHPL2";"PRINT",#N/A,TRUE,"CDWR";"PRINT",#N/A,TRUE,"EWEB";"PRINT",#N/A,TRUE,"LADWP";"PRINT",#N/A,TRUE,"NEVBASE"}</definedName>
    <definedName name="shit_1" hidden="1">{"PRINT",#N/A,TRUE,"APPA";"PRINT",#N/A,TRUE,"APS";"PRINT",#N/A,TRUE,"BHPL";"PRINT",#N/A,TRUE,"BHPL2";"PRINT",#N/A,TRUE,"CDWR";"PRINT",#N/A,TRUE,"EWEB";"PRINT",#N/A,TRUE,"LADWP";"PRINT",#N/A,TRUE,"NEVBASE"}</definedName>
    <definedName name="shit_2" localSheetId="1" hidden="1">{"PRINT",#N/A,TRUE,"APPA";"PRINT",#N/A,TRUE,"APS";"PRINT",#N/A,TRUE,"BHPL";"PRINT",#N/A,TRUE,"BHPL2";"PRINT",#N/A,TRUE,"CDWR";"PRINT",#N/A,TRUE,"EWEB";"PRINT",#N/A,TRUE,"LADWP";"PRINT",#N/A,TRUE,"NEVBASE"}</definedName>
    <definedName name="shit_2" localSheetId="3" hidden="1">{"PRINT",#N/A,TRUE,"APPA";"PRINT",#N/A,TRUE,"APS";"PRINT",#N/A,TRUE,"BHPL";"PRINT",#N/A,TRUE,"BHPL2";"PRINT",#N/A,TRUE,"CDWR";"PRINT",#N/A,TRUE,"EWEB";"PRINT",#N/A,TRUE,"LADWP";"PRINT",#N/A,TRUE,"NEVBASE"}</definedName>
    <definedName name="shit_2" localSheetId="4" hidden="1">{"PRINT",#N/A,TRUE,"APPA";"PRINT",#N/A,TRUE,"APS";"PRINT",#N/A,TRUE,"BHPL";"PRINT",#N/A,TRUE,"BHPL2";"PRINT",#N/A,TRUE,"CDWR";"PRINT",#N/A,TRUE,"EWEB";"PRINT",#N/A,TRUE,"LADWP";"PRINT",#N/A,TRUE,"NEVBASE"}</definedName>
    <definedName name="shit_2" localSheetId="18" hidden="1">{"PRINT",#N/A,TRUE,"APPA";"PRINT",#N/A,TRUE,"APS";"PRINT",#N/A,TRUE,"BHPL";"PRINT",#N/A,TRUE,"BHPL2";"PRINT",#N/A,TRUE,"CDWR";"PRINT",#N/A,TRUE,"EWEB";"PRINT",#N/A,TRUE,"LADWP";"PRINT",#N/A,TRUE,"NEVBASE"}</definedName>
    <definedName name="shit_2" localSheetId="19" hidden="1">{"PRINT",#N/A,TRUE,"APPA";"PRINT",#N/A,TRUE,"APS";"PRINT",#N/A,TRUE,"BHPL";"PRINT",#N/A,TRUE,"BHPL2";"PRINT",#N/A,TRUE,"CDWR";"PRINT",#N/A,TRUE,"EWEB";"PRINT",#N/A,TRUE,"LADWP";"PRINT",#N/A,TRUE,"NEVBASE"}</definedName>
    <definedName name="shit_2" localSheetId="20" hidden="1">{"PRINT",#N/A,TRUE,"APPA";"PRINT",#N/A,TRUE,"APS";"PRINT",#N/A,TRUE,"BHPL";"PRINT",#N/A,TRUE,"BHPL2";"PRINT",#N/A,TRUE,"CDWR";"PRINT",#N/A,TRUE,"EWEB";"PRINT",#N/A,TRUE,"LADWP";"PRINT",#N/A,TRUE,"NEVBASE"}</definedName>
    <definedName name="shit_2" localSheetId="21" hidden="1">{"PRINT",#N/A,TRUE,"APPA";"PRINT",#N/A,TRUE,"APS";"PRINT",#N/A,TRUE,"BHPL";"PRINT",#N/A,TRUE,"BHPL2";"PRINT",#N/A,TRUE,"CDWR";"PRINT",#N/A,TRUE,"EWEB";"PRINT",#N/A,TRUE,"LADWP";"PRINT",#N/A,TRUE,"NEVBASE"}</definedName>
    <definedName name="shit_2" localSheetId="24" hidden="1">{"PRINT",#N/A,TRUE,"APPA";"PRINT",#N/A,TRUE,"APS";"PRINT",#N/A,TRUE,"BHPL";"PRINT",#N/A,TRUE,"BHPL2";"PRINT",#N/A,TRUE,"CDWR";"PRINT",#N/A,TRUE,"EWEB";"PRINT",#N/A,TRUE,"LADWP";"PRINT",#N/A,TRUE,"NEVBASE"}</definedName>
    <definedName name="shit_2" localSheetId="27" hidden="1">{"PRINT",#N/A,TRUE,"APPA";"PRINT",#N/A,TRUE,"APS";"PRINT",#N/A,TRUE,"BHPL";"PRINT",#N/A,TRUE,"BHPL2";"PRINT",#N/A,TRUE,"CDWR";"PRINT",#N/A,TRUE,"EWEB";"PRINT",#N/A,TRUE,"LADWP";"PRINT",#N/A,TRUE,"NEVBASE"}</definedName>
    <definedName name="shit_2" localSheetId="28" hidden="1">{"PRINT",#N/A,TRUE,"APPA";"PRINT",#N/A,TRUE,"APS";"PRINT",#N/A,TRUE,"BHPL";"PRINT",#N/A,TRUE,"BHPL2";"PRINT",#N/A,TRUE,"CDWR";"PRINT",#N/A,TRUE,"EWEB";"PRINT",#N/A,TRUE,"LADWP";"PRINT",#N/A,TRUE,"NEVBASE"}</definedName>
    <definedName name="shit_2" localSheetId="29" hidden="1">{"PRINT",#N/A,TRUE,"APPA";"PRINT",#N/A,TRUE,"APS";"PRINT",#N/A,TRUE,"BHPL";"PRINT",#N/A,TRUE,"BHPL2";"PRINT",#N/A,TRUE,"CDWR";"PRINT",#N/A,TRUE,"EWEB";"PRINT",#N/A,TRUE,"LADWP";"PRINT",#N/A,TRUE,"NEVBASE"}</definedName>
    <definedName name="shit_2" localSheetId="30" hidden="1">{"PRINT",#N/A,TRUE,"APPA";"PRINT",#N/A,TRUE,"APS";"PRINT",#N/A,TRUE,"BHPL";"PRINT",#N/A,TRUE,"BHPL2";"PRINT",#N/A,TRUE,"CDWR";"PRINT",#N/A,TRUE,"EWEB";"PRINT",#N/A,TRUE,"LADWP";"PRINT",#N/A,TRUE,"NEVBASE"}</definedName>
    <definedName name="shit_2" localSheetId="31" hidden="1">{"PRINT",#N/A,TRUE,"APPA";"PRINT",#N/A,TRUE,"APS";"PRINT",#N/A,TRUE,"BHPL";"PRINT",#N/A,TRUE,"BHPL2";"PRINT",#N/A,TRUE,"CDWR";"PRINT",#N/A,TRUE,"EWEB";"PRINT",#N/A,TRUE,"LADWP";"PRINT",#N/A,TRUE,"NEVBASE"}</definedName>
    <definedName name="shit_2" localSheetId="37" hidden="1">{"PRINT",#N/A,TRUE,"APPA";"PRINT",#N/A,TRUE,"APS";"PRINT",#N/A,TRUE,"BHPL";"PRINT",#N/A,TRUE,"BHPL2";"PRINT",#N/A,TRUE,"CDWR";"PRINT",#N/A,TRUE,"EWEB";"PRINT",#N/A,TRUE,"LADWP";"PRINT",#N/A,TRUE,"NEVBASE"}</definedName>
    <definedName name="shit_2" localSheetId="41" hidden="1">{"PRINT",#N/A,TRUE,"APPA";"PRINT",#N/A,TRUE,"APS";"PRINT",#N/A,TRUE,"BHPL";"PRINT",#N/A,TRUE,"BHPL2";"PRINT",#N/A,TRUE,"CDWR";"PRINT",#N/A,TRUE,"EWEB";"PRINT",#N/A,TRUE,"LADWP";"PRINT",#N/A,TRUE,"NEVBASE"}</definedName>
    <definedName name="shit_2" localSheetId="42" hidden="1">{"PRINT",#N/A,TRUE,"APPA";"PRINT",#N/A,TRUE,"APS";"PRINT",#N/A,TRUE,"BHPL";"PRINT",#N/A,TRUE,"BHPL2";"PRINT",#N/A,TRUE,"CDWR";"PRINT",#N/A,TRUE,"EWEB";"PRINT",#N/A,TRUE,"LADWP";"PRINT",#N/A,TRUE,"NEVBASE"}</definedName>
    <definedName name="shit_2" localSheetId="0" hidden="1">{"PRINT",#N/A,TRUE,"APPA";"PRINT",#N/A,TRUE,"APS";"PRINT",#N/A,TRUE,"BHPL";"PRINT",#N/A,TRUE,"BHPL2";"PRINT",#N/A,TRUE,"CDWR";"PRINT",#N/A,TRUE,"EWEB";"PRINT",#N/A,TRUE,"LADWP";"PRINT",#N/A,TRUE,"NEVBASE"}</definedName>
    <definedName name="shit_2" hidden="1">{"PRINT",#N/A,TRUE,"APPA";"PRINT",#N/A,TRUE,"APS";"PRINT",#N/A,TRUE,"BHPL";"PRINT",#N/A,TRUE,"BHPL2";"PRINT",#N/A,TRUE,"CDWR";"PRINT",#N/A,TRUE,"EWEB";"PRINT",#N/A,TRUE,"LADWP";"PRINT",#N/A,TRUE,"NEVBASE"}</definedName>
    <definedName name="shit_3" localSheetId="1" hidden="1">{"PRINT",#N/A,TRUE,"APPA";"PRINT",#N/A,TRUE,"APS";"PRINT",#N/A,TRUE,"BHPL";"PRINT",#N/A,TRUE,"BHPL2";"PRINT",#N/A,TRUE,"CDWR";"PRINT",#N/A,TRUE,"EWEB";"PRINT",#N/A,TRUE,"LADWP";"PRINT",#N/A,TRUE,"NEVBASE"}</definedName>
    <definedName name="shit_3" localSheetId="3" hidden="1">{"PRINT",#N/A,TRUE,"APPA";"PRINT",#N/A,TRUE,"APS";"PRINT",#N/A,TRUE,"BHPL";"PRINT",#N/A,TRUE,"BHPL2";"PRINT",#N/A,TRUE,"CDWR";"PRINT",#N/A,TRUE,"EWEB";"PRINT",#N/A,TRUE,"LADWP";"PRINT",#N/A,TRUE,"NEVBASE"}</definedName>
    <definedName name="shit_3" localSheetId="4" hidden="1">{"PRINT",#N/A,TRUE,"APPA";"PRINT",#N/A,TRUE,"APS";"PRINT",#N/A,TRUE,"BHPL";"PRINT",#N/A,TRUE,"BHPL2";"PRINT",#N/A,TRUE,"CDWR";"PRINT",#N/A,TRUE,"EWEB";"PRINT",#N/A,TRUE,"LADWP";"PRINT",#N/A,TRUE,"NEVBASE"}</definedName>
    <definedName name="shit_3" localSheetId="18" hidden="1">{"PRINT",#N/A,TRUE,"APPA";"PRINT",#N/A,TRUE,"APS";"PRINT",#N/A,TRUE,"BHPL";"PRINT",#N/A,TRUE,"BHPL2";"PRINT",#N/A,TRUE,"CDWR";"PRINT",#N/A,TRUE,"EWEB";"PRINT",#N/A,TRUE,"LADWP";"PRINT",#N/A,TRUE,"NEVBASE"}</definedName>
    <definedName name="shit_3" localSheetId="19" hidden="1">{"PRINT",#N/A,TRUE,"APPA";"PRINT",#N/A,TRUE,"APS";"PRINT",#N/A,TRUE,"BHPL";"PRINT",#N/A,TRUE,"BHPL2";"PRINT",#N/A,TRUE,"CDWR";"PRINT",#N/A,TRUE,"EWEB";"PRINT",#N/A,TRUE,"LADWP";"PRINT",#N/A,TRUE,"NEVBASE"}</definedName>
    <definedName name="shit_3" localSheetId="20" hidden="1">{"PRINT",#N/A,TRUE,"APPA";"PRINT",#N/A,TRUE,"APS";"PRINT",#N/A,TRUE,"BHPL";"PRINT",#N/A,TRUE,"BHPL2";"PRINT",#N/A,TRUE,"CDWR";"PRINT",#N/A,TRUE,"EWEB";"PRINT",#N/A,TRUE,"LADWP";"PRINT",#N/A,TRUE,"NEVBASE"}</definedName>
    <definedName name="shit_3" localSheetId="21" hidden="1">{"PRINT",#N/A,TRUE,"APPA";"PRINT",#N/A,TRUE,"APS";"PRINT",#N/A,TRUE,"BHPL";"PRINT",#N/A,TRUE,"BHPL2";"PRINT",#N/A,TRUE,"CDWR";"PRINT",#N/A,TRUE,"EWEB";"PRINT",#N/A,TRUE,"LADWP";"PRINT",#N/A,TRUE,"NEVBASE"}</definedName>
    <definedName name="shit_3" localSheetId="24" hidden="1">{"PRINT",#N/A,TRUE,"APPA";"PRINT",#N/A,TRUE,"APS";"PRINT",#N/A,TRUE,"BHPL";"PRINT",#N/A,TRUE,"BHPL2";"PRINT",#N/A,TRUE,"CDWR";"PRINT",#N/A,TRUE,"EWEB";"PRINT",#N/A,TRUE,"LADWP";"PRINT",#N/A,TRUE,"NEVBASE"}</definedName>
    <definedName name="shit_3" localSheetId="27" hidden="1">{"PRINT",#N/A,TRUE,"APPA";"PRINT",#N/A,TRUE,"APS";"PRINT",#N/A,TRUE,"BHPL";"PRINT",#N/A,TRUE,"BHPL2";"PRINT",#N/A,TRUE,"CDWR";"PRINT",#N/A,TRUE,"EWEB";"PRINT",#N/A,TRUE,"LADWP";"PRINT",#N/A,TRUE,"NEVBASE"}</definedName>
    <definedName name="shit_3" localSheetId="28" hidden="1">{"PRINT",#N/A,TRUE,"APPA";"PRINT",#N/A,TRUE,"APS";"PRINT",#N/A,TRUE,"BHPL";"PRINT",#N/A,TRUE,"BHPL2";"PRINT",#N/A,TRUE,"CDWR";"PRINT",#N/A,TRUE,"EWEB";"PRINT",#N/A,TRUE,"LADWP";"PRINT",#N/A,TRUE,"NEVBASE"}</definedName>
    <definedName name="shit_3" localSheetId="29" hidden="1">{"PRINT",#N/A,TRUE,"APPA";"PRINT",#N/A,TRUE,"APS";"PRINT",#N/A,TRUE,"BHPL";"PRINT",#N/A,TRUE,"BHPL2";"PRINT",#N/A,TRUE,"CDWR";"PRINT",#N/A,TRUE,"EWEB";"PRINT",#N/A,TRUE,"LADWP";"PRINT",#N/A,TRUE,"NEVBASE"}</definedName>
    <definedName name="shit_3" localSheetId="30" hidden="1">{"PRINT",#N/A,TRUE,"APPA";"PRINT",#N/A,TRUE,"APS";"PRINT",#N/A,TRUE,"BHPL";"PRINT",#N/A,TRUE,"BHPL2";"PRINT",#N/A,TRUE,"CDWR";"PRINT",#N/A,TRUE,"EWEB";"PRINT",#N/A,TRUE,"LADWP";"PRINT",#N/A,TRUE,"NEVBASE"}</definedName>
    <definedName name="shit_3" localSheetId="31" hidden="1">{"PRINT",#N/A,TRUE,"APPA";"PRINT",#N/A,TRUE,"APS";"PRINT",#N/A,TRUE,"BHPL";"PRINT",#N/A,TRUE,"BHPL2";"PRINT",#N/A,TRUE,"CDWR";"PRINT",#N/A,TRUE,"EWEB";"PRINT",#N/A,TRUE,"LADWP";"PRINT",#N/A,TRUE,"NEVBASE"}</definedName>
    <definedName name="shit_3" localSheetId="37" hidden="1">{"PRINT",#N/A,TRUE,"APPA";"PRINT",#N/A,TRUE,"APS";"PRINT",#N/A,TRUE,"BHPL";"PRINT",#N/A,TRUE,"BHPL2";"PRINT",#N/A,TRUE,"CDWR";"PRINT",#N/A,TRUE,"EWEB";"PRINT",#N/A,TRUE,"LADWP";"PRINT",#N/A,TRUE,"NEVBASE"}</definedName>
    <definedName name="shit_3" localSheetId="41" hidden="1">{"PRINT",#N/A,TRUE,"APPA";"PRINT",#N/A,TRUE,"APS";"PRINT",#N/A,TRUE,"BHPL";"PRINT",#N/A,TRUE,"BHPL2";"PRINT",#N/A,TRUE,"CDWR";"PRINT",#N/A,TRUE,"EWEB";"PRINT",#N/A,TRUE,"LADWP";"PRINT",#N/A,TRUE,"NEVBASE"}</definedName>
    <definedName name="shit_3" localSheetId="42" hidden="1">{"PRINT",#N/A,TRUE,"APPA";"PRINT",#N/A,TRUE,"APS";"PRINT",#N/A,TRUE,"BHPL";"PRINT",#N/A,TRUE,"BHPL2";"PRINT",#N/A,TRUE,"CDWR";"PRINT",#N/A,TRUE,"EWEB";"PRINT",#N/A,TRUE,"LADWP";"PRINT",#N/A,TRUE,"NEVBASE"}</definedName>
    <definedName name="shit_3" localSheetId="0" hidden="1">{"PRINT",#N/A,TRUE,"APPA";"PRINT",#N/A,TRUE,"APS";"PRINT",#N/A,TRUE,"BHPL";"PRINT",#N/A,TRUE,"BHPL2";"PRINT",#N/A,TRUE,"CDWR";"PRINT",#N/A,TRUE,"EWEB";"PRINT",#N/A,TRUE,"LADWP";"PRINT",#N/A,TRUE,"NEVBASE"}</definedName>
    <definedName name="shit_3" hidden="1">{"PRINT",#N/A,TRUE,"APPA";"PRINT",#N/A,TRUE,"APS";"PRINT",#N/A,TRUE,"BHPL";"PRINT",#N/A,TRUE,"BHPL2";"PRINT",#N/A,TRUE,"CDWR";"PRINT",#N/A,TRUE,"EWEB";"PRINT",#N/A,TRUE,"LADWP";"PRINT",#N/A,TRUE,"NEVBASE"}</definedName>
    <definedName name="shit_4" localSheetId="1" hidden="1">{"PRINT",#N/A,TRUE,"APPA";"PRINT",#N/A,TRUE,"APS";"PRINT",#N/A,TRUE,"BHPL";"PRINT",#N/A,TRUE,"BHPL2";"PRINT",#N/A,TRUE,"CDWR";"PRINT",#N/A,TRUE,"EWEB";"PRINT",#N/A,TRUE,"LADWP";"PRINT",#N/A,TRUE,"NEVBASE"}</definedName>
    <definedName name="shit_4" localSheetId="3" hidden="1">{"PRINT",#N/A,TRUE,"APPA";"PRINT",#N/A,TRUE,"APS";"PRINT",#N/A,TRUE,"BHPL";"PRINT",#N/A,TRUE,"BHPL2";"PRINT",#N/A,TRUE,"CDWR";"PRINT",#N/A,TRUE,"EWEB";"PRINT",#N/A,TRUE,"LADWP";"PRINT",#N/A,TRUE,"NEVBASE"}</definedName>
    <definedName name="shit_4" localSheetId="4" hidden="1">{"PRINT",#N/A,TRUE,"APPA";"PRINT",#N/A,TRUE,"APS";"PRINT",#N/A,TRUE,"BHPL";"PRINT",#N/A,TRUE,"BHPL2";"PRINT",#N/A,TRUE,"CDWR";"PRINT",#N/A,TRUE,"EWEB";"PRINT",#N/A,TRUE,"LADWP";"PRINT",#N/A,TRUE,"NEVBASE"}</definedName>
    <definedName name="shit_4" localSheetId="18" hidden="1">{"PRINT",#N/A,TRUE,"APPA";"PRINT",#N/A,TRUE,"APS";"PRINT",#N/A,TRUE,"BHPL";"PRINT",#N/A,TRUE,"BHPL2";"PRINT",#N/A,TRUE,"CDWR";"PRINT",#N/A,TRUE,"EWEB";"PRINT",#N/A,TRUE,"LADWP";"PRINT",#N/A,TRUE,"NEVBASE"}</definedName>
    <definedName name="shit_4" localSheetId="19" hidden="1">{"PRINT",#N/A,TRUE,"APPA";"PRINT",#N/A,TRUE,"APS";"PRINT",#N/A,TRUE,"BHPL";"PRINT",#N/A,TRUE,"BHPL2";"PRINT",#N/A,TRUE,"CDWR";"PRINT",#N/A,TRUE,"EWEB";"PRINT",#N/A,TRUE,"LADWP";"PRINT",#N/A,TRUE,"NEVBASE"}</definedName>
    <definedName name="shit_4" localSheetId="20" hidden="1">{"PRINT",#N/A,TRUE,"APPA";"PRINT",#N/A,TRUE,"APS";"PRINT",#N/A,TRUE,"BHPL";"PRINT",#N/A,TRUE,"BHPL2";"PRINT",#N/A,TRUE,"CDWR";"PRINT",#N/A,TRUE,"EWEB";"PRINT",#N/A,TRUE,"LADWP";"PRINT",#N/A,TRUE,"NEVBASE"}</definedName>
    <definedName name="shit_4" localSheetId="21" hidden="1">{"PRINT",#N/A,TRUE,"APPA";"PRINT",#N/A,TRUE,"APS";"PRINT",#N/A,TRUE,"BHPL";"PRINT",#N/A,TRUE,"BHPL2";"PRINT",#N/A,TRUE,"CDWR";"PRINT",#N/A,TRUE,"EWEB";"PRINT",#N/A,TRUE,"LADWP";"PRINT",#N/A,TRUE,"NEVBASE"}</definedName>
    <definedName name="shit_4" localSheetId="24" hidden="1">{"PRINT",#N/A,TRUE,"APPA";"PRINT",#N/A,TRUE,"APS";"PRINT",#N/A,TRUE,"BHPL";"PRINT",#N/A,TRUE,"BHPL2";"PRINT",#N/A,TRUE,"CDWR";"PRINT",#N/A,TRUE,"EWEB";"PRINT",#N/A,TRUE,"LADWP";"PRINT",#N/A,TRUE,"NEVBASE"}</definedName>
    <definedName name="shit_4" localSheetId="27" hidden="1">{"PRINT",#N/A,TRUE,"APPA";"PRINT",#N/A,TRUE,"APS";"PRINT",#N/A,TRUE,"BHPL";"PRINT",#N/A,TRUE,"BHPL2";"PRINT",#N/A,TRUE,"CDWR";"PRINT",#N/A,TRUE,"EWEB";"PRINT",#N/A,TRUE,"LADWP";"PRINT",#N/A,TRUE,"NEVBASE"}</definedName>
    <definedName name="shit_4" localSheetId="28" hidden="1">{"PRINT",#N/A,TRUE,"APPA";"PRINT",#N/A,TRUE,"APS";"PRINT",#N/A,TRUE,"BHPL";"PRINT",#N/A,TRUE,"BHPL2";"PRINT",#N/A,TRUE,"CDWR";"PRINT",#N/A,TRUE,"EWEB";"PRINT",#N/A,TRUE,"LADWP";"PRINT",#N/A,TRUE,"NEVBASE"}</definedName>
    <definedName name="shit_4" localSheetId="29" hidden="1">{"PRINT",#N/A,TRUE,"APPA";"PRINT",#N/A,TRUE,"APS";"PRINT",#N/A,TRUE,"BHPL";"PRINT",#N/A,TRUE,"BHPL2";"PRINT",#N/A,TRUE,"CDWR";"PRINT",#N/A,TRUE,"EWEB";"PRINT",#N/A,TRUE,"LADWP";"PRINT",#N/A,TRUE,"NEVBASE"}</definedName>
    <definedName name="shit_4" localSheetId="30" hidden="1">{"PRINT",#N/A,TRUE,"APPA";"PRINT",#N/A,TRUE,"APS";"PRINT",#N/A,TRUE,"BHPL";"PRINT",#N/A,TRUE,"BHPL2";"PRINT",#N/A,TRUE,"CDWR";"PRINT",#N/A,TRUE,"EWEB";"PRINT",#N/A,TRUE,"LADWP";"PRINT",#N/A,TRUE,"NEVBASE"}</definedName>
    <definedName name="shit_4" localSheetId="31" hidden="1">{"PRINT",#N/A,TRUE,"APPA";"PRINT",#N/A,TRUE,"APS";"PRINT",#N/A,TRUE,"BHPL";"PRINT",#N/A,TRUE,"BHPL2";"PRINT",#N/A,TRUE,"CDWR";"PRINT",#N/A,TRUE,"EWEB";"PRINT",#N/A,TRUE,"LADWP";"PRINT",#N/A,TRUE,"NEVBASE"}</definedName>
    <definedName name="shit_4" localSheetId="37" hidden="1">{"PRINT",#N/A,TRUE,"APPA";"PRINT",#N/A,TRUE,"APS";"PRINT",#N/A,TRUE,"BHPL";"PRINT",#N/A,TRUE,"BHPL2";"PRINT",#N/A,TRUE,"CDWR";"PRINT",#N/A,TRUE,"EWEB";"PRINT",#N/A,TRUE,"LADWP";"PRINT",#N/A,TRUE,"NEVBASE"}</definedName>
    <definedName name="shit_4" localSheetId="41" hidden="1">{"PRINT",#N/A,TRUE,"APPA";"PRINT",#N/A,TRUE,"APS";"PRINT",#N/A,TRUE,"BHPL";"PRINT",#N/A,TRUE,"BHPL2";"PRINT",#N/A,TRUE,"CDWR";"PRINT",#N/A,TRUE,"EWEB";"PRINT",#N/A,TRUE,"LADWP";"PRINT",#N/A,TRUE,"NEVBASE"}</definedName>
    <definedName name="shit_4" localSheetId="42" hidden="1">{"PRINT",#N/A,TRUE,"APPA";"PRINT",#N/A,TRUE,"APS";"PRINT",#N/A,TRUE,"BHPL";"PRINT",#N/A,TRUE,"BHPL2";"PRINT",#N/A,TRUE,"CDWR";"PRINT",#N/A,TRUE,"EWEB";"PRINT",#N/A,TRUE,"LADWP";"PRINT",#N/A,TRUE,"NEVBASE"}</definedName>
    <definedName name="shit_4" localSheetId="0" hidden="1">{"PRINT",#N/A,TRUE,"APPA";"PRINT",#N/A,TRUE,"APS";"PRINT",#N/A,TRUE,"BHPL";"PRINT",#N/A,TRUE,"BHPL2";"PRINT",#N/A,TRUE,"CDWR";"PRINT",#N/A,TRUE,"EWEB";"PRINT",#N/A,TRUE,"LADWP";"PRINT",#N/A,TRUE,"NEVBASE"}</definedName>
    <definedName name="shit_4" hidden="1">{"PRINT",#N/A,TRUE,"APPA";"PRINT",#N/A,TRUE,"APS";"PRINT",#N/A,TRUE,"BHPL";"PRINT",#N/A,TRUE,"BHPL2";"PRINT",#N/A,TRUE,"CDWR";"PRINT",#N/A,TRUE,"EWEB";"PRINT",#N/A,TRUE,"LADWP";"PRINT",#N/A,TRUE,"NEVBASE"}</definedName>
    <definedName name="shit_5" localSheetId="1" hidden="1">{"PRINT",#N/A,TRUE,"APPA";"PRINT",#N/A,TRUE,"APS";"PRINT",#N/A,TRUE,"BHPL";"PRINT",#N/A,TRUE,"BHPL2";"PRINT",#N/A,TRUE,"CDWR";"PRINT",#N/A,TRUE,"EWEB";"PRINT",#N/A,TRUE,"LADWP";"PRINT",#N/A,TRUE,"NEVBASE"}</definedName>
    <definedName name="shit_5" localSheetId="3" hidden="1">{"PRINT",#N/A,TRUE,"APPA";"PRINT",#N/A,TRUE,"APS";"PRINT",#N/A,TRUE,"BHPL";"PRINT",#N/A,TRUE,"BHPL2";"PRINT",#N/A,TRUE,"CDWR";"PRINT",#N/A,TRUE,"EWEB";"PRINT",#N/A,TRUE,"LADWP";"PRINT",#N/A,TRUE,"NEVBASE"}</definedName>
    <definedName name="shit_5" localSheetId="4" hidden="1">{"PRINT",#N/A,TRUE,"APPA";"PRINT",#N/A,TRUE,"APS";"PRINT",#N/A,TRUE,"BHPL";"PRINT",#N/A,TRUE,"BHPL2";"PRINT",#N/A,TRUE,"CDWR";"PRINT",#N/A,TRUE,"EWEB";"PRINT",#N/A,TRUE,"LADWP";"PRINT",#N/A,TRUE,"NEVBASE"}</definedName>
    <definedName name="shit_5" localSheetId="18" hidden="1">{"PRINT",#N/A,TRUE,"APPA";"PRINT",#N/A,TRUE,"APS";"PRINT",#N/A,TRUE,"BHPL";"PRINT",#N/A,TRUE,"BHPL2";"PRINT",#N/A,TRUE,"CDWR";"PRINT",#N/A,TRUE,"EWEB";"PRINT",#N/A,TRUE,"LADWP";"PRINT",#N/A,TRUE,"NEVBASE"}</definedName>
    <definedName name="shit_5" localSheetId="19" hidden="1">{"PRINT",#N/A,TRUE,"APPA";"PRINT",#N/A,TRUE,"APS";"PRINT",#N/A,TRUE,"BHPL";"PRINT",#N/A,TRUE,"BHPL2";"PRINT",#N/A,TRUE,"CDWR";"PRINT",#N/A,TRUE,"EWEB";"PRINT",#N/A,TRUE,"LADWP";"PRINT",#N/A,TRUE,"NEVBASE"}</definedName>
    <definedName name="shit_5" localSheetId="20" hidden="1">{"PRINT",#N/A,TRUE,"APPA";"PRINT",#N/A,TRUE,"APS";"PRINT",#N/A,TRUE,"BHPL";"PRINT",#N/A,TRUE,"BHPL2";"PRINT",#N/A,TRUE,"CDWR";"PRINT",#N/A,TRUE,"EWEB";"PRINT",#N/A,TRUE,"LADWP";"PRINT",#N/A,TRUE,"NEVBASE"}</definedName>
    <definedName name="shit_5" localSheetId="21" hidden="1">{"PRINT",#N/A,TRUE,"APPA";"PRINT",#N/A,TRUE,"APS";"PRINT",#N/A,TRUE,"BHPL";"PRINT",#N/A,TRUE,"BHPL2";"PRINT",#N/A,TRUE,"CDWR";"PRINT",#N/A,TRUE,"EWEB";"PRINT",#N/A,TRUE,"LADWP";"PRINT",#N/A,TRUE,"NEVBASE"}</definedName>
    <definedName name="shit_5" localSheetId="24" hidden="1">{"PRINT",#N/A,TRUE,"APPA";"PRINT",#N/A,TRUE,"APS";"PRINT",#N/A,TRUE,"BHPL";"PRINT",#N/A,TRUE,"BHPL2";"PRINT",#N/A,TRUE,"CDWR";"PRINT",#N/A,TRUE,"EWEB";"PRINT",#N/A,TRUE,"LADWP";"PRINT",#N/A,TRUE,"NEVBASE"}</definedName>
    <definedName name="shit_5" localSheetId="27" hidden="1">{"PRINT",#N/A,TRUE,"APPA";"PRINT",#N/A,TRUE,"APS";"PRINT",#N/A,TRUE,"BHPL";"PRINT",#N/A,TRUE,"BHPL2";"PRINT",#N/A,TRUE,"CDWR";"PRINT",#N/A,TRUE,"EWEB";"PRINT",#N/A,TRUE,"LADWP";"PRINT",#N/A,TRUE,"NEVBASE"}</definedName>
    <definedName name="shit_5" localSheetId="28" hidden="1">{"PRINT",#N/A,TRUE,"APPA";"PRINT",#N/A,TRUE,"APS";"PRINT",#N/A,TRUE,"BHPL";"PRINT",#N/A,TRUE,"BHPL2";"PRINT",#N/A,TRUE,"CDWR";"PRINT",#N/A,TRUE,"EWEB";"PRINT",#N/A,TRUE,"LADWP";"PRINT",#N/A,TRUE,"NEVBASE"}</definedName>
    <definedName name="shit_5" localSheetId="29" hidden="1">{"PRINT",#N/A,TRUE,"APPA";"PRINT",#N/A,TRUE,"APS";"PRINT",#N/A,TRUE,"BHPL";"PRINT",#N/A,TRUE,"BHPL2";"PRINT",#N/A,TRUE,"CDWR";"PRINT",#N/A,TRUE,"EWEB";"PRINT",#N/A,TRUE,"LADWP";"PRINT",#N/A,TRUE,"NEVBASE"}</definedName>
    <definedName name="shit_5" localSheetId="30" hidden="1">{"PRINT",#N/A,TRUE,"APPA";"PRINT",#N/A,TRUE,"APS";"PRINT",#N/A,TRUE,"BHPL";"PRINT",#N/A,TRUE,"BHPL2";"PRINT",#N/A,TRUE,"CDWR";"PRINT",#N/A,TRUE,"EWEB";"PRINT",#N/A,TRUE,"LADWP";"PRINT",#N/A,TRUE,"NEVBASE"}</definedName>
    <definedName name="shit_5" localSheetId="31" hidden="1">{"PRINT",#N/A,TRUE,"APPA";"PRINT",#N/A,TRUE,"APS";"PRINT",#N/A,TRUE,"BHPL";"PRINT",#N/A,TRUE,"BHPL2";"PRINT",#N/A,TRUE,"CDWR";"PRINT",#N/A,TRUE,"EWEB";"PRINT",#N/A,TRUE,"LADWP";"PRINT",#N/A,TRUE,"NEVBASE"}</definedName>
    <definedName name="shit_5" localSheetId="37" hidden="1">{"PRINT",#N/A,TRUE,"APPA";"PRINT",#N/A,TRUE,"APS";"PRINT",#N/A,TRUE,"BHPL";"PRINT",#N/A,TRUE,"BHPL2";"PRINT",#N/A,TRUE,"CDWR";"PRINT",#N/A,TRUE,"EWEB";"PRINT",#N/A,TRUE,"LADWP";"PRINT",#N/A,TRUE,"NEVBASE"}</definedName>
    <definedName name="shit_5" localSheetId="41" hidden="1">{"PRINT",#N/A,TRUE,"APPA";"PRINT",#N/A,TRUE,"APS";"PRINT",#N/A,TRUE,"BHPL";"PRINT",#N/A,TRUE,"BHPL2";"PRINT",#N/A,TRUE,"CDWR";"PRINT",#N/A,TRUE,"EWEB";"PRINT",#N/A,TRUE,"LADWP";"PRINT",#N/A,TRUE,"NEVBASE"}</definedName>
    <definedName name="shit_5" localSheetId="42" hidden="1">{"PRINT",#N/A,TRUE,"APPA";"PRINT",#N/A,TRUE,"APS";"PRINT",#N/A,TRUE,"BHPL";"PRINT",#N/A,TRUE,"BHPL2";"PRINT",#N/A,TRUE,"CDWR";"PRINT",#N/A,TRUE,"EWEB";"PRINT",#N/A,TRUE,"LADWP";"PRINT",#N/A,TRUE,"NEVBASE"}</definedName>
    <definedName name="shit_5" localSheetId="0" hidden="1">{"PRINT",#N/A,TRUE,"APPA";"PRINT",#N/A,TRUE,"APS";"PRINT",#N/A,TRUE,"BHPL";"PRINT",#N/A,TRUE,"BHPL2";"PRINT",#N/A,TRUE,"CDWR";"PRINT",#N/A,TRUE,"EWEB";"PRINT",#N/A,TRUE,"LADWP";"PRINT",#N/A,TRUE,"NEVBASE"}</definedName>
    <definedName name="shit_5" hidden="1">{"PRINT",#N/A,TRUE,"APPA";"PRINT",#N/A,TRUE,"APS";"PRINT",#N/A,TRUE,"BHPL";"PRINT",#N/A,TRUE,"BHPL2";"PRINT",#N/A,TRUE,"CDWR";"PRINT",#N/A,TRUE,"EWEB";"PRINT",#N/A,TRUE,"LADWP";"PRINT",#N/A,TRUE,"NEVBASE"}</definedName>
    <definedName name="Solar_Fixed_CC_West">#REF!</definedName>
    <definedName name="Solar_Tracking_CC_East">#REF!</definedName>
    <definedName name="Solar_Tracking_CC_West">#REF!</definedName>
    <definedName name="SpecMaint" localSheetId="1" hidden="1">{#N/A,#N/A,FALSE,"Summary";#N/A,#N/A,FALSE,"SmPlants";#N/A,#N/A,FALSE,"Utah";#N/A,#N/A,FALSE,"Idaho";#N/A,#N/A,FALSE,"Lewis River";#N/A,#N/A,FALSE,"NrthUmpq";#N/A,#N/A,FALSE,"KlamRog"}</definedName>
    <definedName name="SpecMaint" localSheetId="3" hidden="1">{#N/A,#N/A,FALSE,"Summary";#N/A,#N/A,FALSE,"SmPlants";#N/A,#N/A,FALSE,"Utah";#N/A,#N/A,FALSE,"Idaho";#N/A,#N/A,FALSE,"Lewis River";#N/A,#N/A,FALSE,"NrthUmpq";#N/A,#N/A,FALSE,"KlamRog"}</definedName>
    <definedName name="SpecMaint" localSheetId="4" hidden="1">{#N/A,#N/A,FALSE,"Summary";#N/A,#N/A,FALSE,"SmPlants";#N/A,#N/A,FALSE,"Utah";#N/A,#N/A,FALSE,"Idaho";#N/A,#N/A,FALSE,"Lewis River";#N/A,#N/A,FALSE,"NrthUmpq";#N/A,#N/A,FALSE,"KlamRog"}</definedName>
    <definedName name="SpecMaint" localSheetId="18" hidden="1">{#N/A,#N/A,FALSE,"Summary";#N/A,#N/A,FALSE,"SmPlants";#N/A,#N/A,FALSE,"Utah";#N/A,#N/A,FALSE,"Idaho";#N/A,#N/A,FALSE,"Lewis River";#N/A,#N/A,FALSE,"NrthUmpq";#N/A,#N/A,FALSE,"KlamRog"}</definedName>
    <definedName name="SpecMaint" localSheetId="19" hidden="1">{#N/A,#N/A,FALSE,"Summary";#N/A,#N/A,FALSE,"SmPlants";#N/A,#N/A,FALSE,"Utah";#N/A,#N/A,FALSE,"Idaho";#N/A,#N/A,FALSE,"Lewis River";#N/A,#N/A,FALSE,"NrthUmpq";#N/A,#N/A,FALSE,"KlamRog"}</definedName>
    <definedName name="SpecMaint" localSheetId="20" hidden="1">{#N/A,#N/A,FALSE,"Summary";#N/A,#N/A,FALSE,"SmPlants";#N/A,#N/A,FALSE,"Utah";#N/A,#N/A,FALSE,"Idaho";#N/A,#N/A,FALSE,"Lewis River";#N/A,#N/A,FALSE,"NrthUmpq";#N/A,#N/A,FALSE,"KlamRog"}</definedName>
    <definedName name="SpecMaint" localSheetId="21" hidden="1">{#N/A,#N/A,FALSE,"Summary";#N/A,#N/A,FALSE,"SmPlants";#N/A,#N/A,FALSE,"Utah";#N/A,#N/A,FALSE,"Idaho";#N/A,#N/A,FALSE,"Lewis River";#N/A,#N/A,FALSE,"NrthUmpq";#N/A,#N/A,FALSE,"KlamRog"}</definedName>
    <definedName name="SpecMaint" localSheetId="24" hidden="1">{#N/A,#N/A,FALSE,"Summary";#N/A,#N/A,FALSE,"SmPlants";#N/A,#N/A,FALSE,"Utah";#N/A,#N/A,FALSE,"Idaho";#N/A,#N/A,FALSE,"Lewis River";#N/A,#N/A,FALSE,"NrthUmpq";#N/A,#N/A,FALSE,"KlamRog"}</definedName>
    <definedName name="SpecMaint" localSheetId="27" hidden="1">{#N/A,#N/A,FALSE,"Summary";#N/A,#N/A,FALSE,"SmPlants";#N/A,#N/A,FALSE,"Utah";#N/A,#N/A,FALSE,"Idaho";#N/A,#N/A,FALSE,"Lewis River";#N/A,#N/A,FALSE,"NrthUmpq";#N/A,#N/A,FALSE,"KlamRog"}</definedName>
    <definedName name="SpecMaint" localSheetId="28" hidden="1">{#N/A,#N/A,FALSE,"Summary";#N/A,#N/A,FALSE,"SmPlants";#N/A,#N/A,FALSE,"Utah";#N/A,#N/A,FALSE,"Idaho";#N/A,#N/A,FALSE,"Lewis River";#N/A,#N/A,FALSE,"NrthUmpq";#N/A,#N/A,FALSE,"KlamRog"}</definedName>
    <definedName name="SpecMaint" localSheetId="29" hidden="1">{#N/A,#N/A,FALSE,"Summary";#N/A,#N/A,FALSE,"SmPlants";#N/A,#N/A,FALSE,"Utah";#N/A,#N/A,FALSE,"Idaho";#N/A,#N/A,FALSE,"Lewis River";#N/A,#N/A,FALSE,"NrthUmpq";#N/A,#N/A,FALSE,"KlamRog"}</definedName>
    <definedName name="SpecMaint" localSheetId="30" hidden="1">{#N/A,#N/A,FALSE,"Summary";#N/A,#N/A,FALSE,"SmPlants";#N/A,#N/A,FALSE,"Utah";#N/A,#N/A,FALSE,"Idaho";#N/A,#N/A,FALSE,"Lewis River";#N/A,#N/A,FALSE,"NrthUmpq";#N/A,#N/A,FALSE,"KlamRog"}</definedName>
    <definedName name="SpecMaint" localSheetId="31" hidden="1">{#N/A,#N/A,FALSE,"Summary";#N/A,#N/A,FALSE,"SmPlants";#N/A,#N/A,FALSE,"Utah";#N/A,#N/A,FALSE,"Idaho";#N/A,#N/A,FALSE,"Lewis River";#N/A,#N/A,FALSE,"NrthUmpq";#N/A,#N/A,FALSE,"KlamRog"}</definedName>
    <definedName name="SpecMaint" localSheetId="37" hidden="1">{#N/A,#N/A,FALSE,"Summary";#N/A,#N/A,FALSE,"SmPlants";#N/A,#N/A,FALSE,"Utah";#N/A,#N/A,FALSE,"Idaho";#N/A,#N/A,FALSE,"Lewis River";#N/A,#N/A,FALSE,"NrthUmpq";#N/A,#N/A,FALSE,"KlamRog"}</definedName>
    <definedName name="SpecMaint" localSheetId="41" hidden="1">{#N/A,#N/A,FALSE,"Summary";#N/A,#N/A,FALSE,"SmPlants";#N/A,#N/A,FALSE,"Utah";#N/A,#N/A,FALSE,"Idaho";#N/A,#N/A,FALSE,"Lewis River";#N/A,#N/A,FALSE,"NrthUmpq";#N/A,#N/A,FALSE,"KlamRog"}</definedName>
    <definedName name="SpecMaint" localSheetId="42" hidden="1">{#N/A,#N/A,FALSE,"Summary";#N/A,#N/A,FALSE,"SmPlants";#N/A,#N/A,FALSE,"Utah";#N/A,#N/A,FALSE,"Idaho";#N/A,#N/A,FALSE,"Lewis River";#N/A,#N/A,FALSE,"NrthUmpq";#N/A,#N/A,FALSE,"KlamRog"}</definedName>
    <definedName name="SpecMaint" localSheetId="0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ecMaint_1" localSheetId="1" hidden="1">{#N/A,#N/A,FALSE,"Summary";#N/A,#N/A,FALSE,"SmPlants";#N/A,#N/A,FALSE,"Utah";#N/A,#N/A,FALSE,"Idaho";#N/A,#N/A,FALSE,"Lewis River";#N/A,#N/A,FALSE,"NrthUmpq";#N/A,#N/A,FALSE,"KlamRog"}</definedName>
    <definedName name="SpecMaint_1" localSheetId="3" hidden="1">{#N/A,#N/A,FALSE,"Summary";#N/A,#N/A,FALSE,"SmPlants";#N/A,#N/A,FALSE,"Utah";#N/A,#N/A,FALSE,"Idaho";#N/A,#N/A,FALSE,"Lewis River";#N/A,#N/A,FALSE,"NrthUmpq";#N/A,#N/A,FALSE,"KlamRog"}</definedName>
    <definedName name="SpecMaint_1" localSheetId="4" hidden="1">{#N/A,#N/A,FALSE,"Summary";#N/A,#N/A,FALSE,"SmPlants";#N/A,#N/A,FALSE,"Utah";#N/A,#N/A,FALSE,"Idaho";#N/A,#N/A,FALSE,"Lewis River";#N/A,#N/A,FALSE,"NrthUmpq";#N/A,#N/A,FALSE,"KlamRog"}</definedName>
    <definedName name="SpecMaint_1" localSheetId="18" hidden="1">{#N/A,#N/A,FALSE,"Summary";#N/A,#N/A,FALSE,"SmPlants";#N/A,#N/A,FALSE,"Utah";#N/A,#N/A,FALSE,"Idaho";#N/A,#N/A,FALSE,"Lewis River";#N/A,#N/A,FALSE,"NrthUmpq";#N/A,#N/A,FALSE,"KlamRog"}</definedName>
    <definedName name="SpecMaint_1" localSheetId="19" hidden="1">{#N/A,#N/A,FALSE,"Summary";#N/A,#N/A,FALSE,"SmPlants";#N/A,#N/A,FALSE,"Utah";#N/A,#N/A,FALSE,"Idaho";#N/A,#N/A,FALSE,"Lewis River";#N/A,#N/A,FALSE,"NrthUmpq";#N/A,#N/A,FALSE,"KlamRog"}</definedName>
    <definedName name="SpecMaint_1" localSheetId="20" hidden="1">{#N/A,#N/A,FALSE,"Summary";#N/A,#N/A,FALSE,"SmPlants";#N/A,#N/A,FALSE,"Utah";#N/A,#N/A,FALSE,"Idaho";#N/A,#N/A,FALSE,"Lewis River";#N/A,#N/A,FALSE,"NrthUmpq";#N/A,#N/A,FALSE,"KlamRog"}</definedName>
    <definedName name="SpecMaint_1" localSheetId="21" hidden="1">{#N/A,#N/A,FALSE,"Summary";#N/A,#N/A,FALSE,"SmPlants";#N/A,#N/A,FALSE,"Utah";#N/A,#N/A,FALSE,"Idaho";#N/A,#N/A,FALSE,"Lewis River";#N/A,#N/A,FALSE,"NrthUmpq";#N/A,#N/A,FALSE,"KlamRog"}</definedName>
    <definedName name="SpecMaint_1" localSheetId="24" hidden="1">{#N/A,#N/A,FALSE,"Summary";#N/A,#N/A,FALSE,"SmPlants";#N/A,#N/A,FALSE,"Utah";#N/A,#N/A,FALSE,"Idaho";#N/A,#N/A,FALSE,"Lewis River";#N/A,#N/A,FALSE,"NrthUmpq";#N/A,#N/A,FALSE,"KlamRog"}</definedName>
    <definedName name="SpecMaint_1" localSheetId="27" hidden="1">{#N/A,#N/A,FALSE,"Summary";#N/A,#N/A,FALSE,"SmPlants";#N/A,#N/A,FALSE,"Utah";#N/A,#N/A,FALSE,"Idaho";#N/A,#N/A,FALSE,"Lewis River";#N/A,#N/A,FALSE,"NrthUmpq";#N/A,#N/A,FALSE,"KlamRog"}</definedName>
    <definedName name="SpecMaint_1" localSheetId="28" hidden="1">{#N/A,#N/A,FALSE,"Summary";#N/A,#N/A,FALSE,"SmPlants";#N/A,#N/A,FALSE,"Utah";#N/A,#N/A,FALSE,"Idaho";#N/A,#N/A,FALSE,"Lewis River";#N/A,#N/A,FALSE,"NrthUmpq";#N/A,#N/A,FALSE,"KlamRog"}</definedName>
    <definedName name="SpecMaint_1" localSheetId="29" hidden="1">{#N/A,#N/A,FALSE,"Summary";#N/A,#N/A,FALSE,"SmPlants";#N/A,#N/A,FALSE,"Utah";#N/A,#N/A,FALSE,"Idaho";#N/A,#N/A,FALSE,"Lewis River";#N/A,#N/A,FALSE,"NrthUmpq";#N/A,#N/A,FALSE,"KlamRog"}</definedName>
    <definedName name="SpecMaint_1" localSheetId="30" hidden="1">{#N/A,#N/A,FALSE,"Summary";#N/A,#N/A,FALSE,"SmPlants";#N/A,#N/A,FALSE,"Utah";#N/A,#N/A,FALSE,"Idaho";#N/A,#N/A,FALSE,"Lewis River";#N/A,#N/A,FALSE,"NrthUmpq";#N/A,#N/A,FALSE,"KlamRog"}</definedName>
    <definedName name="SpecMaint_1" localSheetId="31" hidden="1">{#N/A,#N/A,FALSE,"Summary";#N/A,#N/A,FALSE,"SmPlants";#N/A,#N/A,FALSE,"Utah";#N/A,#N/A,FALSE,"Idaho";#N/A,#N/A,FALSE,"Lewis River";#N/A,#N/A,FALSE,"NrthUmpq";#N/A,#N/A,FALSE,"KlamRog"}</definedName>
    <definedName name="SpecMaint_1" localSheetId="37" hidden="1">{#N/A,#N/A,FALSE,"Summary";#N/A,#N/A,FALSE,"SmPlants";#N/A,#N/A,FALSE,"Utah";#N/A,#N/A,FALSE,"Idaho";#N/A,#N/A,FALSE,"Lewis River";#N/A,#N/A,FALSE,"NrthUmpq";#N/A,#N/A,FALSE,"KlamRog"}</definedName>
    <definedName name="SpecMaint_1" localSheetId="41" hidden="1">{#N/A,#N/A,FALSE,"Summary";#N/A,#N/A,FALSE,"SmPlants";#N/A,#N/A,FALSE,"Utah";#N/A,#N/A,FALSE,"Idaho";#N/A,#N/A,FALSE,"Lewis River";#N/A,#N/A,FALSE,"NrthUmpq";#N/A,#N/A,FALSE,"KlamRog"}</definedName>
    <definedName name="SpecMaint_1" localSheetId="42" hidden="1">{#N/A,#N/A,FALSE,"Summary";#N/A,#N/A,FALSE,"SmPlants";#N/A,#N/A,FALSE,"Utah";#N/A,#N/A,FALSE,"Idaho";#N/A,#N/A,FALSE,"Lewis River";#N/A,#N/A,FALSE,"NrthUmpq";#N/A,#N/A,FALSE,"KlamRog"}</definedName>
    <definedName name="SpecMaint_1" localSheetId="0" hidden="1">{#N/A,#N/A,FALSE,"Summary";#N/A,#N/A,FALSE,"SmPlants";#N/A,#N/A,FALSE,"Utah";#N/A,#N/A,FALSE,"Idaho";#N/A,#N/A,FALSE,"Lewis River";#N/A,#N/A,FALSE,"NrthUmpq";#N/A,#N/A,FALSE,"KlamRog"}</definedName>
    <definedName name="SpecMaint_1" hidden="1">{#N/A,#N/A,FALSE,"Summary";#N/A,#N/A,FALSE,"SmPlants";#N/A,#N/A,FALSE,"Utah";#N/A,#N/A,FALSE,"Idaho";#N/A,#N/A,FALSE,"Lewis River";#N/A,#N/A,FALSE,"NrthUmpq";#N/A,#N/A,FALSE,"KlamRog"}</definedName>
    <definedName name="SpecMaint_2" localSheetId="1" hidden="1">{#N/A,#N/A,FALSE,"Summary";#N/A,#N/A,FALSE,"SmPlants";#N/A,#N/A,FALSE,"Utah";#N/A,#N/A,FALSE,"Idaho";#N/A,#N/A,FALSE,"Lewis River";#N/A,#N/A,FALSE,"NrthUmpq";#N/A,#N/A,FALSE,"KlamRog"}</definedName>
    <definedName name="SpecMaint_2" localSheetId="3" hidden="1">{#N/A,#N/A,FALSE,"Summary";#N/A,#N/A,FALSE,"SmPlants";#N/A,#N/A,FALSE,"Utah";#N/A,#N/A,FALSE,"Idaho";#N/A,#N/A,FALSE,"Lewis River";#N/A,#N/A,FALSE,"NrthUmpq";#N/A,#N/A,FALSE,"KlamRog"}</definedName>
    <definedName name="SpecMaint_2" localSheetId="4" hidden="1">{#N/A,#N/A,FALSE,"Summary";#N/A,#N/A,FALSE,"SmPlants";#N/A,#N/A,FALSE,"Utah";#N/A,#N/A,FALSE,"Idaho";#N/A,#N/A,FALSE,"Lewis River";#N/A,#N/A,FALSE,"NrthUmpq";#N/A,#N/A,FALSE,"KlamRog"}</definedName>
    <definedName name="SpecMaint_2" localSheetId="18" hidden="1">{#N/A,#N/A,FALSE,"Summary";#N/A,#N/A,FALSE,"SmPlants";#N/A,#N/A,FALSE,"Utah";#N/A,#N/A,FALSE,"Idaho";#N/A,#N/A,FALSE,"Lewis River";#N/A,#N/A,FALSE,"NrthUmpq";#N/A,#N/A,FALSE,"KlamRog"}</definedName>
    <definedName name="SpecMaint_2" localSheetId="19" hidden="1">{#N/A,#N/A,FALSE,"Summary";#N/A,#N/A,FALSE,"SmPlants";#N/A,#N/A,FALSE,"Utah";#N/A,#N/A,FALSE,"Idaho";#N/A,#N/A,FALSE,"Lewis River";#N/A,#N/A,FALSE,"NrthUmpq";#N/A,#N/A,FALSE,"KlamRog"}</definedName>
    <definedName name="SpecMaint_2" localSheetId="20" hidden="1">{#N/A,#N/A,FALSE,"Summary";#N/A,#N/A,FALSE,"SmPlants";#N/A,#N/A,FALSE,"Utah";#N/A,#N/A,FALSE,"Idaho";#N/A,#N/A,FALSE,"Lewis River";#N/A,#N/A,FALSE,"NrthUmpq";#N/A,#N/A,FALSE,"KlamRog"}</definedName>
    <definedName name="SpecMaint_2" localSheetId="21" hidden="1">{#N/A,#N/A,FALSE,"Summary";#N/A,#N/A,FALSE,"SmPlants";#N/A,#N/A,FALSE,"Utah";#N/A,#N/A,FALSE,"Idaho";#N/A,#N/A,FALSE,"Lewis River";#N/A,#N/A,FALSE,"NrthUmpq";#N/A,#N/A,FALSE,"KlamRog"}</definedName>
    <definedName name="SpecMaint_2" localSheetId="24" hidden="1">{#N/A,#N/A,FALSE,"Summary";#N/A,#N/A,FALSE,"SmPlants";#N/A,#N/A,FALSE,"Utah";#N/A,#N/A,FALSE,"Idaho";#N/A,#N/A,FALSE,"Lewis River";#N/A,#N/A,FALSE,"NrthUmpq";#N/A,#N/A,FALSE,"KlamRog"}</definedName>
    <definedName name="SpecMaint_2" localSheetId="27" hidden="1">{#N/A,#N/A,FALSE,"Summary";#N/A,#N/A,FALSE,"SmPlants";#N/A,#N/A,FALSE,"Utah";#N/A,#N/A,FALSE,"Idaho";#N/A,#N/A,FALSE,"Lewis River";#N/A,#N/A,FALSE,"NrthUmpq";#N/A,#N/A,FALSE,"KlamRog"}</definedName>
    <definedName name="SpecMaint_2" localSheetId="28" hidden="1">{#N/A,#N/A,FALSE,"Summary";#N/A,#N/A,FALSE,"SmPlants";#N/A,#N/A,FALSE,"Utah";#N/A,#N/A,FALSE,"Idaho";#N/A,#N/A,FALSE,"Lewis River";#N/A,#N/A,FALSE,"NrthUmpq";#N/A,#N/A,FALSE,"KlamRog"}</definedName>
    <definedName name="SpecMaint_2" localSheetId="29" hidden="1">{#N/A,#N/A,FALSE,"Summary";#N/A,#N/A,FALSE,"SmPlants";#N/A,#N/A,FALSE,"Utah";#N/A,#N/A,FALSE,"Idaho";#N/A,#N/A,FALSE,"Lewis River";#N/A,#N/A,FALSE,"NrthUmpq";#N/A,#N/A,FALSE,"KlamRog"}</definedName>
    <definedName name="SpecMaint_2" localSheetId="30" hidden="1">{#N/A,#N/A,FALSE,"Summary";#N/A,#N/A,FALSE,"SmPlants";#N/A,#N/A,FALSE,"Utah";#N/A,#N/A,FALSE,"Idaho";#N/A,#N/A,FALSE,"Lewis River";#N/A,#N/A,FALSE,"NrthUmpq";#N/A,#N/A,FALSE,"KlamRog"}</definedName>
    <definedName name="SpecMaint_2" localSheetId="31" hidden="1">{#N/A,#N/A,FALSE,"Summary";#N/A,#N/A,FALSE,"SmPlants";#N/A,#N/A,FALSE,"Utah";#N/A,#N/A,FALSE,"Idaho";#N/A,#N/A,FALSE,"Lewis River";#N/A,#N/A,FALSE,"NrthUmpq";#N/A,#N/A,FALSE,"KlamRog"}</definedName>
    <definedName name="SpecMaint_2" localSheetId="37" hidden="1">{#N/A,#N/A,FALSE,"Summary";#N/A,#N/A,FALSE,"SmPlants";#N/A,#N/A,FALSE,"Utah";#N/A,#N/A,FALSE,"Idaho";#N/A,#N/A,FALSE,"Lewis River";#N/A,#N/A,FALSE,"NrthUmpq";#N/A,#N/A,FALSE,"KlamRog"}</definedName>
    <definedName name="SpecMaint_2" localSheetId="41" hidden="1">{#N/A,#N/A,FALSE,"Summary";#N/A,#N/A,FALSE,"SmPlants";#N/A,#N/A,FALSE,"Utah";#N/A,#N/A,FALSE,"Idaho";#N/A,#N/A,FALSE,"Lewis River";#N/A,#N/A,FALSE,"NrthUmpq";#N/A,#N/A,FALSE,"KlamRog"}</definedName>
    <definedName name="SpecMaint_2" localSheetId="42" hidden="1">{#N/A,#N/A,FALSE,"Summary";#N/A,#N/A,FALSE,"SmPlants";#N/A,#N/A,FALSE,"Utah";#N/A,#N/A,FALSE,"Idaho";#N/A,#N/A,FALSE,"Lewis River";#N/A,#N/A,FALSE,"NrthUmpq";#N/A,#N/A,FALSE,"KlamRog"}</definedName>
    <definedName name="SpecMaint_2" localSheetId="0" hidden="1">{#N/A,#N/A,FALSE,"Summary";#N/A,#N/A,FALSE,"SmPlants";#N/A,#N/A,FALSE,"Utah";#N/A,#N/A,FALSE,"Idaho";#N/A,#N/A,FALSE,"Lewis River";#N/A,#N/A,FALSE,"NrthUmpq";#N/A,#N/A,FALSE,"KlamRog"}</definedName>
    <definedName name="SpecMaint_2" hidden="1">{#N/A,#N/A,FALSE,"Summary";#N/A,#N/A,FALSE,"SmPlants";#N/A,#N/A,FALSE,"Utah";#N/A,#N/A,FALSE,"Idaho";#N/A,#N/A,FALSE,"Lewis River";#N/A,#N/A,FALSE,"NrthUmpq";#N/A,#N/A,FALSE,"KlamRog"}</definedName>
    <definedName name="SpecMaint_3" localSheetId="1" hidden="1">{#N/A,#N/A,FALSE,"Summary";#N/A,#N/A,FALSE,"SmPlants";#N/A,#N/A,FALSE,"Utah";#N/A,#N/A,FALSE,"Idaho";#N/A,#N/A,FALSE,"Lewis River";#N/A,#N/A,FALSE,"NrthUmpq";#N/A,#N/A,FALSE,"KlamRog"}</definedName>
    <definedName name="SpecMaint_3" localSheetId="3" hidden="1">{#N/A,#N/A,FALSE,"Summary";#N/A,#N/A,FALSE,"SmPlants";#N/A,#N/A,FALSE,"Utah";#N/A,#N/A,FALSE,"Idaho";#N/A,#N/A,FALSE,"Lewis River";#N/A,#N/A,FALSE,"NrthUmpq";#N/A,#N/A,FALSE,"KlamRog"}</definedName>
    <definedName name="SpecMaint_3" localSheetId="4" hidden="1">{#N/A,#N/A,FALSE,"Summary";#N/A,#N/A,FALSE,"SmPlants";#N/A,#N/A,FALSE,"Utah";#N/A,#N/A,FALSE,"Idaho";#N/A,#N/A,FALSE,"Lewis River";#N/A,#N/A,FALSE,"NrthUmpq";#N/A,#N/A,FALSE,"KlamRog"}</definedName>
    <definedName name="SpecMaint_3" localSheetId="18" hidden="1">{#N/A,#N/A,FALSE,"Summary";#N/A,#N/A,FALSE,"SmPlants";#N/A,#N/A,FALSE,"Utah";#N/A,#N/A,FALSE,"Idaho";#N/A,#N/A,FALSE,"Lewis River";#N/A,#N/A,FALSE,"NrthUmpq";#N/A,#N/A,FALSE,"KlamRog"}</definedName>
    <definedName name="SpecMaint_3" localSheetId="19" hidden="1">{#N/A,#N/A,FALSE,"Summary";#N/A,#N/A,FALSE,"SmPlants";#N/A,#N/A,FALSE,"Utah";#N/A,#N/A,FALSE,"Idaho";#N/A,#N/A,FALSE,"Lewis River";#N/A,#N/A,FALSE,"NrthUmpq";#N/A,#N/A,FALSE,"KlamRog"}</definedName>
    <definedName name="SpecMaint_3" localSheetId="20" hidden="1">{#N/A,#N/A,FALSE,"Summary";#N/A,#N/A,FALSE,"SmPlants";#N/A,#N/A,FALSE,"Utah";#N/A,#N/A,FALSE,"Idaho";#N/A,#N/A,FALSE,"Lewis River";#N/A,#N/A,FALSE,"NrthUmpq";#N/A,#N/A,FALSE,"KlamRog"}</definedName>
    <definedName name="SpecMaint_3" localSheetId="21" hidden="1">{#N/A,#N/A,FALSE,"Summary";#N/A,#N/A,FALSE,"SmPlants";#N/A,#N/A,FALSE,"Utah";#N/A,#N/A,FALSE,"Idaho";#N/A,#N/A,FALSE,"Lewis River";#N/A,#N/A,FALSE,"NrthUmpq";#N/A,#N/A,FALSE,"KlamRog"}</definedName>
    <definedName name="SpecMaint_3" localSheetId="24" hidden="1">{#N/A,#N/A,FALSE,"Summary";#N/A,#N/A,FALSE,"SmPlants";#N/A,#N/A,FALSE,"Utah";#N/A,#N/A,FALSE,"Idaho";#N/A,#N/A,FALSE,"Lewis River";#N/A,#N/A,FALSE,"NrthUmpq";#N/A,#N/A,FALSE,"KlamRog"}</definedName>
    <definedName name="SpecMaint_3" localSheetId="27" hidden="1">{#N/A,#N/A,FALSE,"Summary";#N/A,#N/A,FALSE,"SmPlants";#N/A,#N/A,FALSE,"Utah";#N/A,#N/A,FALSE,"Idaho";#N/A,#N/A,FALSE,"Lewis River";#N/A,#N/A,FALSE,"NrthUmpq";#N/A,#N/A,FALSE,"KlamRog"}</definedName>
    <definedName name="SpecMaint_3" localSheetId="28" hidden="1">{#N/A,#N/A,FALSE,"Summary";#N/A,#N/A,FALSE,"SmPlants";#N/A,#N/A,FALSE,"Utah";#N/A,#N/A,FALSE,"Idaho";#N/A,#N/A,FALSE,"Lewis River";#N/A,#N/A,FALSE,"NrthUmpq";#N/A,#N/A,FALSE,"KlamRog"}</definedName>
    <definedName name="SpecMaint_3" localSheetId="29" hidden="1">{#N/A,#N/A,FALSE,"Summary";#N/A,#N/A,FALSE,"SmPlants";#N/A,#N/A,FALSE,"Utah";#N/A,#N/A,FALSE,"Idaho";#N/A,#N/A,FALSE,"Lewis River";#N/A,#N/A,FALSE,"NrthUmpq";#N/A,#N/A,FALSE,"KlamRog"}</definedName>
    <definedName name="SpecMaint_3" localSheetId="30" hidden="1">{#N/A,#N/A,FALSE,"Summary";#N/A,#N/A,FALSE,"SmPlants";#N/A,#N/A,FALSE,"Utah";#N/A,#N/A,FALSE,"Idaho";#N/A,#N/A,FALSE,"Lewis River";#N/A,#N/A,FALSE,"NrthUmpq";#N/A,#N/A,FALSE,"KlamRog"}</definedName>
    <definedName name="SpecMaint_3" localSheetId="31" hidden="1">{#N/A,#N/A,FALSE,"Summary";#N/A,#N/A,FALSE,"SmPlants";#N/A,#N/A,FALSE,"Utah";#N/A,#N/A,FALSE,"Idaho";#N/A,#N/A,FALSE,"Lewis River";#N/A,#N/A,FALSE,"NrthUmpq";#N/A,#N/A,FALSE,"KlamRog"}</definedName>
    <definedName name="SpecMaint_3" localSheetId="37" hidden="1">{#N/A,#N/A,FALSE,"Summary";#N/A,#N/A,FALSE,"SmPlants";#N/A,#N/A,FALSE,"Utah";#N/A,#N/A,FALSE,"Idaho";#N/A,#N/A,FALSE,"Lewis River";#N/A,#N/A,FALSE,"NrthUmpq";#N/A,#N/A,FALSE,"KlamRog"}</definedName>
    <definedName name="SpecMaint_3" localSheetId="41" hidden="1">{#N/A,#N/A,FALSE,"Summary";#N/A,#N/A,FALSE,"SmPlants";#N/A,#N/A,FALSE,"Utah";#N/A,#N/A,FALSE,"Idaho";#N/A,#N/A,FALSE,"Lewis River";#N/A,#N/A,FALSE,"NrthUmpq";#N/A,#N/A,FALSE,"KlamRog"}</definedName>
    <definedName name="SpecMaint_3" localSheetId="42" hidden="1">{#N/A,#N/A,FALSE,"Summary";#N/A,#N/A,FALSE,"SmPlants";#N/A,#N/A,FALSE,"Utah";#N/A,#N/A,FALSE,"Idaho";#N/A,#N/A,FALSE,"Lewis River";#N/A,#N/A,FALSE,"NrthUmpq";#N/A,#N/A,FALSE,"KlamRog"}</definedName>
    <definedName name="SpecMaint_3" localSheetId="0" hidden="1">{#N/A,#N/A,FALSE,"Summary";#N/A,#N/A,FALSE,"SmPlants";#N/A,#N/A,FALSE,"Utah";#N/A,#N/A,FALSE,"Idaho";#N/A,#N/A,FALSE,"Lewis River";#N/A,#N/A,FALSE,"NrthUmpq";#N/A,#N/A,FALSE,"KlamRog"}</definedName>
    <definedName name="SpecMaint_3" hidden="1">{#N/A,#N/A,FALSE,"Summary";#N/A,#N/A,FALSE,"SmPlants";#N/A,#N/A,FALSE,"Utah";#N/A,#N/A,FALSE,"Idaho";#N/A,#N/A,FALSE,"Lewis River";#N/A,#N/A,FALSE,"NrthUmpq";#N/A,#N/A,FALSE,"KlamRog"}</definedName>
    <definedName name="SpecMaint_4" localSheetId="1" hidden="1">{#N/A,#N/A,FALSE,"Summary";#N/A,#N/A,FALSE,"SmPlants";#N/A,#N/A,FALSE,"Utah";#N/A,#N/A,FALSE,"Idaho";#N/A,#N/A,FALSE,"Lewis River";#N/A,#N/A,FALSE,"NrthUmpq";#N/A,#N/A,FALSE,"KlamRog"}</definedName>
    <definedName name="SpecMaint_4" localSheetId="3" hidden="1">{#N/A,#N/A,FALSE,"Summary";#N/A,#N/A,FALSE,"SmPlants";#N/A,#N/A,FALSE,"Utah";#N/A,#N/A,FALSE,"Idaho";#N/A,#N/A,FALSE,"Lewis River";#N/A,#N/A,FALSE,"NrthUmpq";#N/A,#N/A,FALSE,"KlamRog"}</definedName>
    <definedName name="SpecMaint_4" localSheetId="4" hidden="1">{#N/A,#N/A,FALSE,"Summary";#N/A,#N/A,FALSE,"SmPlants";#N/A,#N/A,FALSE,"Utah";#N/A,#N/A,FALSE,"Idaho";#N/A,#N/A,FALSE,"Lewis River";#N/A,#N/A,FALSE,"NrthUmpq";#N/A,#N/A,FALSE,"KlamRog"}</definedName>
    <definedName name="SpecMaint_4" localSheetId="18" hidden="1">{#N/A,#N/A,FALSE,"Summary";#N/A,#N/A,FALSE,"SmPlants";#N/A,#N/A,FALSE,"Utah";#N/A,#N/A,FALSE,"Idaho";#N/A,#N/A,FALSE,"Lewis River";#N/A,#N/A,FALSE,"NrthUmpq";#N/A,#N/A,FALSE,"KlamRog"}</definedName>
    <definedName name="SpecMaint_4" localSheetId="19" hidden="1">{#N/A,#N/A,FALSE,"Summary";#N/A,#N/A,FALSE,"SmPlants";#N/A,#N/A,FALSE,"Utah";#N/A,#N/A,FALSE,"Idaho";#N/A,#N/A,FALSE,"Lewis River";#N/A,#N/A,FALSE,"NrthUmpq";#N/A,#N/A,FALSE,"KlamRog"}</definedName>
    <definedName name="SpecMaint_4" localSheetId="20" hidden="1">{#N/A,#N/A,FALSE,"Summary";#N/A,#N/A,FALSE,"SmPlants";#N/A,#N/A,FALSE,"Utah";#N/A,#N/A,FALSE,"Idaho";#N/A,#N/A,FALSE,"Lewis River";#N/A,#N/A,FALSE,"NrthUmpq";#N/A,#N/A,FALSE,"KlamRog"}</definedName>
    <definedName name="SpecMaint_4" localSheetId="21" hidden="1">{#N/A,#N/A,FALSE,"Summary";#N/A,#N/A,FALSE,"SmPlants";#N/A,#N/A,FALSE,"Utah";#N/A,#N/A,FALSE,"Idaho";#N/A,#N/A,FALSE,"Lewis River";#N/A,#N/A,FALSE,"NrthUmpq";#N/A,#N/A,FALSE,"KlamRog"}</definedName>
    <definedName name="SpecMaint_4" localSheetId="24" hidden="1">{#N/A,#N/A,FALSE,"Summary";#N/A,#N/A,FALSE,"SmPlants";#N/A,#N/A,FALSE,"Utah";#N/A,#N/A,FALSE,"Idaho";#N/A,#N/A,FALSE,"Lewis River";#N/A,#N/A,FALSE,"NrthUmpq";#N/A,#N/A,FALSE,"KlamRog"}</definedName>
    <definedName name="SpecMaint_4" localSheetId="27" hidden="1">{#N/A,#N/A,FALSE,"Summary";#N/A,#N/A,FALSE,"SmPlants";#N/A,#N/A,FALSE,"Utah";#N/A,#N/A,FALSE,"Idaho";#N/A,#N/A,FALSE,"Lewis River";#N/A,#N/A,FALSE,"NrthUmpq";#N/A,#N/A,FALSE,"KlamRog"}</definedName>
    <definedName name="SpecMaint_4" localSheetId="28" hidden="1">{#N/A,#N/A,FALSE,"Summary";#N/A,#N/A,FALSE,"SmPlants";#N/A,#N/A,FALSE,"Utah";#N/A,#N/A,FALSE,"Idaho";#N/A,#N/A,FALSE,"Lewis River";#N/A,#N/A,FALSE,"NrthUmpq";#N/A,#N/A,FALSE,"KlamRog"}</definedName>
    <definedName name="SpecMaint_4" localSheetId="29" hidden="1">{#N/A,#N/A,FALSE,"Summary";#N/A,#N/A,FALSE,"SmPlants";#N/A,#N/A,FALSE,"Utah";#N/A,#N/A,FALSE,"Idaho";#N/A,#N/A,FALSE,"Lewis River";#N/A,#N/A,FALSE,"NrthUmpq";#N/A,#N/A,FALSE,"KlamRog"}</definedName>
    <definedName name="SpecMaint_4" localSheetId="30" hidden="1">{#N/A,#N/A,FALSE,"Summary";#N/A,#N/A,FALSE,"SmPlants";#N/A,#N/A,FALSE,"Utah";#N/A,#N/A,FALSE,"Idaho";#N/A,#N/A,FALSE,"Lewis River";#N/A,#N/A,FALSE,"NrthUmpq";#N/A,#N/A,FALSE,"KlamRog"}</definedName>
    <definedName name="SpecMaint_4" localSheetId="31" hidden="1">{#N/A,#N/A,FALSE,"Summary";#N/A,#N/A,FALSE,"SmPlants";#N/A,#N/A,FALSE,"Utah";#N/A,#N/A,FALSE,"Idaho";#N/A,#N/A,FALSE,"Lewis River";#N/A,#N/A,FALSE,"NrthUmpq";#N/A,#N/A,FALSE,"KlamRog"}</definedName>
    <definedName name="SpecMaint_4" localSheetId="37" hidden="1">{#N/A,#N/A,FALSE,"Summary";#N/A,#N/A,FALSE,"SmPlants";#N/A,#N/A,FALSE,"Utah";#N/A,#N/A,FALSE,"Idaho";#N/A,#N/A,FALSE,"Lewis River";#N/A,#N/A,FALSE,"NrthUmpq";#N/A,#N/A,FALSE,"KlamRog"}</definedName>
    <definedName name="SpecMaint_4" localSheetId="41" hidden="1">{#N/A,#N/A,FALSE,"Summary";#N/A,#N/A,FALSE,"SmPlants";#N/A,#N/A,FALSE,"Utah";#N/A,#N/A,FALSE,"Idaho";#N/A,#N/A,FALSE,"Lewis River";#N/A,#N/A,FALSE,"NrthUmpq";#N/A,#N/A,FALSE,"KlamRog"}</definedName>
    <definedName name="SpecMaint_4" localSheetId="42" hidden="1">{#N/A,#N/A,FALSE,"Summary";#N/A,#N/A,FALSE,"SmPlants";#N/A,#N/A,FALSE,"Utah";#N/A,#N/A,FALSE,"Idaho";#N/A,#N/A,FALSE,"Lewis River";#N/A,#N/A,FALSE,"NrthUmpq";#N/A,#N/A,FALSE,"KlamRog"}</definedName>
    <definedName name="SpecMaint_4" localSheetId="0" hidden="1">{#N/A,#N/A,FALSE,"Summary";#N/A,#N/A,FALSE,"SmPlants";#N/A,#N/A,FALSE,"Utah";#N/A,#N/A,FALSE,"Idaho";#N/A,#N/A,FALSE,"Lewis River";#N/A,#N/A,FALSE,"NrthUmpq";#N/A,#N/A,FALSE,"KlamRog"}</definedName>
    <definedName name="SpecMaint_4" hidden="1">{#N/A,#N/A,FALSE,"Summary";#N/A,#N/A,FALSE,"SmPlants";#N/A,#N/A,FALSE,"Utah";#N/A,#N/A,FALSE,"Idaho";#N/A,#N/A,FALSE,"Lewis River";#N/A,#N/A,FALSE,"NrthUmpq";#N/A,#N/A,FALSE,"KlamRog"}</definedName>
    <definedName name="SpecMaint_5" localSheetId="1" hidden="1">{#N/A,#N/A,FALSE,"Summary";#N/A,#N/A,FALSE,"SmPlants";#N/A,#N/A,FALSE,"Utah";#N/A,#N/A,FALSE,"Idaho";#N/A,#N/A,FALSE,"Lewis River";#N/A,#N/A,FALSE,"NrthUmpq";#N/A,#N/A,FALSE,"KlamRog"}</definedName>
    <definedName name="SpecMaint_5" localSheetId="3" hidden="1">{#N/A,#N/A,FALSE,"Summary";#N/A,#N/A,FALSE,"SmPlants";#N/A,#N/A,FALSE,"Utah";#N/A,#N/A,FALSE,"Idaho";#N/A,#N/A,FALSE,"Lewis River";#N/A,#N/A,FALSE,"NrthUmpq";#N/A,#N/A,FALSE,"KlamRog"}</definedName>
    <definedName name="SpecMaint_5" localSheetId="4" hidden="1">{#N/A,#N/A,FALSE,"Summary";#N/A,#N/A,FALSE,"SmPlants";#N/A,#N/A,FALSE,"Utah";#N/A,#N/A,FALSE,"Idaho";#N/A,#N/A,FALSE,"Lewis River";#N/A,#N/A,FALSE,"NrthUmpq";#N/A,#N/A,FALSE,"KlamRog"}</definedName>
    <definedName name="SpecMaint_5" localSheetId="18" hidden="1">{#N/A,#N/A,FALSE,"Summary";#N/A,#N/A,FALSE,"SmPlants";#N/A,#N/A,FALSE,"Utah";#N/A,#N/A,FALSE,"Idaho";#N/A,#N/A,FALSE,"Lewis River";#N/A,#N/A,FALSE,"NrthUmpq";#N/A,#N/A,FALSE,"KlamRog"}</definedName>
    <definedName name="SpecMaint_5" localSheetId="19" hidden="1">{#N/A,#N/A,FALSE,"Summary";#N/A,#N/A,FALSE,"SmPlants";#N/A,#N/A,FALSE,"Utah";#N/A,#N/A,FALSE,"Idaho";#N/A,#N/A,FALSE,"Lewis River";#N/A,#N/A,FALSE,"NrthUmpq";#N/A,#N/A,FALSE,"KlamRog"}</definedName>
    <definedName name="SpecMaint_5" localSheetId="20" hidden="1">{#N/A,#N/A,FALSE,"Summary";#N/A,#N/A,FALSE,"SmPlants";#N/A,#N/A,FALSE,"Utah";#N/A,#N/A,FALSE,"Idaho";#N/A,#N/A,FALSE,"Lewis River";#N/A,#N/A,FALSE,"NrthUmpq";#N/A,#N/A,FALSE,"KlamRog"}</definedName>
    <definedName name="SpecMaint_5" localSheetId="21" hidden="1">{#N/A,#N/A,FALSE,"Summary";#N/A,#N/A,FALSE,"SmPlants";#N/A,#N/A,FALSE,"Utah";#N/A,#N/A,FALSE,"Idaho";#N/A,#N/A,FALSE,"Lewis River";#N/A,#N/A,FALSE,"NrthUmpq";#N/A,#N/A,FALSE,"KlamRog"}</definedName>
    <definedName name="SpecMaint_5" localSheetId="24" hidden="1">{#N/A,#N/A,FALSE,"Summary";#N/A,#N/A,FALSE,"SmPlants";#N/A,#N/A,FALSE,"Utah";#N/A,#N/A,FALSE,"Idaho";#N/A,#N/A,FALSE,"Lewis River";#N/A,#N/A,FALSE,"NrthUmpq";#N/A,#N/A,FALSE,"KlamRog"}</definedName>
    <definedName name="SpecMaint_5" localSheetId="27" hidden="1">{#N/A,#N/A,FALSE,"Summary";#N/A,#N/A,FALSE,"SmPlants";#N/A,#N/A,FALSE,"Utah";#N/A,#N/A,FALSE,"Idaho";#N/A,#N/A,FALSE,"Lewis River";#N/A,#N/A,FALSE,"NrthUmpq";#N/A,#N/A,FALSE,"KlamRog"}</definedName>
    <definedName name="SpecMaint_5" localSheetId="28" hidden="1">{#N/A,#N/A,FALSE,"Summary";#N/A,#N/A,FALSE,"SmPlants";#N/A,#N/A,FALSE,"Utah";#N/A,#N/A,FALSE,"Idaho";#N/A,#N/A,FALSE,"Lewis River";#N/A,#N/A,FALSE,"NrthUmpq";#N/A,#N/A,FALSE,"KlamRog"}</definedName>
    <definedName name="SpecMaint_5" localSheetId="29" hidden="1">{#N/A,#N/A,FALSE,"Summary";#N/A,#N/A,FALSE,"SmPlants";#N/A,#N/A,FALSE,"Utah";#N/A,#N/A,FALSE,"Idaho";#N/A,#N/A,FALSE,"Lewis River";#N/A,#N/A,FALSE,"NrthUmpq";#N/A,#N/A,FALSE,"KlamRog"}</definedName>
    <definedName name="SpecMaint_5" localSheetId="30" hidden="1">{#N/A,#N/A,FALSE,"Summary";#N/A,#N/A,FALSE,"SmPlants";#N/A,#N/A,FALSE,"Utah";#N/A,#N/A,FALSE,"Idaho";#N/A,#N/A,FALSE,"Lewis River";#N/A,#N/A,FALSE,"NrthUmpq";#N/A,#N/A,FALSE,"KlamRog"}</definedName>
    <definedName name="SpecMaint_5" localSheetId="31" hidden="1">{#N/A,#N/A,FALSE,"Summary";#N/A,#N/A,FALSE,"SmPlants";#N/A,#N/A,FALSE,"Utah";#N/A,#N/A,FALSE,"Idaho";#N/A,#N/A,FALSE,"Lewis River";#N/A,#N/A,FALSE,"NrthUmpq";#N/A,#N/A,FALSE,"KlamRog"}</definedName>
    <definedName name="SpecMaint_5" localSheetId="37" hidden="1">{#N/A,#N/A,FALSE,"Summary";#N/A,#N/A,FALSE,"SmPlants";#N/A,#N/A,FALSE,"Utah";#N/A,#N/A,FALSE,"Idaho";#N/A,#N/A,FALSE,"Lewis River";#N/A,#N/A,FALSE,"NrthUmpq";#N/A,#N/A,FALSE,"KlamRog"}</definedName>
    <definedName name="SpecMaint_5" localSheetId="41" hidden="1">{#N/A,#N/A,FALSE,"Summary";#N/A,#N/A,FALSE,"SmPlants";#N/A,#N/A,FALSE,"Utah";#N/A,#N/A,FALSE,"Idaho";#N/A,#N/A,FALSE,"Lewis River";#N/A,#N/A,FALSE,"NrthUmpq";#N/A,#N/A,FALSE,"KlamRog"}</definedName>
    <definedName name="SpecMaint_5" localSheetId="42" hidden="1">{#N/A,#N/A,FALSE,"Summary";#N/A,#N/A,FALSE,"SmPlants";#N/A,#N/A,FALSE,"Utah";#N/A,#N/A,FALSE,"Idaho";#N/A,#N/A,FALSE,"Lewis River";#N/A,#N/A,FALSE,"NrthUmpq";#N/A,#N/A,FALSE,"KlamRog"}</definedName>
    <definedName name="SpecMaint_5" localSheetId="0" hidden="1">{#N/A,#N/A,FALSE,"Summary";#N/A,#N/A,FALSE,"SmPlants";#N/A,#N/A,FALSE,"Utah";#N/A,#N/A,FALSE,"Idaho";#N/A,#N/A,FALSE,"Lewis River";#N/A,#N/A,FALSE,"NrthUmpq";#N/A,#N/A,FALSE,"KlamRog"}</definedName>
    <definedName name="SpecMaint_5" hidden="1">{#N/A,#N/A,FALSE,"Summary";#N/A,#N/A,FALSE,"SmPlants";#N/A,#N/A,FALSE,"Utah";#N/A,#N/A,FALSE,"Idaho";#N/A,#N/A,FALSE,"Lewis River";#N/A,#N/A,FALSE,"NrthUmpq";#N/A,#N/A,FALSE,"KlamRog"}</definedName>
    <definedName name="spippw" localSheetId="1" hidden="1">{#N/A,#N/A,FALSE,"Actual";#N/A,#N/A,FALSE,"Normalized";#N/A,#N/A,FALSE,"Electric Actual";#N/A,#N/A,FALSE,"Electric Normalized"}</definedName>
    <definedName name="spippw" localSheetId="3" hidden="1">{#N/A,#N/A,FALSE,"Actual";#N/A,#N/A,FALSE,"Normalized";#N/A,#N/A,FALSE,"Electric Actual";#N/A,#N/A,FALSE,"Electric Normalized"}</definedName>
    <definedName name="spippw" localSheetId="4" hidden="1">{#N/A,#N/A,FALSE,"Actual";#N/A,#N/A,FALSE,"Normalized";#N/A,#N/A,FALSE,"Electric Actual";#N/A,#N/A,FALSE,"Electric Normalized"}</definedName>
    <definedName name="spippw" localSheetId="18" hidden="1">{#N/A,#N/A,FALSE,"Actual";#N/A,#N/A,FALSE,"Normalized";#N/A,#N/A,FALSE,"Electric Actual";#N/A,#N/A,FALSE,"Electric Normalized"}</definedName>
    <definedName name="spippw" localSheetId="19" hidden="1">{#N/A,#N/A,FALSE,"Actual";#N/A,#N/A,FALSE,"Normalized";#N/A,#N/A,FALSE,"Electric Actual";#N/A,#N/A,FALSE,"Electric Normalized"}</definedName>
    <definedName name="spippw" localSheetId="20" hidden="1">{#N/A,#N/A,FALSE,"Actual";#N/A,#N/A,FALSE,"Normalized";#N/A,#N/A,FALSE,"Electric Actual";#N/A,#N/A,FALSE,"Electric Normalized"}</definedName>
    <definedName name="spippw" localSheetId="21" hidden="1">{#N/A,#N/A,FALSE,"Actual";#N/A,#N/A,FALSE,"Normalized";#N/A,#N/A,FALSE,"Electric Actual";#N/A,#N/A,FALSE,"Electric Normalized"}</definedName>
    <definedName name="spippw" localSheetId="24" hidden="1">{#N/A,#N/A,FALSE,"Actual";#N/A,#N/A,FALSE,"Normalized";#N/A,#N/A,FALSE,"Electric Actual";#N/A,#N/A,FALSE,"Electric Normalized"}</definedName>
    <definedName name="spippw" localSheetId="27" hidden="1">{#N/A,#N/A,FALSE,"Actual";#N/A,#N/A,FALSE,"Normalized";#N/A,#N/A,FALSE,"Electric Actual";#N/A,#N/A,FALSE,"Electric Normalized"}</definedName>
    <definedName name="spippw" localSheetId="28" hidden="1">{#N/A,#N/A,FALSE,"Actual";#N/A,#N/A,FALSE,"Normalized";#N/A,#N/A,FALSE,"Electric Actual";#N/A,#N/A,FALSE,"Electric Normalized"}</definedName>
    <definedName name="spippw" localSheetId="29" hidden="1">{#N/A,#N/A,FALSE,"Actual";#N/A,#N/A,FALSE,"Normalized";#N/A,#N/A,FALSE,"Electric Actual";#N/A,#N/A,FALSE,"Electric Normalized"}</definedName>
    <definedName name="spippw" localSheetId="30" hidden="1">{#N/A,#N/A,FALSE,"Actual";#N/A,#N/A,FALSE,"Normalized";#N/A,#N/A,FALSE,"Electric Actual";#N/A,#N/A,FALSE,"Electric Normalized"}</definedName>
    <definedName name="spippw" localSheetId="31" hidden="1">{#N/A,#N/A,FALSE,"Actual";#N/A,#N/A,FALSE,"Normalized";#N/A,#N/A,FALSE,"Electric Actual";#N/A,#N/A,FALSE,"Electric Normalized"}</definedName>
    <definedName name="spippw" localSheetId="37" hidden="1">{#N/A,#N/A,FALSE,"Actual";#N/A,#N/A,FALSE,"Normalized";#N/A,#N/A,FALSE,"Electric Actual";#N/A,#N/A,FALSE,"Electric Normalized"}</definedName>
    <definedName name="spippw" localSheetId="41" hidden="1">{#N/A,#N/A,FALSE,"Actual";#N/A,#N/A,FALSE,"Normalized";#N/A,#N/A,FALSE,"Electric Actual";#N/A,#N/A,FALSE,"Electric Normalized"}</definedName>
    <definedName name="spippw" localSheetId="42" hidden="1">{#N/A,#N/A,FALSE,"Actual";#N/A,#N/A,FALSE,"Normalized";#N/A,#N/A,FALSE,"Electric Actual";#N/A,#N/A,FALSE,"Electric Normalized"}</definedName>
    <definedName name="spippw" localSheetId="0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ippw_1" localSheetId="1" hidden="1">{#N/A,#N/A,FALSE,"Actual";#N/A,#N/A,FALSE,"Normalized";#N/A,#N/A,FALSE,"Electric Actual";#N/A,#N/A,FALSE,"Electric Normalized"}</definedName>
    <definedName name="spippw_1" localSheetId="3" hidden="1">{#N/A,#N/A,FALSE,"Actual";#N/A,#N/A,FALSE,"Normalized";#N/A,#N/A,FALSE,"Electric Actual";#N/A,#N/A,FALSE,"Electric Normalized"}</definedName>
    <definedName name="spippw_1" localSheetId="4" hidden="1">{#N/A,#N/A,FALSE,"Actual";#N/A,#N/A,FALSE,"Normalized";#N/A,#N/A,FALSE,"Electric Actual";#N/A,#N/A,FALSE,"Electric Normalized"}</definedName>
    <definedName name="spippw_1" localSheetId="18" hidden="1">{#N/A,#N/A,FALSE,"Actual";#N/A,#N/A,FALSE,"Normalized";#N/A,#N/A,FALSE,"Electric Actual";#N/A,#N/A,FALSE,"Electric Normalized"}</definedName>
    <definedName name="spippw_1" localSheetId="19" hidden="1">{#N/A,#N/A,FALSE,"Actual";#N/A,#N/A,FALSE,"Normalized";#N/A,#N/A,FALSE,"Electric Actual";#N/A,#N/A,FALSE,"Electric Normalized"}</definedName>
    <definedName name="spippw_1" localSheetId="20" hidden="1">{#N/A,#N/A,FALSE,"Actual";#N/A,#N/A,FALSE,"Normalized";#N/A,#N/A,FALSE,"Electric Actual";#N/A,#N/A,FALSE,"Electric Normalized"}</definedName>
    <definedName name="spippw_1" localSheetId="21" hidden="1">{#N/A,#N/A,FALSE,"Actual";#N/A,#N/A,FALSE,"Normalized";#N/A,#N/A,FALSE,"Electric Actual";#N/A,#N/A,FALSE,"Electric Normalized"}</definedName>
    <definedName name="spippw_1" localSheetId="24" hidden="1">{#N/A,#N/A,FALSE,"Actual";#N/A,#N/A,FALSE,"Normalized";#N/A,#N/A,FALSE,"Electric Actual";#N/A,#N/A,FALSE,"Electric Normalized"}</definedName>
    <definedName name="spippw_1" localSheetId="27" hidden="1">{#N/A,#N/A,FALSE,"Actual";#N/A,#N/A,FALSE,"Normalized";#N/A,#N/A,FALSE,"Electric Actual";#N/A,#N/A,FALSE,"Electric Normalized"}</definedName>
    <definedName name="spippw_1" localSheetId="28" hidden="1">{#N/A,#N/A,FALSE,"Actual";#N/A,#N/A,FALSE,"Normalized";#N/A,#N/A,FALSE,"Electric Actual";#N/A,#N/A,FALSE,"Electric Normalized"}</definedName>
    <definedName name="spippw_1" localSheetId="29" hidden="1">{#N/A,#N/A,FALSE,"Actual";#N/A,#N/A,FALSE,"Normalized";#N/A,#N/A,FALSE,"Electric Actual";#N/A,#N/A,FALSE,"Electric Normalized"}</definedName>
    <definedName name="spippw_1" localSheetId="30" hidden="1">{#N/A,#N/A,FALSE,"Actual";#N/A,#N/A,FALSE,"Normalized";#N/A,#N/A,FALSE,"Electric Actual";#N/A,#N/A,FALSE,"Electric Normalized"}</definedName>
    <definedName name="spippw_1" localSheetId="31" hidden="1">{#N/A,#N/A,FALSE,"Actual";#N/A,#N/A,FALSE,"Normalized";#N/A,#N/A,FALSE,"Electric Actual";#N/A,#N/A,FALSE,"Electric Normalized"}</definedName>
    <definedName name="spippw_1" localSheetId="37" hidden="1">{#N/A,#N/A,FALSE,"Actual";#N/A,#N/A,FALSE,"Normalized";#N/A,#N/A,FALSE,"Electric Actual";#N/A,#N/A,FALSE,"Electric Normalized"}</definedName>
    <definedName name="spippw_1" localSheetId="41" hidden="1">{#N/A,#N/A,FALSE,"Actual";#N/A,#N/A,FALSE,"Normalized";#N/A,#N/A,FALSE,"Electric Actual";#N/A,#N/A,FALSE,"Electric Normalized"}</definedName>
    <definedName name="spippw_1" localSheetId="42" hidden="1">{#N/A,#N/A,FALSE,"Actual";#N/A,#N/A,FALSE,"Normalized";#N/A,#N/A,FALSE,"Electric Actual";#N/A,#N/A,FALSE,"Electric Normalized"}</definedName>
    <definedName name="spippw_1" localSheetId="0" hidden="1">{#N/A,#N/A,FALSE,"Actual";#N/A,#N/A,FALSE,"Normalized";#N/A,#N/A,FALSE,"Electric Actual";#N/A,#N/A,FALSE,"Electric Normalized"}</definedName>
    <definedName name="spippw_1" hidden="1">{#N/A,#N/A,FALSE,"Actual";#N/A,#N/A,FALSE,"Normalized";#N/A,#N/A,FALSE,"Electric Actual";#N/A,#N/A,FALSE,"Electric Normalized"}</definedName>
    <definedName name="spippw_2" localSheetId="1" hidden="1">{#N/A,#N/A,FALSE,"Actual";#N/A,#N/A,FALSE,"Normalized";#N/A,#N/A,FALSE,"Electric Actual";#N/A,#N/A,FALSE,"Electric Normalized"}</definedName>
    <definedName name="spippw_2" localSheetId="3" hidden="1">{#N/A,#N/A,FALSE,"Actual";#N/A,#N/A,FALSE,"Normalized";#N/A,#N/A,FALSE,"Electric Actual";#N/A,#N/A,FALSE,"Electric Normalized"}</definedName>
    <definedName name="spippw_2" localSheetId="4" hidden="1">{#N/A,#N/A,FALSE,"Actual";#N/A,#N/A,FALSE,"Normalized";#N/A,#N/A,FALSE,"Electric Actual";#N/A,#N/A,FALSE,"Electric Normalized"}</definedName>
    <definedName name="spippw_2" localSheetId="18" hidden="1">{#N/A,#N/A,FALSE,"Actual";#N/A,#N/A,FALSE,"Normalized";#N/A,#N/A,FALSE,"Electric Actual";#N/A,#N/A,FALSE,"Electric Normalized"}</definedName>
    <definedName name="spippw_2" localSheetId="19" hidden="1">{#N/A,#N/A,FALSE,"Actual";#N/A,#N/A,FALSE,"Normalized";#N/A,#N/A,FALSE,"Electric Actual";#N/A,#N/A,FALSE,"Electric Normalized"}</definedName>
    <definedName name="spippw_2" localSheetId="20" hidden="1">{#N/A,#N/A,FALSE,"Actual";#N/A,#N/A,FALSE,"Normalized";#N/A,#N/A,FALSE,"Electric Actual";#N/A,#N/A,FALSE,"Electric Normalized"}</definedName>
    <definedName name="spippw_2" localSheetId="21" hidden="1">{#N/A,#N/A,FALSE,"Actual";#N/A,#N/A,FALSE,"Normalized";#N/A,#N/A,FALSE,"Electric Actual";#N/A,#N/A,FALSE,"Electric Normalized"}</definedName>
    <definedName name="spippw_2" localSheetId="24" hidden="1">{#N/A,#N/A,FALSE,"Actual";#N/A,#N/A,FALSE,"Normalized";#N/A,#N/A,FALSE,"Electric Actual";#N/A,#N/A,FALSE,"Electric Normalized"}</definedName>
    <definedName name="spippw_2" localSheetId="27" hidden="1">{#N/A,#N/A,FALSE,"Actual";#N/A,#N/A,FALSE,"Normalized";#N/A,#N/A,FALSE,"Electric Actual";#N/A,#N/A,FALSE,"Electric Normalized"}</definedName>
    <definedName name="spippw_2" localSheetId="28" hidden="1">{#N/A,#N/A,FALSE,"Actual";#N/A,#N/A,FALSE,"Normalized";#N/A,#N/A,FALSE,"Electric Actual";#N/A,#N/A,FALSE,"Electric Normalized"}</definedName>
    <definedName name="spippw_2" localSheetId="29" hidden="1">{#N/A,#N/A,FALSE,"Actual";#N/A,#N/A,FALSE,"Normalized";#N/A,#N/A,FALSE,"Electric Actual";#N/A,#N/A,FALSE,"Electric Normalized"}</definedName>
    <definedName name="spippw_2" localSheetId="30" hidden="1">{#N/A,#N/A,FALSE,"Actual";#N/A,#N/A,FALSE,"Normalized";#N/A,#N/A,FALSE,"Electric Actual";#N/A,#N/A,FALSE,"Electric Normalized"}</definedName>
    <definedName name="spippw_2" localSheetId="31" hidden="1">{#N/A,#N/A,FALSE,"Actual";#N/A,#N/A,FALSE,"Normalized";#N/A,#N/A,FALSE,"Electric Actual";#N/A,#N/A,FALSE,"Electric Normalized"}</definedName>
    <definedName name="spippw_2" localSheetId="37" hidden="1">{#N/A,#N/A,FALSE,"Actual";#N/A,#N/A,FALSE,"Normalized";#N/A,#N/A,FALSE,"Electric Actual";#N/A,#N/A,FALSE,"Electric Normalized"}</definedName>
    <definedName name="spippw_2" localSheetId="41" hidden="1">{#N/A,#N/A,FALSE,"Actual";#N/A,#N/A,FALSE,"Normalized";#N/A,#N/A,FALSE,"Electric Actual";#N/A,#N/A,FALSE,"Electric Normalized"}</definedName>
    <definedName name="spippw_2" localSheetId="42" hidden="1">{#N/A,#N/A,FALSE,"Actual";#N/A,#N/A,FALSE,"Normalized";#N/A,#N/A,FALSE,"Electric Actual";#N/A,#N/A,FALSE,"Electric Normalized"}</definedName>
    <definedName name="spippw_2" localSheetId="0" hidden="1">{#N/A,#N/A,FALSE,"Actual";#N/A,#N/A,FALSE,"Normalized";#N/A,#N/A,FALSE,"Electric Actual";#N/A,#N/A,FALSE,"Electric Normalized"}</definedName>
    <definedName name="spippw_2" hidden="1">{#N/A,#N/A,FALSE,"Actual";#N/A,#N/A,FALSE,"Normalized";#N/A,#N/A,FALSE,"Electric Actual";#N/A,#N/A,FALSE,"Electric Normalized"}</definedName>
    <definedName name="spippw_3" localSheetId="1" hidden="1">{#N/A,#N/A,FALSE,"Actual";#N/A,#N/A,FALSE,"Normalized";#N/A,#N/A,FALSE,"Electric Actual";#N/A,#N/A,FALSE,"Electric Normalized"}</definedName>
    <definedName name="spippw_3" localSheetId="3" hidden="1">{#N/A,#N/A,FALSE,"Actual";#N/A,#N/A,FALSE,"Normalized";#N/A,#N/A,FALSE,"Electric Actual";#N/A,#N/A,FALSE,"Electric Normalized"}</definedName>
    <definedName name="spippw_3" localSheetId="4" hidden="1">{#N/A,#N/A,FALSE,"Actual";#N/A,#N/A,FALSE,"Normalized";#N/A,#N/A,FALSE,"Electric Actual";#N/A,#N/A,FALSE,"Electric Normalized"}</definedName>
    <definedName name="spippw_3" localSheetId="18" hidden="1">{#N/A,#N/A,FALSE,"Actual";#N/A,#N/A,FALSE,"Normalized";#N/A,#N/A,FALSE,"Electric Actual";#N/A,#N/A,FALSE,"Electric Normalized"}</definedName>
    <definedName name="spippw_3" localSheetId="19" hidden="1">{#N/A,#N/A,FALSE,"Actual";#N/A,#N/A,FALSE,"Normalized";#N/A,#N/A,FALSE,"Electric Actual";#N/A,#N/A,FALSE,"Electric Normalized"}</definedName>
    <definedName name="spippw_3" localSheetId="20" hidden="1">{#N/A,#N/A,FALSE,"Actual";#N/A,#N/A,FALSE,"Normalized";#N/A,#N/A,FALSE,"Electric Actual";#N/A,#N/A,FALSE,"Electric Normalized"}</definedName>
    <definedName name="spippw_3" localSheetId="21" hidden="1">{#N/A,#N/A,FALSE,"Actual";#N/A,#N/A,FALSE,"Normalized";#N/A,#N/A,FALSE,"Electric Actual";#N/A,#N/A,FALSE,"Electric Normalized"}</definedName>
    <definedName name="spippw_3" localSheetId="24" hidden="1">{#N/A,#N/A,FALSE,"Actual";#N/A,#N/A,FALSE,"Normalized";#N/A,#N/A,FALSE,"Electric Actual";#N/A,#N/A,FALSE,"Electric Normalized"}</definedName>
    <definedName name="spippw_3" localSheetId="27" hidden="1">{#N/A,#N/A,FALSE,"Actual";#N/A,#N/A,FALSE,"Normalized";#N/A,#N/A,FALSE,"Electric Actual";#N/A,#N/A,FALSE,"Electric Normalized"}</definedName>
    <definedName name="spippw_3" localSheetId="28" hidden="1">{#N/A,#N/A,FALSE,"Actual";#N/A,#N/A,FALSE,"Normalized";#N/A,#N/A,FALSE,"Electric Actual";#N/A,#N/A,FALSE,"Electric Normalized"}</definedName>
    <definedName name="spippw_3" localSheetId="29" hidden="1">{#N/A,#N/A,FALSE,"Actual";#N/A,#N/A,FALSE,"Normalized";#N/A,#N/A,FALSE,"Electric Actual";#N/A,#N/A,FALSE,"Electric Normalized"}</definedName>
    <definedName name="spippw_3" localSheetId="30" hidden="1">{#N/A,#N/A,FALSE,"Actual";#N/A,#N/A,FALSE,"Normalized";#N/A,#N/A,FALSE,"Electric Actual";#N/A,#N/A,FALSE,"Electric Normalized"}</definedName>
    <definedName name="spippw_3" localSheetId="31" hidden="1">{#N/A,#N/A,FALSE,"Actual";#N/A,#N/A,FALSE,"Normalized";#N/A,#N/A,FALSE,"Electric Actual";#N/A,#N/A,FALSE,"Electric Normalized"}</definedName>
    <definedName name="spippw_3" localSheetId="37" hidden="1">{#N/A,#N/A,FALSE,"Actual";#N/A,#N/A,FALSE,"Normalized";#N/A,#N/A,FALSE,"Electric Actual";#N/A,#N/A,FALSE,"Electric Normalized"}</definedName>
    <definedName name="spippw_3" localSheetId="41" hidden="1">{#N/A,#N/A,FALSE,"Actual";#N/A,#N/A,FALSE,"Normalized";#N/A,#N/A,FALSE,"Electric Actual";#N/A,#N/A,FALSE,"Electric Normalized"}</definedName>
    <definedName name="spippw_3" localSheetId="42" hidden="1">{#N/A,#N/A,FALSE,"Actual";#N/A,#N/A,FALSE,"Normalized";#N/A,#N/A,FALSE,"Electric Actual";#N/A,#N/A,FALSE,"Electric Normalized"}</definedName>
    <definedName name="spippw_3" localSheetId="0" hidden="1">{#N/A,#N/A,FALSE,"Actual";#N/A,#N/A,FALSE,"Normalized";#N/A,#N/A,FALSE,"Electric Actual";#N/A,#N/A,FALSE,"Electric Normalized"}</definedName>
    <definedName name="spippw_3" hidden="1">{#N/A,#N/A,FALSE,"Actual";#N/A,#N/A,FALSE,"Normalized";#N/A,#N/A,FALSE,"Electric Actual";#N/A,#N/A,FALSE,"Electric Normalized"}</definedName>
    <definedName name="spippw_4" localSheetId="1" hidden="1">{#N/A,#N/A,FALSE,"Actual";#N/A,#N/A,FALSE,"Normalized";#N/A,#N/A,FALSE,"Electric Actual";#N/A,#N/A,FALSE,"Electric Normalized"}</definedName>
    <definedName name="spippw_4" localSheetId="3" hidden="1">{#N/A,#N/A,FALSE,"Actual";#N/A,#N/A,FALSE,"Normalized";#N/A,#N/A,FALSE,"Electric Actual";#N/A,#N/A,FALSE,"Electric Normalized"}</definedName>
    <definedName name="spippw_4" localSheetId="4" hidden="1">{#N/A,#N/A,FALSE,"Actual";#N/A,#N/A,FALSE,"Normalized";#N/A,#N/A,FALSE,"Electric Actual";#N/A,#N/A,FALSE,"Electric Normalized"}</definedName>
    <definedName name="spippw_4" localSheetId="18" hidden="1">{#N/A,#N/A,FALSE,"Actual";#N/A,#N/A,FALSE,"Normalized";#N/A,#N/A,FALSE,"Electric Actual";#N/A,#N/A,FALSE,"Electric Normalized"}</definedName>
    <definedName name="spippw_4" localSheetId="19" hidden="1">{#N/A,#N/A,FALSE,"Actual";#N/A,#N/A,FALSE,"Normalized";#N/A,#N/A,FALSE,"Electric Actual";#N/A,#N/A,FALSE,"Electric Normalized"}</definedName>
    <definedName name="spippw_4" localSheetId="20" hidden="1">{#N/A,#N/A,FALSE,"Actual";#N/A,#N/A,FALSE,"Normalized";#N/A,#N/A,FALSE,"Electric Actual";#N/A,#N/A,FALSE,"Electric Normalized"}</definedName>
    <definedName name="spippw_4" localSheetId="21" hidden="1">{#N/A,#N/A,FALSE,"Actual";#N/A,#N/A,FALSE,"Normalized";#N/A,#N/A,FALSE,"Electric Actual";#N/A,#N/A,FALSE,"Electric Normalized"}</definedName>
    <definedName name="spippw_4" localSheetId="24" hidden="1">{#N/A,#N/A,FALSE,"Actual";#N/A,#N/A,FALSE,"Normalized";#N/A,#N/A,FALSE,"Electric Actual";#N/A,#N/A,FALSE,"Electric Normalized"}</definedName>
    <definedName name="spippw_4" localSheetId="27" hidden="1">{#N/A,#N/A,FALSE,"Actual";#N/A,#N/A,FALSE,"Normalized";#N/A,#N/A,FALSE,"Electric Actual";#N/A,#N/A,FALSE,"Electric Normalized"}</definedName>
    <definedName name="spippw_4" localSheetId="28" hidden="1">{#N/A,#N/A,FALSE,"Actual";#N/A,#N/A,FALSE,"Normalized";#N/A,#N/A,FALSE,"Electric Actual";#N/A,#N/A,FALSE,"Electric Normalized"}</definedName>
    <definedName name="spippw_4" localSheetId="29" hidden="1">{#N/A,#N/A,FALSE,"Actual";#N/A,#N/A,FALSE,"Normalized";#N/A,#N/A,FALSE,"Electric Actual";#N/A,#N/A,FALSE,"Electric Normalized"}</definedName>
    <definedName name="spippw_4" localSheetId="30" hidden="1">{#N/A,#N/A,FALSE,"Actual";#N/A,#N/A,FALSE,"Normalized";#N/A,#N/A,FALSE,"Electric Actual";#N/A,#N/A,FALSE,"Electric Normalized"}</definedName>
    <definedName name="spippw_4" localSheetId="31" hidden="1">{#N/A,#N/A,FALSE,"Actual";#N/A,#N/A,FALSE,"Normalized";#N/A,#N/A,FALSE,"Electric Actual";#N/A,#N/A,FALSE,"Electric Normalized"}</definedName>
    <definedName name="spippw_4" localSheetId="37" hidden="1">{#N/A,#N/A,FALSE,"Actual";#N/A,#N/A,FALSE,"Normalized";#N/A,#N/A,FALSE,"Electric Actual";#N/A,#N/A,FALSE,"Electric Normalized"}</definedName>
    <definedName name="spippw_4" localSheetId="41" hidden="1">{#N/A,#N/A,FALSE,"Actual";#N/A,#N/A,FALSE,"Normalized";#N/A,#N/A,FALSE,"Electric Actual";#N/A,#N/A,FALSE,"Electric Normalized"}</definedName>
    <definedName name="spippw_4" localSheetId="42" hidden="1">{#N/A,#N/A,FALSE,"Actual";#N/A,#N/A,FALSE,"Normalized";#N/A,#N/A,FALSE,"Electric Actual";#N/A,#N/A,FALSE,"Electric Normalized"}</definedName>
    <definedName name="spippw_4" localSheetId="0" hidden="1">{#N/A,#N/A,FALSE,"Actual";#N/A,#N/A,FALSE,"Normalized";#N/A,#N/A,FALSE,"Electric Actual";#N/A,#N/A,FALSE,"Electric Normalized"}</definedName>
    <definedName name="spippw_4" hidden="1">{#N/A,#N/A,FALSE,"Actual";#N/A,#N/A,FALSE,"Normalized";#N/A,#N/A,FALSE,"Electric Actual";#N/A,#N/A,FALSE,"Electric Normalized"}</definedName>
    <definedName name="spippw_5" localSheetId="1" hidden="1">{#N/A,#N/A,FALSE,"Actual";#N/A,#N/A,FALSE,"Normalized";#N/A,#N/A,FALSE,"Electric Actual";#N/A,#N/A,FALSE,"Electric Normalized"}</definedName>
    <definedName name="spippw_5" localSheetId="3" hidden="1">{#N/A,#N/A,FALSE,"Actual";#N/A,#N/A,FALSE,"Normalized";#N/A,#N/A,FALSE,"Electric Actual";#N/A,#N/A,FALSE,"Electric Normalized"}</definedName>
    <definedName name="spippw_5" localSheetId="4" hidden="1">{#N/A,#N/A,FALSE,"Actual";#N/A,#N/A,FALSE,"Normalized";#N/A,#N/A,FALSE,"Electric Actual";#N/A,#N/A,FALSE,"Electric Normalized"}</definedName>
    <definedName name="spippw_5" localSheetId="18" hidden="1">{#N/A,#N/A,FALSE,"Actual";#N/A,#N/A,FALSE,"Normalized";#N/A,#N/A,FALSE,"Electric Actual";#N/A,#N/A,FALSE,"Electric Normalized"}</definedName>
    <definedName name="spippw_5" localSheetId="19" hidden="1">{#N/A,#N/A,FALSE,"Actual";#N/A,#N/A,FALSE,"Normalized";#N/A,#N/A,FALSE,"Electric Actual";#N/A,#N/A,FALSE,"Electric Normalized"}</definedName>
    <definedName name="spippw_5" localSheetId="20" hidden="1">{#N/A,#N/A,FALSE,"Actual";#N/A,#N/A,FALSE,"Normalized";#N/A,#N/A,FALSE,"Electric Actual";#N/A,#N/A,FALSE,"Electric Normalized"}</definedName>
    <definedName name="spippw_5" localSheetId="21" hidden="1">{#N/A,#N/A,FALSE,"Actual";#N/A,#N/A,FALSE,"Normalized";#N/A,#N/A,FALSE,"Electric Actual";#N/A,#N/A,FALSE,"Electric Normalized"}</definedName>
    <definedName name="spippw_5" localSheetId="24" hidden="1">{#N/A,#N/A,FALSE,"Actual";#N/A,#N/A,FALSE,"Normalized";#N/A,#N/A,FALSE,"Electric Actual";#N/A,#N/A,FALSE,"Electric Normalized"}</definedName>
    <definedName name="spippw_5" localSheetId="27" hidden="1">{#N/A,#N/A,FALSE,"Actual";#N/A,#N/A,FALSE,"Normalized";#N/A,#N/A,FALSE,"Electric Actual";#N/A,#N/A,FALSE,"Electric Normalized"}</definedName>
    <definedName name="spippw_5" localSheetId="28" hidden="1">{#N/A,#N/A,FALSE,"Actual";#N/A,#N/A,FALSE,"Normalized";#N/A,#N/A,FALSE,"Electric Actual";#N/A,#N/A,FALSE,"Electric Normalized"}</definedName>
    <definedName name="spippw_5" localSheetId="29" hidden="1">{#N/A,#N/A,FALSE,"Actual";#N/A,#N/A,FALSE,"Normalized";#N/A,#N/A,FALSE,"Electric Actual";#N/A,#N/A,FALSE,"Electric Normalized"}</definedName>
    <definedName name="spippw_5" localSheetId="30" hidden="1">{#N/A,#N/A,FALSE,"Actual";#N/A,#N/A,FALSE,"Normalized";#N/A,#N/A,FALSE,"Electric Actual";#N/A,#N/A,FALSE,"Electric Normalized"}</definedName>
    <definedName name="spippw_5" localSheetId="31" hidden="1">{#N/A,#N/A,FALSE,"Actual";#N/A,#N/A,FALSE,"Normalized";#N/A,#N/A,FALSE,"Electric Actual";#N/A,#N/A,FALSE,"Electric Normalized"}</definedName>
    <definedName name="spippw_5" localSheetId="37" hidden="1">{#N/A,#N/A,FALSE,"Actual";#N/A,#N/A,FALSE,"Normalized";#N/A,#N/A,FALSE,"Electric Actual";#N/A,#N/A,FALSE,"Electric Normalized"}</definedName>
    <definedName name="spippw_5" localSheetId="41" hidden="1">{#N/A,#N/A,FALSE,"Actual";#N/A,#N/A,FALSE,"Normalized";#N/A,#N/A,FALSE,"Electric Actual";#N/A,#N/A,FALSE,"Electric Normalized"}</definedName>
    <definedName name="spippw_5" localSheetId="42" hidden="1">{#N/A,#N/A,FALSE,"Actual";#N/A,#N/A,FALSE,"Normalized";#N/A,#N/A,FALSE,"Electric Actual";#N/A,#N/A,FALSE,"Electric Normalized"}</definedName>
    <definedName name="spippw_5" localSheetId="0" hidden="1">{#N/A,#N/A,FALSE,"Actual";#N/A,#N/A,FALSE,"Normalized";#N/A,#N/A,FALSE,"Electric Actual";#N/A,#N/A,FALSE,"Electric Normalized"}</definedName>
    <definedName name="spippw_5" hidden="1">{#N/A,#N/A,FALSE,"Actual";#N/A,#N/A,FALSE,"Normalized";#N/A,#N/A,FALSE,"Electric Actual";#N/A,#N/A,FALSE,"Electric Normalized"}</definedName>
    <definedName name="startyr">#REF!</definedName>
    <definedName name="tax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heel_Year">#REF!</definedName>
    <definedName name="Wind_CC_East">#REF!</definedName>
    <definedName name="Wind_CC_West" localSheetId="18">#REF!</definedName>
    <definedName name="Wind_CC_West" localSheetId="19">#REF!</definedName>
    <definedName name="Wind_CC_West" localSheetId="21">#REF!</definedName>
    <definedName name="Wind_CC_West" localSheetId="24">#REF!</definedName>
    <definedName name="Wind_CC_West" localSheetId="27">#REF!</definedName>
    <definedName name="Wind_CC_West" localSheetId="28">#REF!</definedName>
    <definedName name="Wind_CC_West" localSheetId="29">#REF!</definedName>
    <definedName name="Wind_CC_West" localSheetId="37">#REF!</definedName>
    <definedName name="Wind_CC_West" localSheetId="41">#REF!</definedName>
    <definedName name="Wind_CC_West" localSheetId="42">#REF!</definedName>
    <definedName name="Wind_CC_West">#REF!</definedName>
    <definedName name="wrn.1996._.Hydro._.5._.Year._.Forecast._.Budget.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2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4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2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3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4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2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3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4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2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3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4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2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3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4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2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3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41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42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_5" hidden="1">{#N/A,#N/A,FALSE,"Summary";#N/A,#N/A,FALSE,"SmPlants";#N/A,#N/A,FALSE,"Utah";#N/A,#N/A,FALSE,"Idaho";#N/A,#N/A,FALSE,"Lewis River";#N/A,#N/A,FALSE,"NrthUmpq";#N/A,#N/A,FALSE,"KlamRog"}</definedName>
    <definedName name="wrn.ALL." localSheetId="1" hidden="1">{#N/A,#N/A,FALSE,"Summary EPS";#N/A,#N/A,FALSE,"1st Qtr Electric";#N/A,#N/A,FALSE,"1st Qtr Australia";#N/A,#N/A,FALSE,"1st Qtr Telecom";#N/A,#N/A,FALSE,"1st QTR Other"}</definedName>
    <definedName name="wrn.ALL." localSheetId="3" hidden="1">{#N/A,#N/A,FALSE,"Summary EPS";#N/A,#N/A,FALSE,"1st Qtr Electric";#N/A,#N/A,FALSE,"1st Qtr Australia";#N/A,#N/A,FALSE,"1st Qtr Telecom";#N/A,#N/A,FALSE,"1st QTR Other"}</definedName>
    <definedName name="wrn.ALL." localSheetId="4" hidden="1">{#N/A,#N/A,FALSE,"Summary EPS";#N/A,#N/A,FALSE,"1st Qtr Electric";#N/A,#N/A,FALSE,"1st Qtr Australia";#N/A,#N/A,FALSE,"1st Qtr Telecom";#N/A,#N/A,FALSE,"1st QTR Other"}</definedName>
    <definedName name="wrn.ALL." localSheetId="18" hidden="1">{#N/A,#N/A,FALSE,"Summary EPS";#N/A,#N/A,FALSE,"1st Qtr Electric";#N/A,#N/A,FALSE,"1st Qtr Australia";#N/A,#N/A,FALSE,"1st Qtr Telecom";#N/A,#N/A,FALSE,"1st QTR Other"}</definedName>
    <definedName name="wrn.ALL." localSheetId="19" hidden="1">{#N/A,#N/A,FALSE,"Summary EPS";#N/A,#N/A,FALSE,"1st Qtr Electric";#N/A,#N/A,FALSE,"1st Qtr Australia";#N/A,#N/A,FALSE,"1st Qtr Telecom";#N/A,#N/A,FALSE,"1st QTR Other"}</definedName>
    <definedName name="wrn.ALL." localSheetId="20" hidden="1">{#N/A,#N/A,FALSE,"Summary EPS";#N/A,#N/A,FALSE,"1st Qtr Electric";#N/A,#N/A,FALSE,"1st Qtr Australia";#N/A,#N/A,FALSE,"1st Qtr Telecom";#N/A,#N/A,FALSE,"1st QTR Other"}</definedName>
    <definedName name="wrn.ALL." localSheetId="21" hidden="1">{#N/A,#N/A,FALSE,"Summary EPS";#N/A,#N/A,FALSE,"1st Qtr Electric";#N/A,#N/A,FALSE,"1st Qtr Australia";#N/A,#N/A,FALSE,"1st Qtr Telecom";#N/A,#N/A,FALSE,"1st QTR Other"}</definedName>
    <definedName name="wrn.ALL." localSheetId="24" hidden="1">{#N/A,#N/A,FALSE,"Summary EPS";#N/A,#N/A,FALSE,"1st Qtr Electric";#N/A,#N/A,FALSE,"1st Qtr Australia";#N/A,#N/A,FALSE,"1st Qtr Telecom";#N/A,#N/A,FALSE,"1st QTR Other"}</definedName>
    <definedName name="wrn.ALL." localSheetId="27" hidden="1">{#N/A,#N/A,FALSE,"Summary EPS";#N/A,#N/A,FALSE,"1st Qtr Electric";#N/A,#N/A,FALSE,"1st Qtr Australia";#N/A,#N/A,FALSE,"1st Qtr Telecom";#N/A,#N/A,FALSE,"1st QTR Other"}</definedName>
    <definedName name="wrn.ALL." localSheetId="28" hidden="1">{#N/A,#N/A,FALSE,"Summary EPS";#N/A,#N/A,FALSE,"1st Qtr Electric";#N/A,#N/A,FALSE,"1st Qtr Australia";#N/A,#N/A,FALSE,"1st Qtr Telecom";#N/A,#N/A,FALSE,"1st QTR Other"}</definedName>
    <definedName name="wrn.ALL." localSheetId="29" hidden="1">{#N/A,#N/A,FALSE,"Summary EPS";#N/A,#N/A,FALSE,"1st Qtr Electric";#N/A,#N/A,FALSE,"1st Qtr Australia";#N/A,#N/A,FALSE,"1st Qtr Telecom";#N/A,#N/A,FALSE,"1st QTR Other"}</definedName>
    <definedName name="wrn.ALL." localSheetId="30" hidden="1">{#N/A,#N/A,FALSE,"Summary EPS";#N/A,#N/A,FALSE,"1st Qtr Electric";#N/A,#N/A,FALSE,"1st Qtr Australia";#N/A,#N/A,FALSE,"1st Qtr Telecom";#N/A,#N/A,FALSE,"1st QTR Other"}</definedName>
    <definedName name="wrn.ALL." localSheetId="31" hidden="1">{#N/A,#N/A,FALSE,"Summary EPS";#N/A,#N/A,FALSE,"1st Qtr Electric";#N/A,#N/A,FALSE,"1st Qtr Australia";#N/A,#N/A,FALSE,"1st Qtr Telecom";#N/A,#N/A,FALSE,"1st QTR Other"}</definedName>
    <definedName name="wrn.ALL." localSheetId="37" hidden="1">{#N/A,#N/A,FALSE,"Summary EPS";#N/A,#N/A,FALSE,"1st Qtr Electric";#N/A,#N/A,FALSE,"1st Qtr Australia";#N/A,#N/A,FALSE,"1st Qtr Telecom";#N/A,#N/A,FALSE,"1st QTR Other"}</definedName>
    <definedName name="wrn.ALL." localSheetId="41" hidden="1">{#N/A,#N/A,FALSE,"Summary EPS";#N/A,#N/A,FALSE,"1st Qtr Electric";#N/A,#N/A,FALSE,"1st Qtr Australia";#N/A,#N/A,FALSE,"1st Qtr Telecom";#N/A,#N/A,FALSE,"1st QTR Other"}</definedName>
    <definedName name="wrn.ALL." localSheetId="42" hidden="1">{#N/A,#N/A,FALSE,"Summary EPS";#N/A,#N/A,FALSE,"1st Qtr Electric";#N/A,#N/A,FALSE,"1st Qtr Australia";#N/A,#N/A,FALSE,"1st Qtr Telecom";#N/A,#N/A,FALSE,"1st QTR Other"}</definedName>
    <definedName name="wrn.ALL." localSheetId="0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pages." localSheetId="1" hidden="1">{#N/A,#N/A,FALSE,"Summary 1";#N/A,#N/A,FALSE,"Domestic";#N/A,#N/A,FALSE,"Australia";#N/A,#N/A,FALSE,"Other"}</definedName>
    <definedName name="wrn.All._.pages." localSheetId="3" hidden="1">{#N/A,#N/A,FALSE,"Summary 1";#N/A,#N/A,FALSE,"Domestic";#N/A,#N/A,FALSE,"Australia";#N/A,#N/A,FALSE,"Other"}</definedName>
    <definedName name="wrn.All._.pages." localSheetId="4" hidden="1">{#N/A,#N/A,FALSE,"Summary 1";#N/A,#N/A,FALSE,"Domestic";#N/A,#N/A,FALSE,"Australia";#N/A,#N/A,FALSE,"Other"}</definedName>
    <definedName name="wrn.All._.pages." localSheetId="18" hidden="1">{#N/A,#N/A,FALSE,"Summary 1";#N/A,#N/A,FALSE,"Domestic";#N/A,#N/A,FALSE,"Australia";#N/A,#N/A,FALSE,"Other"}</definedName>
    <definedName name="wrn.All._.pages." localSheetId="19" hidden="1">{#N/A,#N/A,FALSE,"Summary 1";#N/A,#N/A,FALSE,"Domestic";#N/A,#N/A,FALSE,"Australia";#N/A,#N/A,FALSE,"Other"}</definedName>
    <definedName name="wrn.All._.pages." localSheetId="20" hidden="1">{#N/A,#N/A,FALSE,"Summary 1";#N/A,#N/A,FALSE,"Domestic";#N/A,#N/A,FALSE,"Australia";#N/A,#N/A,FALSE,"Other"}</definedName>
    <definedName name="wrn.All._.pages." localSheetId="21" hidden="1">{#N/A,#N/A,FALSE,"Summary 1";#N/A,#N/A,FALSE,"Domestic";#N/A,#N/A,FALSE,"Australia";#N/A,#N/A,FALSE,"Other"}</definedName>
    <definedName name="wrn.All._.pages." localSheetId="24" hidden="1">{#N/A,#N/A,FALSE,"Summary 1";#N/A,#N/A,FALSE,"Domestic";#N/A,#N/A,FALSE,"Australia";#N/A,#N/A,FALSE,"Other"}</definedName>
    <definedName name="wrn.All._.pages." localSheetId="27" hidden="1">{#N/A,#N/A,FALSE,"Summary 1";#N/A,#N/A,FALSE,"Domestic";#N/A,#N/A,FALSE,"Australia";#N/A,#N/A,FALSE,"Other"}</definedName>
    <definedName name="wrn.All._.pages." localSheetId="28" hidden="1">{#N/A,#N/A,FALSE,"Summary 1";#N/A,#N/A,FALSE,"Domestic";#N/A,#N/A,FALSE,"Australia";#N/A,#N/A,FALSE,"Other"}</definedName>
    <definedName name="wrn.All._.pages." localSheetId="29" hidden="1">{#N/A,#N/A,FALSE,"Summary 1";#N/A,#N/A,FALSE,"Domestic";#N/A,#N/A,FALSE,"Australia";#N/A,#N/A,FALSE,"Other"}</definedName>
    <definedName name="wrn.All._.pages." localSheetId="30" hidden="1">{#N/A,#N/A,FALSE,"Summary 1";#N/A,#N/A,FALSE,"Domestic";#N/A,#N/A,FALSE,"Australia";#N/A,#N/A,FALSE,"Other"}</definedName>
    <definedName name="wrn.All._.pages." localSheetId="31" hidden="1">{#N/A,#N/A,FALSE,"Summary 1";#N/A,#N/A,FALSE,"Domestic";#N/A,#N/A,FALSE,"Australia";#N/A,#N/A,FALSE,"Other"}</definedName>
    <definedName name="wrn.All._.pages." localSheetId="37" hidden="1">{#N/A,#N/A,FALSE,"Summary 1";#N/A,#N/A,FALSE,"Domestic";#N/A,#N/A,FALSE,"Australia";#N/A,#N/A,FALSE,"Other"}</definedName>
    <definedName name="wrn.All._.pages." localSheetId="41" hidden="1">{#N/A,#N/A,FALSE,"Summary 1";#N/A,#N/A,FALSE,"Domestic";#N/A,#N/A,FALSE,"Australia";#N/A,#N/A,FALSE,"Other"}</definedName>
    <definedName name="wrn.All._.pages." localSheetId="42" hidden="1">{#N/A,#N/A,FALSE,"Summary 1";#N/A,#N/A,FALSE,"Domestic";#N/A,#N/A,FALSE,"Australia";#N/A,#N/A,FALSE,"Other"}</definedName>
    <definedName name="wrn.All._.pages." localSheetId="0" hidden="1">{#N/A,#N/A,FALSE,"Summary 1";#N/A,#N/A,FALSE,"Domestic";#N/A,#N/A,FALSE,"Australia";#N/A,#N/A,FALSE,"Other"}</definedName>
    <definedName name="wrn.All._.pages." hidden="1">{#N/A,#N/A,FALSE,"Summary 1";#N/A,#N/A,FALSE,"Domestic";#N/A,#N/A,FALSE,"Australia";#N/A,#N/A,FALSE,"Other"}</definedName>
    <definedName name="wrn.All._.pages._1" localSheetId="1" hidden="1">{#N/A,#N/A,FALSE,"Summary 1";#N/A,#N/A,FALSE,"Domestic";#N/A,#N/A,FALSE,"Australia";#N/A,#N/A,FALSE,"Other"}</definedName>
    <definedName name="wrn.All._.pages._1" localSheetId="3" hidden="1">{#N/A,#N/A,FALSE,"Summary 1";#N/A,#N/A,FALSE,"Domestic";#N/A,#N/A,FALSE,"Australia";#N/A,#N/A,FALSE,"Other"}</definedName>
    <definedName name="wrn.All._.pages._1" localSheetId="4" hidden="1">{#N/A,#N/A,FALSE,"Summary 1";#N/A,#N/A,FALSE,"Domestic";#N/A,#N/A,FALSE,"Australia";#N/A,#N/A,FALSE,"Other"}</definedName>
    <definedName name="wrn.All._.pages._1" localSheetId="18" hidden="1">{#N/A,#N/A,FALSE,"Summary 1";#N/A,#N/A,FALSE,"Domestic";#N/A,#N/A,FALSE,"Australia";#N/A,#N/A,FALSE,"Other"}</definedName>
    <definedName name="wrn.All._.pages._1" localSheetId="19" hidden="1">{#N/A,#N/A,FALSE,"Summary 1";#N/A,#N/A,FALSE,"Domestic";#N/A,#N/A,FALSE,"Australia";#N/A,#N/A,FALSE,"Other"}</definedName>
    <definedName name="wrn.All._.pages._1" localSheetId="20" hidden="1">{#N/A,#N/A,FALSE,"Summary 1";#N/A,#N/A,FALSE,"Domestic";#N/A,#N/A,FALSE,"Australia";#N/A,#N/A,FALSE,"Other"}</definedName>
    <definedName name="wrn.All._.pages._1" localSheetId="21" hidden="1">{#N/A,#N/A,FALSE,"Summary 1";#N/A,#N/A,FALSE,"Domestic";#N/A,#N/A,FALSE,"Australia";#N/A,#N/A,FALSE,"Other"}</definedName>
    <definedName name="wrn.All._.pages._1" localSheetId="24" hidden="1">{#N/A,#N/A,FALSE,"Summary 1";#N/A,#N/A,FALSE,"Domestic";#N/A,#N/A,FALSE,"Australia";#N/A,#N/A,FALSE,"Other"}</definedName>
    <definedName name="wrn.All._.pages._1" localSheetId="27" hidden="1">{#N/A,#N/A,FALSE,"Summary 1";#N/A,#N/A,FALSE,"Domestic";#N/A,#N/A,FALSE,"Australia";#N/A,#N/A,FALSE,"Other"}</definedName>
    <definedName name="wrn.All._.pages._1" localSheetId="28" hidden="1">{#N/A,#N/A,FALSE,"Summary 1";#N/A,#N/A,FALSE,"Domestic";#N/A,#N/A,FALSE,"Australia";#N/A,#N/A,FALSE,"Other"}</definedName>
    <definedName name="wrn.All._.pages._1" localSheetId="29" hidden="1">{#N/A,#N/A,FALSE,"Summary 1";#N/A,#N/A,FALSE,"Domestic";#N/A,#N/A,FALSE,"Australia";#N/A,#N/A,FALSE,"Other"}</definedName>
    <definedName name="wrn.All._.pages._1" localSheetId="30" hidden="1">{#N/A,#N/A,FALSE,"Summary 1";#N/A,#N/A,FALSE,"Domestic";#N/A,#N/A,FALSE,"Australia";#N/A,#N/A,FALSE,"Other"}</definedName>
    <definedName name="wrn.All._.pages._1" localSheetId="31" hidden="1">{#N/A,#N/A,FALSE,"Summary 1";#N/A,#N/A,FALSE,"Domestic";#N/A,#N/A,FALSE,"Australia";#N/A,#N/A,FALSE,"Other"}</definedName>
    <definedName name="wrn.All._.pages._1" localSheetId="37" hidden="1">{#N/A,#N/A,FALSE,"Summary 1";#N/A,#N/A,FALSE,"Domestic";#N/A,#N/A,FALSE,"Australia";#N/A,#N/A,FALSE,"Other"}</definedName>
    <definedName name="wrn.All._.pages._1" localSheetId="41" hidden="1">{#N/A,#N/A,FALSE,"Summary 1";#N/A,#N/A,FALSE,"Domestic";#N/A,#N/A,FALSE,"Australia";#N/A,#N/A,FALSE,"Other"}</definedName>
    <definedName name="wrn.All._.pages._1" localSheetId="42" hidden="1">{#N/A,#N/A,FALSE,"Summary 1";#N/A,#N/A,FALSE,"Domestic";#N/A,#N/A,FALSE,"Australia";#N/A,#N/A,FALSE,"Other"}</definedName>
    <definedName name="wrn.All._.pages._1" localSheetId="0" hidden="1">{#N/A,#N/A,FALSE,"Summary 1";#N/A,#N/A,FALSE,"Domestic";#N/A,#N/A,FALSE,"Australia";#N/A,#N/A,FALSE,"Other"}</definedName>
    <definedName name="wrn.All._.pages._1" hidden="1">{#N/A,#N/A,FALSE,"Summary 1";#N/A,#N/A,FALSE,"Domestic";#N/A,#N/A,FALSE,"Australia";#N/A,#N/A,FALSE,"Other"}</definedName>
    <definedName name="wrn.All._.pages._2" localSheetId="1" hidden="1">{#N/A,#N/A,FALSE,"Summary 1";#N/A,#N/A,FALSE,"Domestic";#N/A,#N/A,FALSE,"Australia";#N/A,#N/A,FALSE,"Other"}</definedName>
    <definedName name="wrn.All._.pages._2" localSheetId="3" hidden="1">{#N/A,#N/A,FALSE,"Summary 1";#N/A,#N/A,FALSE,"Domestic";#N/A,#N/A,FALSE,"Australia";#N/A,#N/A,FALSE,"Other"}</definedName>
    <definedName name="wrn.All._.pages._2" localSheetId="4" hidden="1">{#N/A,#N/A,FALSE,"Summary 1";#N/A,#N/A,FALSE,"Domestic";#N/A,#N/A,FALSE,"Australia";#N/A,#N/A,FALSE,"Other"}</definedName>
    <definedName name="wrn.All._.pages._2" localSheetId="18" hidden="1">{#N/A,#N/A,FALSE,"Summary 1";#N/A,#N/A,FALSE,"Domestic";#N/A,#N/A,FALSE,"Australia";#N/A,#N/A,FALSE,"Other"}</definedName>
    <definedName name="wrn.All._.pages._2" localSheetId="19" hidden="1">{#N/A,#N/A,FALSE,"Summary 1";#N/A,#N/A,FALSE,"Domestic";#N/A,#N/A,FALSE,"Australia";#N/A,#N/A,FALSE,"Other"}</definedName>
    <definedName name="wrn.All._.pages._2" localSheetId="20" hidden="1">{#N/A,#N/A,FALSE,"Summary 1";#N/A,#N/A,FALSE,"Domestic";#N/A,#N/A,FALSE,"Australia";#N/A,#N/A,FALSE,"Other"}</definedName>
    <definedName name="wrn.All._.pages._2" localSheetId="21" hidden="1">{#N/A,#N/A,FALSE,"Summary 1";#N/A,#N/A,FALSE,"Domestic";#N/A,#N/A,FALSE,"Australia";#N/A,#N/A,FALSE,"Other"}</definedName>
    <definedName name="wrn.All._.pages._2" localSheetId="24" hidden="1">{#N/A,#N/A,FALSE,"Summary 1";#N/A,#N/A,FALSE,"Domestic";#N/A,#N/A,FALSE,"Australia";#N/A,#N/A,FALSE,"Other"}</definedName>
    <definedName name="wrn.All._.pages._2" localSheetId="27" hidden="1">{#N/A,#N/A,FALSE,"Summary 1";#N/A,#N/A,FALSE,"Domestic";#N/A,#N/A,FALSE,"Australia";#N/A,#N/A,FALSE,"Other"}</definedName>
    <definedName name="wrn.All._.pages._2" localSheetId="28" hidden="1">{#N/A,#N/A,FALSE,"Summary 1";#N/A,#N/A,FALSE,"Domestic";#N/A,#N/A,FALSE,"Australia";#N/A,#N/A,FALSE,"Other"}</definedName>
    <definedName name="wrn.All._.pages._2" localSheetId="29" hidden="1">{#N/A,#N/A,FALSE,"Summary 1";#N/A,#N/A,FALSE,"Domestic";#N/A,#N/A,FALSE,"Australia";#N/A,#N/A,FALSE,"Other"}</definedName>
    <definedName name="wrn.All._.pages._2" localSheetId="30" hidden="1">{#N/A,#N/A,FALSE,"Summary 1";#N/A,#N/A,FALSE,"Domestic";#N/A,#N/A,FALSE,"Australia";#N/A,#N/A,FALSE,"Other"}</definedName>
    <definedName name="wrn.All._.pages._2" localSheetId="31" hidden="1">{#N/A,#N/A,FALSE,"Summary 1";#N/A,#N/A,FALSE,"Domestic";#N/A,#N/A,FALSE,"Australia";#N/A,#N/A,FALSE,"Other"}</definedName>
    <definedName name="wrn.All._.pages._2" localSheetId="37" hidden="1">{#N/A,#N/A,FALSE,"Summary 1";#N/A,#N/A,FALSE,"Domestic";#N/A,#N/A,FALSE,"Australia";#N/A,#N/A,FALSE,"Other"}</definedName>
    <definedName name="wrn.All._.pages._2" localSheetId="41" hidden="1">{#N/A,#N/A,FALSE,"Summary 1";#N/A,#N/A,FALSE,"Domestic";#N/A,#N/A,FALSE,"Australia";#N/A,#N/A,FALSE,"Other"}</definedName>
    <definedName name="wrn.All._.pages._2" localSheetId="42" hidden="1">{#N/A,#N/A,FALSE,"Summary 1";#N/A,#N/A,FALSE,"Domestic";#N/A,#N/A,FALSE,"Australia";#N/A,#N/A,FALSE,"Other"}</definedName>
    <definedName name="wrn.All._.pages._2" localSheetId="0" hidden="1">{#N/A,#N/A,FALSE,"Summary 1";#N/A,#N/A,FALSE,"Domestic";#N/A,#N/A,FALSE,"Australia";#N/A,#N/A,FALSE,"Other"}</definedName>
    <definedName name="wrn.All._.pages._2" hidden="1">{#N/A,#N/A,FALSE,"Summary 1";#N/A,#N/A,FALSE,"Domestic";#N/A,#N/A,FALSE,"Australia";#N/A,#N/A,FALSE,"Other"}</definedName>
    <definedName name="wrn.All._.pages._3" localSheetId="1" hidden="1">{#N/A,#N/A,FALSE,"Summary 1";#N/A,#N/A,FALSE,"Domestic";#N/A,#N/A,FALSE,"Australia";#N/A,#N/A,FALSE,"Other"}</definedName>
    <definedName name="wrn.All._.pages._3" localSheetId="3" hidden="1">{#N/A,#N/A,FALSE,"Summary 1";#N/A,#N/A,FALSE,"Domestic";#N/A,#N/A,FALSE,"Australia";#N/A,#N/A,FALSE,"Other"}</definedName>
    <definedName name="wrn.All._.pages._3" localSheetId="4" hidden="1">{#N/A,#N/A,FALSE,"Summary 1";#N/A,#N/A,FALSE,"Domestic";#N/A,#N/A,FALSE,"Australia";#N/A,#N/A,FALSE,"Other"}</definedName>
    <definedName name="wrn.All._.pages._3" localSheetId="18" hidden="1">{#N/A,#N/A,FALSE,"Summary 1";#N/A,#N/A,FALSE,"Domestic";#N/A,#N/A,FALSE,"Australia";#N/A,#N/A,FALSE,"Other"}</definedName>
    <definedName name="wrn.All._.pages._3" localSheetId="19" hidden="1">{#N/A,#N/A,FALSE,"Summary 1";#N/A,#N/A,FALSE,"Domestic";#N/A,#N/A,FALSE,"Australia";#N/A,#N/A,FALSE,"Other"}</definedName>
    <definedName name="wrn.All._.pages._3" localSheetId="20" hidden="1">{#N/A,#N/A,FALSE,"Summary 1";#N/A,#N/A,FALSE,"Domestic";#N/A,#N/A,FALSE,"Australia";#N/A,#N/A,FALSE,"Other"}</definedName>
    <definedName name="wrn.All._.pages._3" localSheetId="21" hidden="1">{#N/A,#N/A,FALSE,"Summary 1";#N/A,#N/A,FALSE,"Domestic";#N/A,#N/A,FALSE,"Australia";#N/A,#N/A,FALSE,"Other"}</definedName>
    <definedName name="wrn.All._.pages._3" localSheetId="24" hidden="1">{#N/A,#N/A,FALSE,"Summary 1";#N/A,#N/A,FALSE,"Domestic";#N/A,#N/A,FALSE,"Australia";#N/A,#N/A,FALSE,"Other"}</definedName>
    <definedName name="wrn.All._.pages._3" localSheetId="27" hidden="1">{#N/A,#N/A,FALSE,"Summary 1";#N/A,#N/A,FALSE,"Domestic";#N/A,#N/A,FALSE,"Australia";#N/A,#N/A,FALSE,"Other"}</definedName>
    <definedName name="wrn.All._.pages._3" localSheetId="28" hidden="1">{#N/A,#N/A,FALSE,"Summary 1";#N/A,#N/A,FALSE,"Domestic";#N/A,#N/A,FALSE,"Australia";#N/A,#N/A,FALSE,"Other"}</definedName>
    <definedName name="wrn.All._.pages._3" localSheetId="29" hidden="1">{#N/A,#N/A,FALSE,"Summary 1";#N/A,#N/A,FALSE,"Domestic";#N/A,#N/A,FALSE,"Australia";#N/A,#N/A,FALSE,"Other"}</definedName>
    <definedName name="wrn.All._.pages._3" localSheetId="30" hidden="1">{#N/A,#N/A,FALSE,"Summary 1";#N/A,#N/A,FALSE,"Domestic";#N/A,#N/A,FALSE,"Australia";#N/A,#N/A,FALSE,"Other"}</definedName>
    <definedName name="wrn.All._.pages._3" localSheetId="31" hidden="1">{#N/A,#N/A,FALSE,"Summary 1";#N/A,#N/A,FALSE,"Domestic";#N/A,#N/A,FALSE,"Australia";#N/A,#N/A,FALSE,"Other"}</definedName>
    <definedName name="wrn.All._.pages._3" localSheetId="37" hidden="1">{#N/A,#N/A,FALSE,"Summary 1";#N/A,#N/A,FALSE,"Domestic";#N/A,#N/A,FALSE,"Australia";#N/A,#N/A,FALSE,"Other"}</definedName>
    <definedName name="wrn.All._.pages._3" localSheetId="41" hidden="1">{#N/A,#N/A,FALSE,"Summary 1";#N/A,#N/A,FALSE,"Domestic";#N/A,#N/A,FALSE,"Australia";#N/A,#N/A,FALSE,"Other"}</definedName>
    <definedName name="wrn.All._.pages._3" localSheetId="42" hidden="1">{#N/A,#N/A,FALSE,"Summary 1";#N/A,#N/A,FALSE,"Domestic";#N/A,#N/A,FALSE,"Australia";#N/A,#N/A,FALSE,"Other"}</definedName>
    <definedName name="wrn.All._.pages._3" localSheetId="0" hidden="1">{#N/A,#N/A,FALSE,"Summary 1";#N/A,#N/A,FALSE,"Domestic";#N/A,#N/A,FALSE,"Australia";#N/A,#N/A,FALSE,"Other"}</definedName>
    <definedName name="wrn.All._.pages._3" hidden="1">{#N/A,#N/A,FALSE,"Summary 1";#N/A,#N/A,FALSE,"Domestic";#N/A,#N/A,FALSE,"Australia";#N/A,#N/A,FALSE,"Other"}</definedName>
    <definedName name="wrn.All._.pages._4" localSheetId="1" hidden="1">{#N/A,#N/A,FALSE,"Summary 1";#N/A,#N/A,FALSE,"Domestic";#N/A,#N/A,FALSE,"Australia";#N/A,#N/A,FALSE,"Other"}</definedName>
    <definedName name="wrn.All._.pages._4" localSheetId="3" hidden="1">{#N/A,#N/A,FALSE,"Summary 1";#N/A,#N/A,FALSE,"Domestic";#N/A,#N/A,FALSE,"Australia";#N/A,#N/A,FALSE,"Other"}</definedName>
    <definedName name="wrn.All._.pages._4" localSheetId="4" hidden="1">{#N/A,#N/A,FALSE,"Summary 1";#N/A,#N/A,FALSE,"Domestic";#N/A,#N/A,FALSE,"Australia";#N/A,#N/A,FALSE,"Other"}</definedName>
    <definedName name="wrn.All._.pages._4" localSheetId="18" hidden="1">{#N/A,#N/A,FALSE,"Summary 1";#N/A,#N/A,FALSE,"Domestic";#N/A,#N/A,FALSE,"Australia";#N/A,#N/A,FALSE,"Other"}</definedName>
    <definedName name="wrn.All._.pages._4" localSheetId="19" hidden="1">{#N/A,#N/A,FALSE,"Summary 1";#N/A,#N/A,FALSE,"Domestic";#N/A,#N/A,FALSE,"Australia";#N/A,#N/A,FALSE,"Other"}</definedName>
    <definedName name="wrn.All._.pages._4" localSheetId="20" hidden="1">{#N/A,#N/A,FALSE,"Summary 1";#N/A,#N/A,FALSE,"Domestic";#N/A,#N/A,FALSE,"Australia";#N/A,#N/A,FALSE,"Other"}</definedName>
    <definedName name="wrn.All._.pages._4" localSheetId="21" hidden="1">{#N/A,#N/A,FALSE,"Summary 1";#N/A,#N/A,FALSE,"Domestic";#N/A,#N/A,FALSE,"Australia";#N/A,#N/A,FALSE,"Other"}</definedName>
    <definedName name="wrn.All._.pages._4" localSheetId="24" hidden="1">{#N/A,#N/A,FALSE,"Summary 1";#N/A,#N/A,FALSE,"Domestic";#N/A,#N/A,FALSE,"Australia";#N/A,#N/A,FALSE,"Other"}</definedName>
    <definedName name="wrn.All._.pages._4" localSheetId="27" hidden="1">{#N/A,#N/A,FALSE,"Summary 1";#N/A,#N/A,FALSE,"Domestic";#N/A,#N/A,FALSE,"Australia";#N/A,#N/A,FALSE,"Other"}</definedName>
    <definedName name="wrn.All._.pages._4" localSheetId="28" hidden="1">{#N/A,#N/A,FALSE,"Summary 1";#N/A,#N/A,FALSE,"Domestic";#N/A,#N/A,FALSE,"Australia";#N/A,#N/A,FALSE,"Other"}</definedName>
    <definedName name="wrn.All._.pages._4" localSheetId="29" hidden="1">{#N/A,#N/A,FALSE,"Summary 1";#N/A,#N/A,FALSE,"Domestic";#N/A,#N/A,FALSE,"Australia";#N/A,#N/A,FALSE,"Other"}</definedName>
    <definedName name="wrn.All._.pages._4" localSheetId="30" hidden="1">{#N/A,#N/A,FALSE,"Summary 1";#N/A,#N/A,FALSE,"Domestic";#N/A,#N/A,FALSE,"Australia";#N/A,#N/A,FALSE,"Other"}</definedName>
    <definedName name="wrn.All._.pages._4" localSheetId="31" hidden="1">{#N/A,#N/A,FALSE,"Summary 1";#N/A,#N/A,FALSE,"Domestic";#N/A,#N/A,FALSE,"Australia";#N/A,#N/A,FALSE,"Other"}</definedName>
    <definedName name="wrn.All._.pages._4" localSheetId="37" hidden="1">{#N/A,#N/A,FALSE,"Summary 1";#N/A,#N/A,FALSE,"Domestic";#N/A,#N/A,FALSE,"Australia";#N/A,#N/A,FALSE,"Other"}</definedName>
    <definedName name="wrn.All._.pages._4" localSheetId="41" hidden="1">{#N/A,#N/A,FALSE,"Summary 1";#N/A,#N/A,FALSE,"Domestic";#N/A,#N/A,FALSE,"Australia";#N/A,#N/A,FALSE,"Other"}</definedName>
    <definedName name="wrn.All._.pages._4" localSheetId="42" hidden="1">{#N/A,#N/A,FALSE,"Summary 1";#N/A,#N/A,FALSE,"Domestic";#N/A,#N/A,FALSE,"Australia";#N/A,#N/A,FALSE,"Other"}</definedName>
    <definedName name="wrn.All._.pages._4" localSheetId="0" hidden="1">{#N/A,#N/A,FALSE,"Summary 1";#N/A,#N/A,FALSE,"Domestic";#N/A,#N/A,FALSE,"Australia";#N/A,#N/A,FALSE,"Other"}</definedName>
    <definedName name="wrn.All._.pages._4" hidden="1">{#N/A,#N/A,FALSE,"Summary 1";#N/A,#N/A,FALSE,"Domestic";#N/A,#N/A,FALSE,"Australia";#N/A,#N/A,FALSE,"Other"}</definedName>
    <definedName name="wrn.All._.pages._5" localSheetId="1" hidden="1">{#N/A,#N/A,FALSE,"Summary 1";#N/A,#N/A,FALSE,"Domestic";#N/A,#N/A,FALSE,"Australia";#N/A,#N/A,FALSE,"Other"}</definedName>
    <definedName name="wrn.All._.pages._5" localSheetId="3" hidden="1">{#N/A,#N/A,FALSE,"Summary 1";#N/A,#N/A,FALSE,"Domestic";#N/A,#N/A,FALSE,"Australia";#N/A,#N/A,FALSE,"Other"}</definedName>
    <definedName name="wrn.All._.pages._5" localSheetId="4" hidden="1">{#N/A,#N/A,FALSE,"Summary 1";#N/A,#N/A,FALSE,"Domestic";#N/A,#N/A,FALSE,"Australia";#N/A,#N/A,FALSE,"Other"}</definedName>
    <definedName name="wrn.All._.pages._5" localSheetId="18" hidden="1">{#N/A,#N/A,FALSE,"Summary 1";#N/A,#N/A,FALSE,"Domestic";#N/A,#N/A,FALSE,"Australia";#N/A,#N/A,FALSE,"Other"}</definedName>
    <definedName name="wrn.All._.pages._5" localSheetId="19" hidden="1">{#N/A,#N/A,FALSE,"Summary 1";#N/A,#N/A,FALSE,"Domestic";#N/A,#N/A,FALSE,"Australia";#N/A,#N/A,FALSE,"Other"}</definedName>
    <definedName name="wrn.All._.pages._5" localSheetId="20" hidden="1">{#N/A,#N/A,FALSE,"Summary 1";#N/A,#N/A,FALSE,"Domestic";#N/A,#N/A,FALSE,"Australia";#N/A,#N/A,FALSE,"Other"}</definedName>
    <definedName name="wrn.All._.pages._5" localSheetId="21" hidden="1">{#N/A,#N/A,FALSE,"Summary 1";#N/A,#N/A,FALSE,"Domestic";#N/A,#N/A,FALSE,"Australia";#N/A,#N/A,FALSE,"Other"}</definedName>
    <definedName name="wrn.All._.pages._5" localSheetId="24" hidden="1">{#N/A,#N/A,FALSE,"Summary 1";#N/A,#N/A,FALSE,"Domestic";#N/A,#N/A,FALSE,"Australia";#N/A,#N/A,FALSE,"Other"}</definedName>
    <definedName name="wrn.All._.pages._5" localSheetId="27" hidden="1">{#N/A,#N/A,FALSE,"Summary 1";#N/A,#N/A,FALSE,"Domestic";#N/A,#N/A,FALSE,"Australia";#N/A,#N/A,FALSE,"Other"}</definedName>
    <definedName name="wrn.All._.pages._5" localSheetId="28" hidden="1">{#N/A,#N/A,FALSE,"Summary 1";#N/A,#N/A,FALSE,"Domestic";#N/A,#N/A,FALSE,"Australia";#N/A,#N/A,FALSE,"Other"}</definedName>
    <definedName name="wrn.All._.pages._5" localSheetId="29" hidden="1">{#N/A,#N/A,FALSE,"Summary 1";#N/A,#N/A,FALSE,"Domestic";#N/A,#N/A,FALSE,"Australia";#N/A,#N/A,FALSE,"Other"}</definedName>
    <definedName name="wrn.All._.pages._5" localSheetId="30" hidden="1">{#N/A,#N/A,FALSE,"Summary 1";#N/A,#N/A,FALSE,"Domestic";#N/A,#N/A,FALSE,"Australia";#N/A,#N/A,FALSE,"Other"}</definedName>
    <definedName name="wrn.All._.pages._5" localSheetId="31" hidden="1">{#N/A,#N/A,FALSE,"Summary 1";#N/A,#N/A,FALSE,"Domestic";#N/A,#N/A,FALSE,"Australia";#N/A,#N/A,FALSE,"Other"}</definedName>
    <definedName name="wrn.All._.pages._5" localSheetId="37" hidden="1">{#N/A,#N/A,FALSE,"Summary 1";#N/A,#N/A,FALSE,"Domestic";#N/A,#N/A,FALSE,"Australia";#N/A,#N/A,FALSE,"Other"}</definedName>
    <definedName name="wrn.All._.pages._5" localSheetId="41" hidden="1">{#N/A,#N/A,FALSE,"Summary 1";#N/A,#N/A,FALSE,"Domestic";#N/A,#N/A,FALSE,"Australia";#N/A,#N/A,FALSE,"Other"}</definedName>
    <definedName name="wrn.All._.pages._5" localSheetId="42" hidden="1">{#N/A,#N/A,FALSE,"Summary 1";#N/A,#N/A,FALSE,"Domestic";#N/A,#N/A,FALSE,"Australia";#N/A,#N/A,FALSE,"Other"}</definedName>
    <definedName name="wrn.All._.pages._5" localSheetId="0" hidden="1">{#N/A,#N/A,FALSE,"Summary 1";#N/A,#N/A,FALSE,"Domestic";#N/A,#N/A,FALSE,"Australia";#N/A,#N/A,FALSE,"Other"}</definedName>
    <definedName name="wrn.All._.pages._5" hidden="1">{#N/A,#N/A,FALSE,"Summary 1";#N/A,#N/A,FALSE,"Domestic";#N/A,#N/A,FALSE,"Australia";#N/A,#N/A,FALSE,"Other"}</definedName>
    <definedName name="wrn.ALL._1" localSheetId="1" hidden="1">{#N/A,#N/A,FALSE,"Summary EPS";#N/A,#N/A,FALSE,"1st Qtr Electric";#N/A,#N/A,FALSE,"1st Qtr Australia";#N/A,#N/A,FALSE,"1st Qtr Telecom";#N/A,#N/A,FALSE,"1st QTR Other"}</definedName>
    <definedName name="wrn.ALL._1" localSheetId="3" hidden="1">{#N/A,#N/A,FALSE,"Summary EPS";#N/A,#N/A,FALSE,"1st Qtr Electric";#N/A,#N/A,FALSE,"1st Qtr Australia";#N/A,#N/A,FALSE,"1st Qtr Telecom";#N/A,#N/A,FALSE,"1st QTR Other"}</definedName>
    <definedName name="wrn.ALL._1" localSheetId="4" hidden="1">{#N/A,#N/A,FALSE,"Summary EPS";#N/A,#N/A,FALSE,"1st Qtr Electric";#N/A,#N/A,FALSE,"1st Qtr Australia";#N/A,#N/A,FALSE,"1st Qtr Telecom";#N/A,#N/A,FALSE,"1st QTR Other"}</definedName>
    <definedName name="wrn.ALL._1" localSheetId="18" hidden="1">{#N/A,#N/A,FALSE,"Summary EPS";#N/A,#N/A,FALSE,"1st Qtr Electric";#N/A,#N/A,FALSE,"1st Qtr Australia";#N/A,#N/A,FALSE,"1st Qtr Telecom";#N/A,#N/A,FALSE,"1st QTR Other"}</definedName>
    <definedName name="wrn.ALL._1" localSheetId="19" hidden="1">{#N/A,#N/A,FALSE,"Summary EPS";#N/A,#N/A,FALSE,"1st Qtr Electric";#N/A,#N/A,FALSE,"1st Qtr Australia";#N/A,#N/A,FALSE,"1st Qtr Telecom";#N/A,#N/A,FALSE,"1st QTR Other"}</definedName>
    <definedName name="wrn.ALL._1" localSheetId="20" hidden="1">{#N/A,#N/A,FALSE,"Summary EPS";#N/A,#N/A,FALSE,"1st Qtr Electric";#N/A,#N/A,FALSE,"1st Qtr Australia";#N/A,#N/A,FALSE,"1st Qtr Telecom";#N/A,#N/A,FALSE,"1st QTR Other"}</definedName>
    <definedName name="wrn.ALL._1" localSheetId="21" hidden="1">{#N/A,#N/A,FALSE,"Summary EPS";#N/A,#N/A,FALSE,"1st Qtr Electric";#N/A,#N/A,FALSE,"1st Qtr Australia";#N/A,#N/A,FALSE,"1st Qtr Telecom";#N/A,#N/A,FALSE,"1st QTR Other"}</definedName>
    <definedName name="wrn.ALL._1" localSheetId="24" hidden="1">{#N/A,#N/A,FALSE,"Summary EPS";#N/A,#N/A,FALSE,"1st Qtr Electric";#N/A,#N/A,FALSE,"1st Qtr Australia";#N/A,#N/A,FALSE,"1st Qtr Telecom";#N/A,#N/A,FALSE,"1st QTR Other"}</definedName>
    <definedName name="wrn.ALL._1" localSheetId="27" hidden="1">{#N/A,#N/A,FALSE,"Summary EPS";#N/A,#N/A,FALSE,"1st Qtr Electric";#N/A,#N/A,FALSE,"1st Qtr Australia";#N/A,#N/A,FALSE,"1st Qtr Telecom";#N/A,#N/A,FALSE,"1st QTR Other"}</definedName>
    <definedName name="wrn.ALL._1" localSheetId="28" hidden="1">{#N/A,#N/A,FALSE,"Summary EPS";#N/A,#N/A,FALSE,"1st Qtr Electric";#N/A,#N/A,FALSE,"1st Qtr Australia";#N/A,#N/A,FALSE,"1st Qtr Telecom";#N/A,#N/A,FALSE,"1st QTR Other"}</definedName>
    <definedName name="wrn.ALL._1" localSheetId="29" hidden="1">{#N/A,#N/A,FALSE,"Summary EPS";#N/A,#N/A,FALSE,"1st Qtr Electric";#N/A,#N/A,FALSE,"1st Qtr Australia";#N/A,#N/A,FALSE,"1st Qtr Telecom";#N/A,#N/A,FALSE,"1st QTR Other"}</definedName>
    <definedName name="wrn.ALL._1" localSheetId="30" hidden="1">{#N/A,#N/A,FALSE,"Summary EPS";#N/A,#N/A,FALSE,"1st Qtr Electric";#N/A,#N/A,FALSE,"1st Qtr Australia";#N/A,#N/A,FALSE,"1st Qtr Telecom";#N/A,#N/A,FALSE,"1st QTR Other"}</definedName>
    <definedName name="wrn.ALL._1" localSheetId="31" hidden="1">{#N/A,#N/A,FALSE,"Summary EPS";#N/A,#N/A,FALSE,"1st Qtr Electric";#N/A,#N/A,FALSE,"1st Qtr Australia";#N/A,#N/A,FALSE,"1st Qtr Telecom";#N/A,#N/A,FALSE,"1st QTR Other"}</definedName>
    <definedName name="wrn.ALL._1" localSheetId="37" hidden="1">{#N/A,#N/A,FALSE,"Summary EPS";#N/A,#N/A,FALSE,"1st Qtr Electric";#N/A,#N/A,FALSE,"1st Qtr Australia";#N/A,#N/A,FALSE,"1st Qtr Telecom";#N/A,#N/A,FALSE,"1st QTR Other"}</definedName>
    <definedName name="wrn.ALL._1" localSheetId="41" hidden="1">{#N/A,#N/A,FALSE,"Summary EPS";#N/A,#N/A,FALSE,"1st Qtr Electric";#N/A,#N/A,FALSE,"1st Qtr Australia";#N/A,#N/A,FALSE,"1st Qtr Telecom";#N/A,#N/A,FALSE,"1st QTR Other"}</definedName>
    <definedName name="wrn.ALL._1" localSheetId="42" hidden="1">{#N/A,#N/A,FALSE,"Summary EPS";#N/A,#N/A,FALSE,"1st Qtr Electric";#N/A,#N/A,FALSE,"1st Qtr Australia";#N/A,#N/A,FALSE,"1st Qtr Telecom";#N/A,#N/A,FALSE,"1st QTR Other"}</definedName>
    <definedName name="wrn.ALL._1" localSheetId="0" hidden="1">{#N/A,#N/A,FALSE,"Summary EPS";#N/A,#N/A,FALSE,"1st Qtr Electric";#N/A,#N/A,FALSE,"1st Qtr Australia";#N/A,#N/A,FALSE,"1st Qtr Telecom";#N/A,#N/A,FALSE,"1st QTR Other"}</definedName>
    <definedName name="wrn.ALL._1" hidden="1">{#N/A,#N/A,FALSE,"Summary EPS";#N/A,#N/A,FALSE,"1st Qtr Electric";#N/A,#N/A,FALSE,"1st Qtr Australia";#N/A,#N/A,FALSE,"1st Qtr Telecom";#N/A,#N/A,FALSE,"1st QTR Other"}</definedName>
    <definedName name="wrn.ALL._2" localSheetId="1" hidden="1">{#N/A,#N/A,FALSE,"Summary EPS";#N/A,#N/A,FALSE,"1st Qtr Electric";#N/A,#N/A,FALSE,"1st Qtr Australia";#N/A,#N/A,FALSE,"1st Qtr Telecom";#N/A,#N/A,FALSE,"1st QTR Other"}</definedName>
    <definedName name="wrn.ALL._2" localSheetId="3" hidden="1">{#N/A,#N/A,FALSE,"Summary EPS";#N/A,#N/A,FALSE,"1st Qtr Electric";#N/A,#N/A,FALSE,"1st Qtr Australia";#N/A,#N/A,FALSE,"1st Qtr Telecom";#N/A,#N/A,FALSE,"1st QTR Other"}</definedName>
    <definedName name="wrn.ALL._2" localSheetId="4" hidden="1">{#N/A,#N/A,FALSE,"Summary EPS";#N/A,#N/A,FALSE,"1st Qtr Electric";#N/A,#N/A,FALSE,"1st Qtr Australia";#N/A,#N/A,FALSE,"1st Qtr Telecom";#N/A,#N/A,FALSE,"1st QTR Other"}</definedName>
    <definedName name="wrn.ALL._2" localSheetId="18" hidden="1">{#N/A,#N/A,FALSE,"Summary EPS";#N/A,#N/A,FALSE,"1st Qtr Electric";#N/A,#N/A,FALSE,"1st Qtr Australia";#N/A,#N/A,FALSE,"1st Qtr Telecom";#N/A,#N/A,FALSE,"1st QTR Other"}</definedName>
    <definedName name="wrn.ALL._2" localSheetId="19" hidden="1">{#N/A,#N/A,FALSE,"Summary EPS";#N/A,#N/A,FALSE,"1st Qtr Electric";#N/A,#N/A,FALSE,"1st Qtr Australia";#N/A,#N/A,FALSE,"1st Qtr Telecom";#N/A,#N/A,FALSE,"1st QTR Other"}</definedName>
    <definedName name="wrn.ALL._2" localSheetId="20" hidden="1">{#N/A,#N/A,FALSE,"Summary EPS";#N/A,#N/A,FALSE,"1st Qtr Electric";#N/A,#N/A,FALSE,"1st Qtr Australia";#N/A,#N/A,FALSE,"1st Qtr Telecom";#N/A,#N/A,FALSE,"1st QTR Other"}</definedName>
    <definedName name="wrn.ALL._2" localSheetId="21" hidden="1">{#N/A,#N/A,FALSE,"Summary EPS";#N/A,#N/A,FALSE,"1st Qtr Electric";#N/A,#N/A,FALSE,"1st Qtr Australia";#N/A,#N/A,FALSE,"1st Qtr Telecom";#N/A,#N/A,FALSE,"1st QTR Other"}</definedName>
    <definedName name="wrn.ALL._2" localSheetId="24" hidden="1">{#N/A,#N/A,FALSE,"Summary EPS";#N/A,#N/A,FALSE,"1st Qtr Electric";#N/A,#N/A,FALSE,"1st Qtr Australia";#N/A,#N/A,FALSE,"1st Qtr Telecom";#N/A,#N/A,FALSE,"1st QTR Other"}</definedName>
    <definedName name="wrn.ALL._2" localSheetId="27" hidden="1">{#N/A,#N/A,FALSE,"Summary EPS";#N/A,#N/A,FALSE,"1st Qtr Electric";#N/A,#N/A,FALSE,"1st Qtr Australia";#N/A,#N/A,FALSE,"1st Qtr Telecom";#N/A,#N/A,FALSE,"1st QTR Other"}</definedName>
    <definedName name="wrn.ALL._2" localSheetId="28" hidden="1">{#N/A,#N/A,FALSE,"Summary EPS";#N/A,#N/A,FALSE,"1st Qtr Electric";#N/A,#N/A,FALSE,"1st Qtr Australia";#N/A,#N/A,FALSE,"1st Qtr Telecom";#N/A,#N/A,FALSE,"1st QTR Other"}</definedName>
    <definedName name="wrn.ALL._2" localSheetId="29" hidden="1">{#N/A,#N/A,FALSE,"Summary EPS";#N/A,#N/A,FALSE,"1st Qtr Electric";#N/A,#N/A,FALSE,"1st Qtr Australia";#N/A,#N/A,FALSE,"1st Qtr Telecom";#N/A,#N/A,FALSE,"1st QTR Other"}</definedName>
    <definedName name="wrn.ALL._2" localSheetId="30" hidden="1">{#N/A,#N/A,FALSE,"Summary EPS";#N/A,#N/A,FALSE,"1st Qtr Electric";#N/A,#N/A,FALSE,"1st Qtr Australia";#N/A,#N/A,FALSE,"1st Qtr Telecom";#N/A,#N/A,FALSE,"1st QTR Other"}</definedName>
    <definedName name="wrn.ALL._2" localSheetId="31" hidden="1">{#N/A,#N/A,FALSE,"Summary EPS";#N/A,#N/A,FALSE,"1st Qtr Electric";#N/A,#N/A,FALSE,"1st Qtr Australia";#N/A,#N/A,FALSE,"1st Qtr Telecom";#N/A,#N/A,FALSE,"1st QTR Other"}</definedName>
    <definedName name="wrn.ALL._2" localSheetId="37" hidden="1">{#N/A,#N/A,FALSE,"Summary EPS";#N/A,#N/A,FALSE,"1st Qtr Electric";#N/A,#N/A,FALSE,"1st Qtr Australia";#N/A,#N/A,FALSE,"1st Qtr Telecom";#N/A,#N/A,FALSE,"1st QTR Other"}</definedName>
    <definedName name="wrn.ALL._2" localSheetId="41" hidden="1">{#N/A,#N/A,FALSE,"Summary EPS";#N/A,#N/A,FALSE,"1st Qtr Electric";#N/A,#N/A,FALSE,"1st Qtr Australia";#N/A,#N/A,FALSE,"1st Qtr Telecom";#N/A,#N/A,FALSE,"1st QTR Other"}</definedName>
    <definedName name="wrn.ALL._2" localSheetId="42" hidden="1">{#N/A,#N/A,FALSE,"Summary EPS";#N/A,#N/A,FALSE,"1st Qtr Electric";#N/A,#N/A,FALSE,"1st Qtr Australia";#N/A,#N/A,FALSE,"1st Qtr Telecom";#N/A,#N/A,FALSE,"1st QTR Other"}</definedName>
    <definedName name="wrn.ALL._2" localSheetId="0" hidden="1">{#N/A,#N/A,FALSE,"Summary EPS";#N/A,#N/A,FALSE,"1st Qtr Electric";#N/A,#N/A,FALSE,"1st Qtr Australia";#N/A,#N/A,FALSE,"1st Qtr Telecom";#N/A,#N/A,FALSE,"1st QTR Other"}</definedName>
    <definedName name="wrn.ALL._2" hidden="1">{#N/A,#N/A,FALSE,"Summary EPS";#N/A,#N/A,FALSE,"1st Qtr Electric";#N/A,#N/A,FALSE,"1st Qtr Australia";#N/A,#N/A,FALSE,"1st Qtr Telecom";#N/A,#N/A,FALSE,"1st QTR Other"}</definedName>
    <definedName name="wrn.ALL._3" localSheetId="1" hidden="1">{#N/A,#N/A,FALSE,"Summary EPS";#N/A,#N/A,FALSE,"1st Qtr Electric";#N/A,#N/A,FALSE,"1st Qtr Australia";#N/A,#N/A,FALSE,"1st Qtr Telecom";#N/A,#N/A,FALSE,"1st QTR Other"}</definedName>
    <definedName name="wrn.ALL._3" localSheetId="3" hidden="1">{#N/A,#N/A,FALSE,"Summary EPS";#N/A,#N/A,FALSE,"1st Qtr Electric";#N/A,#N/A,FALSE,"1st Qtr Australia";#N/A,#N/A,FALSE,"1st Qtr Telecom";#N/A,#N/A,FALSE,"1st QTR Other"}</definedName>
    <definedName name="wrn.ALL._3" localSheetId="4" hidden="1">{#N/A,#N/A,FALSE,"Summary EPS";#N/A,#N/A,FALSE,"1st Qtr Electric";#N/A,#N/A,FALSE,"1st Qtr Australia";#N/A,#N/A,FALSE,"1st Qtr Telecom";#N/A,#N/A,FALSE,"1st QTR Other"}</definedName>
    <definedName name="wrn.ALL._3" localSheetId="18" hidden="1">{#N/A,#N/A,FALSE,"Summary EPS";#N/A,#N/A,FALSE,"1st Qtr Electric";#N/A,#N/A,FALSE,"1st Qtr Australia";#N/A,#N/A,FALSE,"1st Qtr Telecom";#N/A,#N/A,FALSE,"1st QTR Other"}</definedName>
    <definedName name="wrn.ALL._3" localSheetId="19" hidden="1">{#N/A,#N/A,FALSE,"Summary EPS";#N/A,#N/A,FALSE,"1st Qtr Electric";#N/A,#N/A,FALSE,"1st Qtr Australia";#N/A,#N/A,FALSE,"1st Qtr Telecom";#N/A,#N/A,FALSE,"1st QTR Other"}</definedName>
    <definedName name="wrn.ALL._3" localSheetId="20" hidden="1">{#N/A,#N/A,FALSE,"Summary EPS";#N/A,#N/A,FALSE,"1st Qtr Electric";#N/A,#N/A,FALSE,"1st Qtr Australia";#N/A,#N/A,FALSE,"1st Qtr Telecom";#N/A,#N/A,FALSE,"1st QTR Other"}</definedName>
    <definedName name="wrn.ALL._3" localSheetId="21" hidden="1">{#N/A,#N/A,FALSE,"Summary EPS";#N/A,#N/A,FALSE,"1st Qtr Electric";#N/A,#N/A,FALSE,"1st Qtr Australia";#N/A,#N/A,FALSE,"1st Qtr Telecom";#N/A,#N/A,FALSE,"1st QTR Other"}</definedName>
    <definedName name="wrn.ALL._3" localSheetId="24" hidden="1">{#N/A,#N/A,FALSE,"Summary EPS";#N/A,#N/A,FALSE,"1st Qtr Electric";#N/A,#N/A,FALSE,"1st Qtr Australia";#N/A,#N/A,FALSE,"1st Qtr Telecom";#N/A,#N/A,FALSE,"1st QTR Other"}</definedName>
    <definedName name="wrn.ALL._3" localSheetId="27" hidden="1">{#N/A,#N/A,FALSE,"Summary EPS";#N/A,#N/A,FALSE,"1st Qtr Electric";#N/A,#N/A,FALSE,"1st Qtr Australia";#N/A,#N/A,FALSE,"1st Qtr Telecom";#N/A,#N/A,FALSE,"1st QTR Other"}</definedName>
    <definedName name="wrn.ALL._3" localSheetId="28" hidden="1">{#N/A,#N/A,FALSE,"Summary EPS";#N/A,#N/A,FALSE,"1st Qtr Electric";#N/A,#N/A,FALSE,"1st Qtr Australia";#N/A,#N/A,FALSE,"1st Qtr Telecom";#N/A,#N/A,FALSE,"1st QTR Other"}</definedName>
    <definedName name="wrn.ALL._3" localSheetId="29" hidden="1">{#N/A,#N/A,FALSE,"Summary EPS";#N/A,#N/A,FALSE,"1st Qtr Electric";#N/A,#N/A,FALSE,"1st Qtr Australia";#N/A,#N/A,FALSE,"1st Qtr Telecom";#N/A,#N/A,FALSE,"1st QTR Other"}</definedName>
    <definedName name="wrn.ALL._3" localSheetId="30" hidden="1">{#N/A,#N/A,FALSE,"Summary EPS";#N/A,#N/A,FALSE,"1st Qtr Electric";#N/A,#N/A,FALSE,"1st Qtr Australia";#N/A,#N/A,FALSE,"1st Qtr Telecom";#N/A,#N/A,FALSE,"1st QTR Other"}</definedName>
    <definedName name="wrn.ALL._3" localSheetId="31" hidden="1">{#N/A,#N/A,FALSE,"Summary EPS";#N/A,#N/A,FALSE,"1st Qtr Electric";#N/A,#N/A,FALSE,"1st Qtr Australia";#N/A,#N/A,FALSE,"1st Qtr Telecom";#N/A,#N/A,FALSE,"1st QTR Other"}</definedName>
    <definedName name="wrn.ALL._3" localSheetId="37" hidden="1">{#N/A,#N/A,FALSE,"Summary EPS";#N/A,#N/A,FALSE,"1st Qtr Electric";#N/A,#N/A,FALSE,"1st Qtr Australia";#N/A,#N/A,FALSE,"1st Qtr Telecom";#N/A,#N/A,FALSE,"1st QTR Other"}</definedName>
    <definedName name="wrn.ALL._3" localSheetId="41" hidden="1">{#N/A,#N/A,FALSE,"Summary EPS";#N/A,#N/A,FALSE,"1st Qtr Electric";#N/A,#N/A,FALSE,"1st Qtr Australia";#N/A,#N/A,FALSE,"1st Qtr Telecom";#N/A,#N/A,FALSE,"1st QTR Other"}</definedName>
    <definedName name="wrn.ALL._3" localSheetId="42" hidden="1">{#N/A,#N/A,FALSE,"Summary EPS";#N/A,#N/A,FALSE,"1st Qtr Electric";#N/A,#N/A,FALSE,"1st Qtr Australia";#N/A,#N/A,FALSE,"1st Qtr Telecom";#N/A,#N/A,FALSE,"1st QTR Other"}</definedName>
    <definedName name="wrn.ALL._3" localSheetId="0" hidden="1">{#N/A,#N/A,FALSE,"Summary EPS";#N/A,#N/A,FALSE,"1st Qtr Electric";#N/A,#N/A,FALSE,"1st Qtr Australia";#N/A,#N/A,FALSE,"1st Qtr Telecom";#N/A,#N/A,FALSE,"1st QTR Other"}</definedName>
    <definedName name="wrn.ALL._3" hidden="1">{#N/A,#N/A,FALSE,"Summary EPS";#N/A,#N/A,FALSE,"1st Qtr Electric";#N/A,#N/A,FALSE,"1st Qtr Australia";#N/A,#N/A,FALSE,"1st Qtr Telecom";#N/A,#N/A,FALSE,"1st QTR Other"}</definedName>
    <definedName name="wrn.ALL._4" localSheetId="1" hidden="1">{#N/A,#N/A,FALSE,"Summary EPS";#N/A,#N/A,FALSE,"1st Qtr Electric";#N/A,#N/A,FALSE,"1st Qtr Australia";#N/A,#N/A,FALSE,"1st Qtr Telecom";#N/A,#N/A,FALSE,"1st QTR Other"}</definedName>
    <definedName name="wrn.ALL._4" localSheetId="3" hidden="1">{#N/A,#N/A,FALSE,"Summary EPS";#N/A,#N/A,FALSE,"1st Qtr Electric";#N/A,#N/A,FALSE,"1st Qtr Australia";#N/A,#N/A,FALSE,"1st Qtr Telecom";#N/A,#N/A,FALSE,"1st QTR Other"}</definedName>
    <definedName name="wrn.ALL._4" localSheetId="4" hidden="1">{#N/A,#N/A,FALSE,"Summary EPS";#N/A,#N/A,FALSE,"1st Qtr Electric";#N/A,#N/A,FALSE,"1st Qtr Australia";#N/A,#N/A,FALSE,"1st Qtr Telecom";#N/A,#N/A,FALSE,"1st QTR Other"}</definedName>
    <definedName name="wrn.ALL._4" localSheetId="18" hidden="1">{#N/A,#N/A,FALSE,"Summary EPS";#N/A,#N/A,FALSE,"1st Qtr Electric";#N/A,#N/A,FALSE,"1st Qtr Australia";#N/A,#N/A,FALSE,"1st Qtr Telecom";#N/A,#N/A,FALSE,"1st QTR Other"}</definedName>
    <definedName name="wrn.ALL._4" localSheetId="19" hidden="1">{#N/A,#N/A,FALSE,"Summary EPS";#N/A,#N/A,FALSE,"1st Qtr Electric";#N/A,#N/A,FALSE,"1st Qtr Australia";#N/A,#N/A,FALSE,"1st Qtr Telecom";#N/A,#N/A,FALSE,"1st QTR Other"}</definedName>
    <definedName name="wrn.ALL._4" localSheetId="20" hidden="1">{#N/A,#N/A,FALSE,"Summary EPS";#N/A,#N/A,FALSE,"1st Qtr Electric";#N/A,#N/A,FALSE,"1st Qtr Australia";#N/A,#N/A,FALSE,"1st Qtr Telecom";#N/A,#N/A,FALSE,"1st QTR Other"}</definedName>
    <definedName name="wrn.ALL._4" localSheetId="21" hidden="1">{#N/A,#N/A,FALSE,"Summary EPS";#N/A,#N/A,FALSE,"1st Qtr Electric";#N/A,#N/A,FALSE,"1st Qtr Australia";#N/A,#N/A,FALSE,"1st Qtr Telecom";#N/A,#N/A,FALSE,"1st QTR Other"}</definedName>
    <definedName name="wrn.ALL._4" localSheetId="24" hidden="1">{#N/A,#N/A,FALSE,"Summary EPS";#N/A,#N/A,FALSE,"1st Qtr Electric";#N/A,#N/A,FALSE,"1st Qtr Australia";#N/A,#N/A,FALSE,"1st Qtr Telecom";#N/A,#N/A,FALSE,"1st QTR Other"}</definedName>
    <definedName name="wrn.ALL._4" localSheetId="27" hidden="1">{#N/A,#N/A,FALSE,"Summary EPS";#N/A,#N/A,FALSE,"1st Qtr Electric";#N/A,#N/A,FALSE,"1st Qtr Australia";#N/A,#N/A,FALSE,"1st Qtr Telecom";#N/A,#N/A,FALSE,"1st QTR Other"}</definedName>
    <definedName name="wrn.ALL._4" localSheetId="28" hidden="1">{#N/A,#N/A,FALSE,"Summary EPS";#N/A,#N/A,FALSE,"1st Qtr Electric";#N/A,#N/A,FALSE,"1st Qtr Australia";#N/A,#N/A,FALSE,"1st Qtr Telecom";#N/A,#N/A,FALSE,"1st QTR Other"}</definedName>
    <definedName name="wrn.ALL._4" localSheetId="29" hidden="1">{#N/A,#N/A,FALSE,"Summary EPS";#N/A,#N/A,FALSE,"1st Qtr Electric";#N/A,#N/A,FALSE,"1st Qtr Australia";#N/A,#N/A,FALSE,"1st Qtr Telecom";#N/A,#N/A,FALSE,"1st QTR Other"}</definedName>
    <definedName name="wrn.ALL._4" localSheetId="30" hidden="1">{#N/A,#N/A,FALSE,"Summary EPS";#N/A,#N/A,FALSE,"1st Qtr Electric";#N/A,#N/A,FALSE,"1st Qtr Australia";#N/A,#N/A,FALSE,"1st Qtr Telecom";#N/A,#N/A,FALSE,"1st QTR Other"}</definedName>
    <definedName name="wrn.ALL._4" localSheetId="31" hidden="1">{#N/A,#N/A,FALSE,"Summary EPS";#N/A,#N/A,FALSE,"1st Qtr Electric";#N/A,#N/A,FALSE,"1st Qtr Australia";#N/A,#N/A,FALSE,"1st Qtr Telecom";#N/A,#N/A,FALSE,"1st QTR Other"}</definedName>
    <definedName name="wrn.ALL._4" localSheetId="37" hidden="1">{#N/A,#N/A,FALSE,"Summary EPS";#N/A,#N/A,FALSE,"1st Qtr Electric";#N/A,#N/A,FALSE,"1st Qtr Australia";#N/A,#N/A,FALSE,"1st Qtr Telecom";#N/A,#N/A,FALSE,"1st QTR Other"}</definedName>
    <definedName name="wrn.ALL._4" localSheetId="41" hidden="1">{#N/A,#N/A,FALSE,"Summary EPS";#N/A,#N/A,FALSE,"1st Qtr Electric";#N/A,#N/A,FALSE,"1st Qtr Australia";#N/A,#N/A,FALSE,"1st Qtr Telecom";#N/A,#N/A,FALSE,"1st QTR Other"}</definedName>
    <definedName name="wrn.ALL._4" localSheetId="42" hidden="1">{#N/A,#N/A,FALSE,"Summary EPS";#N/A,#N/A,FALSE,"1st Qtr Electric";#N/A,#N/A,FALSE,"1st Qtr Australia";#N/A,#N/A,FALSE,"1st Qtr Telecom";#N/A,#N/A,FALSE,"1st QTR Other"}</definedName>
    <definedName name="wrn.ALL._4" localSheetId="0" hidden="1">{#N/A,#N/A,FALSE,"Summary EPS";#N/A,#N/A,FALSE,"1st Qtr Electric";#N/A,#N/A,FALSE,"1st Qtr Australia";#N/A,#N/A,FALSE,"1st Qtr Telecom";#N/A,#N/A,FALSE,"1st QTR Other"}</definedName>
    <definedName name="wrn.ALL._4" hidden="1">{#N/A,#N/A,FALSE,"Summary EPS";#N/A,#N/A,FALSE,"1st Qtr Electric";#N/A,#N/A,FALSE,"1st Qtr Australia";#N/A,#N/A,FALSE,"1st Qtr Telecom";#N/A,#N/A,FALSE,"1st QTR Other"}</definedName>
    <definedName name="wrn.ALL._5" localSheetId="1" hidden="1">{#N/A,#N/A,FALSE,"Summary EPS";#N/A,#N/A,FALSE,"1st Qtr Electric";#N/A,#N/A,FALSE,"1st Qtr Australia";#N/A,#N/A,FALSE,"1st Qtr Telecom";#N/A,#N/A,FALSE,"1st QTR Other"}</definedName>
    <definedName name="wrn.ALL._5" localSheetId="3" hidden="1">{#N/A,#N/A,FALSE,"Summary EPS";#N/A,#N/A,FALSE,"1st Qtr Electric";#N/A,#N/A,FALSE,"1st Qtr Australia";#N/A,#N/A,FALSE,"1st Qtr Telecom";#N/A,#N/A,FALSE,"1st QTR Other"}</definedName>
    <definedName name="wrn.ALL._5" localSheetId="4" hidden="1">{#N/A,#N/A,FALSE,"Summary EPS";#N/A,#N/A,FALSE,"1st Qtr Electric";#N/A,#N/A,FALSE,"1st Qtr Australia";#N/A,#N/A,FALSE,"1st Qtr Telecom";#N/A,#N/A,FALSE,"1st QTR Other"}</definedName>
    <definedName name="wrn.ALL._5" localSheetId="18" hidden="1">{#N/A,#N/A,FALSE,"Summary EPS";#N/A,#N/A,FALSE,"1st Qtr Electric";#N/A,#N/A,FALSE,"1st Qtr Australia";#N/A,#N/A,FALSE,"1st Qtr Telecom";#N/A,#N/A,FALSE,"1st QTR Other"}</definedName>
    <definedName name="wrn.ALL._5" localSheetId="19" hidden="1">{#N/A,#N/A,FALSE,"Summary EPS";#N/A,#N/A,FALSE,"1st Qtr Electric";#N/A,#N/A,FALSE,"1st Qtr Australia";#N/A,#N/A,FALSE,"1st Qtr Telecom";#N/A,#N/A,FALSE,"1st QTR Other"}</definedName>
    <definedName name="wrn.ALL._5" localSheetId="20" hidden="1">{#N/A,#N/A,FALSE,"Summary EPS";#N/A,#N/A,FALSE,"1st Qtr Electric";#N/A,#N/A,FALSE,"1st Qtr Australia";#N/A,#N/A,FALSE,"1st Qtr Telecom";#N/A,#N/A,FALSE,"1st QTR Other"}</definedName>
    <definedName name="wrn.ALL._5" localSheetId="21" hidden="1">{#N/A,#N/A,FALSE,"Summary EPS";#N/A,#N/A,FALSE,"1st Qtr Electric";#N/A,#N/A,FALSE,"1st Qtr Australia";#N/A,#N/A,FALSE,"1st Qtr Telecom";#N/A,#N/A,FALSE,"1st QTR Other"}</definedName>
    <definedName name="wrn.ALL._5" localSheetId="24" hidden="1">{#N/A,#N/A,FALSE,"Summary EPS";#N/A,#N/A,FALSE,"1st Qtr Electric";#N/A,#N/A,FALSE,"1st Qtr Australia";#N/A,#N/A,FALSE,"1st Qtr Telecom";#N/A,#N/A,FALSE,"1st QTR Other"}</definedName>
    <definedName name="wrn.ALL._5" localSheetId="27" hidden="1">{#N/A,#N/A,FALSE,"Summary EPS";#N/A,#N/A,FALSE,"1st Qtr Electric";#N/A,#N/A,FALSE,"1st Qtr Australia";#N/A,#N/A,FALSE,"1st Qtr Telecom";#N/A,#N/A,FALSE,"1st QTR Other"}</definedName>
    <definedName name="wrn.ALL._5" localSheetId="28" hidden="1">{#N/A,#N/A,FALSE,"Summary EPS";#N/A,#N/A,FALSE,"1st Qtr Electric";#N/A,#N/A,FALSE,"1st Qtr Australia";#N/A,#N/A,FALSE,"1st Qtr Telecom";#N/A,#N/A,FALSE,"1st QTR Other"}</definedName>
    <definedName name="wrn.ALL._5" localSheetId="29" hidden="1">{#N/A,#N/A,FALSE,"Summary EPS";#N/A,#N/A,FALSE,"1st Qtr Electric";#N/A,#N/A,FALSE,"1st Qtr Australia";#N/A,#N/A,FALSE,"1st Qtr Telecom";#N/A,#N/A,FALSE,"1st QTR Other"}</definedName>
    <definedName name="wrn.ALL._5" localSheetId="30" hidden="1">{#N/A,#N/A,FALSE,"Summary EPS";#N/A,#N/A,FALSE,"1st Qtr Electric";#N/A,#N/A,FALSE,"1st Qtr Australia";#N/A,#N/A,FALSE,"1st Qtr Telecom";#N/A,#N/A,FALSE,"1st QTR Other"}</definedName>
    <definedName name="wrn.ALL._5" localSheetId="31" hidden="1">{#N/A,#N/A,FALSE,"Summary EPS";#N/A,#N/A,FALSE,"1st Qtr Electric";#N/A,#N/A,FALSE,"1st Qtr Australia";#N/A,#N/A,FALSE,"1st Qtr Telecom";#N/A,#N/A,FALSE,"1st QTR Other"}</definedName>
    <definedName name="wrn.ALL._5" localSheetId="37" hidden="1">{#N/A,#N/A,FALSE,"Summary EPS";#N/A,#N/A,FALSE,"1st Qtr Electric";#N/A,#N/A,FALSE,"1st Qtr Australia";#N/A,#N/A,FALSE,"1st Qtr Telecom";#N/A,#N/A,FALSE,"1st QTR Other"}</definedName>
    <definedName name="wrn.ALL._5" localSheetId="41" hidden="1">{#N/A,#N/A,FALSE,"Summary EPS";#N/A,#N/A,FALSE,"1st Qtr Electric";#N/A,#N/A,FALSE,"1st Qtr Australia";#N/A,#N/A,FALSE,"1st Qtr Telecom";#N/A,#N/A,FALSE,"1st QTR Other"}</definedName>
    <definedName name="wrn.ALL._5" localSheetId="42" hidden="1">{#N/A,#N/A,FALSE,"Summary EPS";#N/A,#N/A,FALSE,"1st Qtr Electric";#N/A,#N/A,FALSE,"1st Qtr Australia";#N/A,#N/A,FALSE,"1st Qtr Telecom";#N/A,#N/A,FALSE,"1st QTR Other"}</definedName>
    <definedName name="wrn.ALL._5" localSheetId="0" hidden="1">{#N/A,#N/A,FALSE,"Summary EPS";#N/A,#N/A,FALSE,"1st Qtr Electric";#N/A,#N/A,FALSE,"1st Qtr Australia";#N/A,#N/A,FALSE,"1st Qtr Telecom";#N/A,#N/A,FALSE,"1st QTR Other"}</definedName>
    <definedName name="wrn.ALL._5" hidden="1">{#N/A,#N/A,FALSE,"Summary EPS";#N/A,#N/A,FALSE,"1st Qtr Electric";#N/A,#N/A,FALSE,"1st Qtr Australia";#N/A,#N/A,FALSE,"1st Qtr Telecom";#N/A,#N/A,FALSE,"1st QTR Other"}</definedName>
    <definedName name="wrn.BUS._.RPT.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2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4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2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3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4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2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3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4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2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3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4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2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3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4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2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3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41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42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_5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Exec._.Summary." localSheetId="1" hidden="1">{#N/A,#N/A,FALSE,"Output Ass";#N/A,#N/A,FALSE,"Sum Tot";#N/A,#N/A,FALSE,"Ex Sum Year";#N/A,#N/A,FALSE,"Sum Qtr"}</definedName>
    <definedName name="wrn.Exec._.Summary." localSheetId="3" hidden="1">{#N/A,#N/A,FALSE,"Output Ass";#N/A,#N/A,FALSE,"Sum Tot";#N/A,#N/A,FALSE,"Ex Sum Year";#N/A,#N/A,FALSE,"Sum Qtr"}</definedName>
    <definedName name="wrn.Exec._.Summary." localSheetId="4" hidden="1">{#N/A,#N/A,FALSE,"Output Ass";#N/A,#N/A,FALSE,"Sum Tot";#N/A,#N/A,FALSE,"Ex Sum Year";#N/A,#N/A,FALSE,"Sum Qtr"}</definedName>
    <definedName name="wrn.Exec._.Summary." localSheetId="18" hidden="1">{#N/A,#N/A,FALSE,"Output Ass";#N/A,#N/A,FALSE,"Sum Tot";#N/A,#N/A,FALSE,"Ex Sum Year";#N/A,#N/A,FALSE,"Sum Qtr"}</definedName>
    <definedName name="wrn.Exec._.Summary." localSheetId="19" hidden="1">{#N/A,#N/A,FALSE,"Output Ass";#N/A,#N/A,FALSE,"Sum Tot";#N/A,#N/A,FALSE,"Ex Sum Year";#N/A,#N/A,FALSE,"Sum Qtr"}</definedName>
    <definedName name="wrn.Exec._.Summary." localSheetId="20" hidden="1">{#N/A,#N/A,FALSE,"Output Ass";#N/A,#N/A,FALSE,"Sum Tot";#N/A,#N/A,FALSE,"Ex Sum Year";#N/A,#N/A,FALSE,"Sum Qtr"}</definedName>
    <definedName name="wrn.Exec._.Summary." localSheetId="21" hidden="1">{#N/A,#N/A,FALSE,"Output Ass";#N/A,#N/A,FALSE,"Sum Tot";#N/A,#N/A,FALSE,"Ex Sum Year";#N/A,#N/A,FALSE,"Sum Qtr"}</definedName>
    <definedName name="wrn.Exec._.Summary." localSheetId="24" hidden="1">{#N/A,#N/A,FALSE,"Output Ass";#N/A,#N/A,FALSE,"Sum Tot";#N/A,#N/A,FALSE,"Ex Sum Year";#N/A,#N/A,FALSE,"Sum Qtr"}</definedName>
    <definedName name="wrn.Exec._.Summary." localSheetId="27" hidden="1">{#N/A,#N/A,FALSE,"Output Ass";#N/A,#N/A,FALSE,"Sum Tot";#N/A,#N/A,FALSE,"Ex Sum Year";#N/A,#N/A,FALSE,"Sum Qtr"}</definedName>
    <definedName name="wrn.Exec._.Summary." localSheetId="28" hidden="1">{#N/A,#N/A,FALSE,"Output Ass";#N/A,#N/A,FALSE,"Sum Tot";#N/A,#N/A,FALSE,"Ex Sum Year";#N/A,#N/A,FALSE,"Sum Qtr"}</definedName>
    <definedName name="wrn.Exec._.Summary." localSheetId="29" hidden="1">{#N/A,#N/A,FALSE,"Output Ass";#N/A,#N/A,FALSE,"Sum Tot";#N/A,#N/A,FALSE,"Ex Sum Year";#N/A,#N/A,FALSE,"Sum Qtr"}</definedName>
    <definedName name="wrn.Exec._.Summary." localSheetId="30" hidden="1">{#N/A,#N/A,FALSE,"Output Ass";#N/A,#N/A,FALSE,"Sum Tot";#N/A,#N/A,FALSE,"Ex Sum Year";#N/A,#N/A,FALSE,"Sum Qtr"}</definedName>
    <definedName name="wrn.Exec._.Summary." localSheetId="31" hidden="1">{#N/A,#N/A,FALSE,"Output Ass";#N/A,#N/A,FALSE,"Sum Tot";#N/A,#N/A,FALSE,"Ex Sum Year";#N/A,#N/A,FALSE,"Sum Qtr"}</definedName>
    <definedName name="wrn.Exec._.Summary." localSheetId="37" hidden="1">{#N/A,#N/A,FALSE,"Output Ass";#N/A,#N/A,FALSE,"Sum Tot";#N/A,#N/A,FALSE,"Ex Sum Year";#N/A,#N/A,FALSE,"Sum Qtr"}</definedName>
    <definedName name="wrn.Exec._.Summary." localSheetId="41" hidden="1">{#N/A,#N/A,FALSE,"Output Ass";#N/A,#N/A,FALSE,"Sum Tot";#N/A,#N/A,FALSE,"Ex Sum Year";#N/A,#N/A,FALSE,"Sum Qtr"}</definedName>
    <definedName name="wrn.Exec._.Summary." localSheetId="42" hidden="1">{#N/A,#N/A,FALSE,"Output Ass";#N/A,#N/A,FALSE,"Sum Tot";#N/A,#N/A,FALSE,"Ex Sum Year";#N/A,#N/A,FALSE,"Sum Qtr"}</definedName>
    <definedName name="wrn.Exec._.Summary." localSheetId="0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Exec._.Summary._1" localSheetId="1" hidden="1">{#N/A,#N/A,FALSE,"Output Ass";#N/A,#N/A,FALSE,"Sum Tot";#N/A,#N/A,FALSE,"Ex Sum Year";#N/A,#N/A,FALSE,"Sum Qtr"}</definedName>
    <definedName name="wrn.Exec._.Summary._1" localSheetId="3" hidden="1">{#N/A,#N/A,FALSE,"Output Ass";#N/A,#N/A,FALSE,"Sum Tot";#N/A,#N/A,FALSE,"Ex Sum Year";#N/A,#N/A,FALSE,"Sum Qtr"}</definedName>
    <definedName name="wrn.Exec._.Summary._1" localSheetId="4" hidden="1">{#N/A,#N/A,FALSE,"Output Ass";#N/A,#N/A,FALSE,"Sum Tot";#N/A,#N/A,FALSE,"Ex Sum Year";#N/A,#N/A,FALSE,"Sum Qtr"}</definedName>
    <definedName name="wrn.Exec._.Summary._1" localSheetId="18" hidden="1">{#N/A,#N/A,FALSE,"Output Ass";#N/A,#N/A,FALSE,"Sum Tot";#N/A,#N/A,FALSE,"Ex Sum Year";#N/A,#N/A,FALSE,"Sum Qtr"}</definedName>
    <definedName name="wrn.Exec._.Summary._1" localSheetId="19" hidden="1">{#N/A,#N/A,FALSE,"Output Ass";#N/A,#N/A,FALSE,"Sum Tot";#N/A,#N/A,FALSE,"Ex Sum Year";#N/A,#N/A,FALSE,"Sum Qtr"}</definedName>
    <definedName name="wrn.Exec._.Summary._1" localSheetId="20" hidden="1">{#N/A,#N/A,FALSE,"Output Ass";#N/A,#N/A,FALSE,"Sum Tot";#N/A,#N/A,FALSE,"Ex Sum Year";#N/A,#N/A,FALSE,"Sum Qtr"}</definedName>
    <definedName name="wrn.Exec._.Summary._1" localSheetId="21" hidden="1">{#N/A,#N/A,FALSE,"Output Ass";#N/A,#N/A,FALSE,"Sum Tot";#N/A,#N/A,FALSE,"Ex Sum Year";#N/A,#N/A,FALSE,"Sum Qtr"}</definedName>
    <definedName name="wrn.Exec._.Summary._1" localSheetId="24" hidden="1">{#N/A,#N/A,FALSE,"Output Ass";#N/A,#N/A,FALSE,"Sum Tot";#N/A,#N/A,FALSE,"Ex Sum Year";#N/A,#N/A,FALSE,"Sum Qtr"}</definedName>
    <definedName name="wrn.Exec._.Summary._1" localSheetId="27" hidden="1">{#N/A,#N/A,FALSE,"Output Ass";#N/A,#N/A,FALSE,"Sum Tot";#N/A,#N/A,FALSE,"Ex Sum Year";#N/A,#N/A,FALSE,"Sum Qtr"}</definedName>
    <definedName name="wrn.Exec._.Summary._1" localSheetId="28" hidden="1">{#N/A,#N/A,FALSE,"Output Ass";#N/A,#N/A,FALSE,"Sum Tot";#N/A,#N/A,FALSE,"Ex Sum Year";#N/A,#N/A,FALSE,"Sum Qtr"}</definedName>
    <definedName name="wrn.Exec._.Summary._1" localSheetId="29" hidden="1">{#N/A,#N/A,FALSE,"Output Ass";#N/A,#N/A,FALSE,"Sum Tot";#N/A,#N/A,FALSE,"Ex Sum Year";#N/A,#N/A,FALSE,"Sum Qtr"}</definedName>
    <definedName name="wrn.Exec._.Summary._1" localSheetId="30" hidden="1">{#N/A,#N/A,FALSE,"Output Ass";#N/A,#N/A,FALSE,"Sum Tot";#N/A,#N/A,FALSE,"Ex Sum Year";#N/A,#N/A,FALSE,"Sum Qtr"}</definedName>
    <definedName name="wrn.Exec._.Summary._1" localSheetId="31" hidden="1">{#N/A,#N/A,FALSE,"Output Ass";#N/A,#N/A,FALSE,"Sum Tot";#N/A,#N/A,FALSE,"Ex Sum Year";#N/A,#N/A,FALSE,"Sum Qtr"}</definedName>
    <definedName name="wrn.Exec._.Summary._1" localSheetId="37" hidden="1">{#N/A,#N/A,FALSE,"Output Ass";#N/A,#N/A,FALSE,"Sum Tot";#N/A,#N/A,FALSE,"Ex Sum Year";#N/A,#N/A,FALSE,"Sum Qtr"}</definedName>
    <definedName name="wrn.Exec._.Summary._1" localSheetId="41" hidden="1">{#N/A,#N/A,FALSE,"Output Ass";#N/A,#N/A,FALSE,"Sum Tot";#N/A,#N/A,FALSE,"Ex Sum Year";#N/A,#N/A,FALSE,"Sum Qtr"}</definedName>
    <definedName name="wrn.Exec._.Summary._1" localSheetId="42" hidden="1">{#N/A,#N/A,FALSE,"Output Ass";#N/A,#N/A,FALSE,"Sum Tot";#N/A,#N/A,FALSE,"Ex Sum Year";#N/A,#N/A,FALSE,"Sum Qtr"}</definedName>
    <definedName name="wrn.Exec._.Summary._1" localSheetId="0" hidden="1">{#N/A,#N/A,FALSE,"Output Ass";#N/A,#N/A,FALSE,"Sum Tot";#N/A,#N/A,FALSE,"Ex Sum Year";#N/A,#N/A,FALSE,"Sum Qtr"}</definedName>
    <definedName name="wrn.Exec._.Summary._1" hidden="1">{#N/A,#N/A,FALSE,"Output Ass";#N/A,#N/A,FALSE,"Sum Tot";#N/A,#N/A,FALSE,"Ex Sum Year";#N/A,#N/A,FALSE,"Sum Qtr"}</definedName>
    <definedName name="wrn.Exec._.Summary._2" localSheetId="1" hidden="1">{#N/A,#N/A,FALSE,"Output Ass";#N/A,#N/A,FALSE,"Sum Tot";#N/A,#N/A,FALSE,"Ex Sum Year";#N/A,#N/A,FALSE,"Sum Qtr"}</definedName>
    <definedName name="wrn.Exec._.Summary._2" localSheetId="3" hidden="1">{#N/A,#N/A,FALSE,"Output Ass";#N/A,#N/A,FALSE,"Sum Tot";#N/A,#N/A,FALSE,"Ex Sum Year";#N/A,#N/A,FALSE,"Sum Qtr"}</definedName>
    <definedName name="wrn.Exec._.Summary._2" localSheetId="4" hidden="1">{#N/A,#N/A,FALSE,"Output Ass";#N/A,#N/A,FALSE,"Sum Tot";#N/A,#N/A,FALSE,"Ex Sum Year";#N/A,#N/A,FALSE,"Sum Qtr"}</definedName>
    <definedName name="wrn.Exec._.Summary._2" localSheetId="18" hidden="1">{#N/A,#N/A,FALSE,"Output Ass";#N/A,#N/A,FALSE,"Sum Tot";#N/A,#N/A,FALSE,"Ex Sum Year";#N/A,#N/A,FALSE,"Sum Qtr"}</definedName>
    <definedName name="wrn.Exec._.Summary._2" localSheetId="19" hidden="1">{#N/A,#N/A,FALSE,"Output Ass";#N/A,#N/A,FALSE,"Sum Tot";#N/A,#N/A,FALSE,"Ex Sum Year";#N/A,#N/A,FALSE,"Sum Qtr"}</definedName>
    <definedName name="wrn.Exec._.Summary._2" localSheetId="20" hidden="1">{#N/A,#N/A,FALSE,"Output Ass";#N/A,#N/A,FALSE,"Sum Tot";#N/A,#N/A,FALSE,"Ex Sum Year";#N/A,#N/A,FALSE,"Sum Qtr"}</definedName>
    <definedName name="wrn.Exec._.Summary._2" localSheetId="21" hidden="1">{#N/A,#N/A,FALSE,"Output Ass";#N/A,#N/A,FALSE,"Sum Tot";#N/A,#N/A,FALSE,"Ex Sum Year";#N/A,#N/A,FALSE,"Sum Qtr"}</definedName>
    <definedName name="wrn.Exec._.Summary._2" localSheetId="24" hidden="1">{#N/A,#N/A,FALSE,"Output Ass";#N/A,#N/A,FALSE,"Sum Tot";#N/A,#N/A,FALSE,"Ex Sum Year";#N/A,#N/A,FALSE,"Sum Qtr"}</definedName>
    <definedName name="wrn.Exec._.Summary._2" localSheetId="27" hidden="1">{#N/A,#N/A,FALSE,"Output Ass";#N/A,#N/A,FALSE,"Sum Tot";#N/A,#N/A,FALSE,"Ex Sum Year";#N/A,#N/A,FALSE,"Sum Qtr"}</definedName>
    <definedName name="wrn.Exec._.Summary._2" localSheetId="28" hidden="1">{#N/A,#N/A,FALSE,"Output Ass";#N/A,#N/A,FALSE,"Sum Tot";#N/A,#N/A,FALSE,"Ex Sum Year";#N/A,#N/A,FALSE,"Sum Qtr"}</definedName>
    <definedName name="wrn.Exec._.Summary._2" localSheetId="29" hidden="1">{#N/A,#N/A,FALSE,"Output Ass";#N/A,#N/A,FALSE,"Sum Tot";#N/A,#N/A,FALSE,"Ex Sum Year";#N/A,#N/A,FALSE,"Sum Qtr"}</definedName>
    <definedName name="wrn.Exec._.Summary._2" localSheetId="30" hidden="1">{#N/A,#N/A,FALSE,"Output Ass";#N/A,#N/A,FALSE,"Sum Tot";#N/A,#N/A,FALSE,"Ex Sum Year";#N/A,#N/A,FALSE,"Sum Qtr"}</definedName>
    <definedName name="wrn.Exec._.Summary._2" localSheetId="31" hidden="1">{#N/A,#N/A,FALSE,"Output Ass";#N/A,#N/A,FALSE,"Sum Tot";#N/A,#N/A,FALSE,"Ex Sum Year";#N/A,#N/A,FALSE,"Sum Qtr"}</definedName>
    <definedName name="wrn.Exec._.Summary._2" localSheetId="37" hidden="1">{#N/A,#N/A,FALSE,"Output Ass";#N/A,#N/A,FALSE,"Sum Tot";#N/A,#N/A,FALSE,"Ex Sum Year";#N/A,#N/A,FALSE,"Sum Qtr"}</definedName>
    <definedName name="wrn.Exec._.Summary._2" localSheetId="41" hidden="1">{#N/A,#N/A,FALSE,"Output Ass";#N/A,#N/A,FALSE,"Sum Tot";#N/A,#N/A,FALSE,"Ex Sum Year";#N/A,#N/A,FALSE,"Sum Qtr"}</definedName>
    <definedName name="wrn.Exec._.Summary._2" localSheetId="42" hidden="1">{#N/A,#N/A,FALSE,"Output Ass";#N/A,#N/A,FALSE,"Sum Tot";#N/A,#N/A,FALSE,"Ex Sum Year";#N/A,#N/A,FALSE,"Sum Qtr"}</definedName>
    <definedName name="wrn.Exec._.Summary._2" localSheetId="0" hidden="1">{#N/A,#N/A,FALSE,"Output Ass";#N/A,#N/A,FALSE,"Sum Tot";#N/A,#N/A,FALSE,"Ex Sum Year";#N/A,#N/A,FALSE,"Sum Qtr"}</definedName>
    <definedName name="wrn.Exec._.Summary._2" hidden="1">{#N/A,#N/A,FALSE,"Output Ass";#N/A,#N/A,FALSE,"Sum Tot";#N/A,#N/A,FALSE,"Ex Sum Year";#N/A,#N/A,FALSE,"Sum Qtr"}</definedName>
    <definedName name="wrn.Exec._.Summary._3" localSheetId="1" hidden="1">{#N/A,#N/A,FALSE,"Output Ass";#N/A,#N/A,FALSE,"Sum Tot";#N/A,#N/A,FALSE,"Ex Sum Year";#N/A,#N/A,FALSE,"Sum Qtr"}</definedName>
    <definedName name="wrn.Exec._.Summary._3" localSheetId="3" hidden="1">{#N/A,#N/A,FALSE,"Output Ass";#N/A,#N/A,FALSE,"Sum Tot";#N/A,#N/A,FALSE,"Ex Sum Year";#N/A,#N/A,FALSE,"Sum Qtr"}</definedName>
    <definedName name="wrn.Exec._.Summary._3" localSheetId="4" hidden="1">{#N/A,#N/A,FALSE,"Output Ass";#N/A,#N/A,FALSE,"Sum Tot";#N/A,#N/A,FALSE,"Ex Sum Year";#N/A,#N/A,FALSE,"Sum Qtr"}</definedName>
    <definedName name="wrn.Exec._.Summary._3" localSheetId="18" hidden="1">{#N/A,#N/A,FALSE,"Output Ass";#N/A,#N/A,FALSE,"Sum Tot";#N/A,#N/A,FALSE,"Ex Sum Year";#N/A,#N/A,FALSE,"Sum Qtr"}</definedName>
    <definedName name="wrn.Exec._.Summary._3" localSheetId="19" hidden="1">{#N/A,#N/A,FALSE,"Output Ass";#N/A,#N/A,FALSE,"Sum Tot";#N/A,#N/A,FALSE,"Ex Sum Year";#N/A,#N/A,FALSE,"Sum Qtr"}</definedName>
    <definedName name="wrn.Exec._.Summary._3" localSheetId="20" hidden="1">{#N/A,#N/A,FALSE,"Output Ass";#N/A,#N/A,FALSE,"Sum Tot";#N/A,#N/A,FALSE,"Ex Sum Year";#N/A,#N/A,FALSE,"Sum Qtr"}</definedName>
    <definedName name="wrn.Exec._.Summary._3" localSheetId="21" hidden="1">{#N/A,#N/A,FALSE,"Output Ass";#N/A,#N/A,FALSE,"Sum Tot";#N/A,#N/A,FALSE,"Ex Sum Year";#N/A,#N/A,FALSE,"Sum Qtr"}</definedName>
    <definedName name="wrn.Exec._.Summary._3" localSheetId="24" hidden="1">{#N/A,#N/A,FALSE,"Output Ass";#N/A,#N/A,FALSE,"Sum Tot";#N/A,#N/A,FALSE,"Ex Sum Year";#N/A,#N/A,FALSE,"Sum Qtr"}</definedName>
    <definedName name="wrn.Exec._.Summary._3" localSheetId="27" hidden="1">{#N/A,#N/A,FALSE,"Output Ass";#N/A,#N/A,FALSE,"Sum Tot";#N/A,#N/A,FALSE,"Ex Sum Year";#N/A,#N/A,FALSE,"Sum Qtr"}</definedName>
    <definedName name="wrn.Exec._.Summary._3" localSheetId="28" hidden="1">{#N/A,#N/A,FALSE,"Output Ass";#N/A,#N/A,FALSE,"Sum Tot";#N/A,#N/A,FALSE,"Ex Sum Year";#N/A,#N/A,FALSE,"Sum Qtr"}</definedName>
    <definedName name="wrn.Exec._.Summary._3" localSheetId="29" hidden="1">{#N/A,#N/A,FALSE,"Output Ass";#N/A,#N/A,FALSE,"Sum Tot";#N/A,#N/A,FALSE,"Ex Sum Year";#N/A,#N/A,FALSE,"Sum Qtr"}</definedName>
    <definedName name="wrn.Exec._.Summary._3" localSheetId="30" hidden="1">{#N/A,#N/A,FALSE,"Output Ass";#N/A,#N/A,FALSE,"Sum Tot";#N/A,#N/A,FALSE,"Ex Sum Year";#N/A,#N/A,FALSE,"Sum Qtr"}</definedName>
    <definedName name="wrn.Exec._.Summary._3" localSheetId="31" hidden="1">{#N/A,#N/A,FALSE,"Output Ass";#N/A,#N/A,FALSE,"Sum Tot";#N/A,#N/A,FALSE,"Ex Sum Year";#N/A,#N/A,FALSE,"Sum Qtr"}</definedName>
    <definedName name="wrn.Exec._.Summary._3" localSheetId="37" hidden="1">{#N/A,#N/A,FALSE,"Output Ass";#N/A,#N/A,FALSE,"Sum Tot";#N/A,#N/A,FALSE,"Ex Sum Year";#N/A,#N/A,FALSE,"Sum Qtr"}</definedName>
    <definedName name="wrn.Exec._.Summary._3" localSheetId="41" hidden="1">{#N/A,#N/A,FALSE,"Output Ass";#N/A,#N/A,FALSE,"Sum Tot";#N/A,#N/A,FALSE,"Ex Sum Year";#N/A,#N/A,FALSE,"Sum Qtr"}</definedName>
    <definedName name="wrn.Exec._.Summary._3" localSheetId="42" hidden="1">{#N/A,#N/A,FALSE,"Output Ass";#N/A,#N/A,FALSE,"Sum Tot";#N/A,#N/A,FALSE,"Ex Sum Year";#N/A,#N/A,FALSE,"Sum Qtr"}</definedName>
    <definedName name="wrn.Exec._.Summary._3" localSheetId="0" hidden="1">{#N/A,#N/A,FALSE,"Output Ass";#N/A,#N/A,FALSE,"Sum Tot";#N/A,#N/A,FALSE,"Ex Sum Year";#N/A,#N/A,FALSE,"Sum Qtr"}</definedName>
    <definedName name="wrn.Exec._.Summary._3" hidden="1">{#N/A,#N/A,FALSE,"Output Ass";#N/A,#N/A,FALSE,"Sum Tot";#N/A,#N/A,FALSE,"Ex Sum Year";#N/A,#N/A,FALSE,"Sum Qtr"}</definedName>
    <definedName name="wrn.Exec._.Summary._4" localSheetId="1" hidden="1">{#N/A,#N/A,FALSE,"Output Ass";#N/A,#N/A,FALSE,"Sum Tot";#N/A,#N/A,FALSE,"Ex Sum Year";#N/A,#N/A,FALSE,"Sum Qtr"}</definedName>
    <definedName name="wrn.Exec._.Summary._4" localSheetId="3" hidden="1">{#N/A,#N/A,FALSE,"Output Ass";#N/A,#N/A,FALSE,"Sum Tot";#N/A,#N/A,FALSE,"Ex Sum Year";#N/A,#N/A,FALSE,"Sum Qtr"}</definedName>
    <definedName name="wrn.Exec._.Summary._4" localSheetId="4" hidden="1">{#N/A,#N/A,FALSE,"Output Ass";#N/A,#N/A,FALSE,"Sum Tot";#N/A,#N/A,FALSE,"Ex Sum Year";#N/A,#N/A,FALSE,"Sum Qtr"}</definedName>
    <definedName name="wrn.Exec._.Summary._4" localSheetId="18" hidden="1">{#N/A,#N/A,FALSE,"Output Ass";#N/A,#N/A,FALSE,"Sum Tot";#N/A,#N/A,FALSE,"Ex Sum Year";#N/A,#N/A,FALSE,"Sum Qtr"}</definedName>
    <definedName name="wrn.Exec._.Summary._4" localSheetId="19" hidden="1">{#N/A,#N/A,FALSE,"Output Ass";#N/A,#N/A,FALSE,"Sum Tot";#N/A,#N/A,FALSE,"Ex Sum Year";#N/A,#N/A,FALSE,"Sum Qtr"}</definedName>
    <definedName name="wrn.Exec._.Summary._4" localSheetId="20" hidden="1">{#N/A,#N/A,FALSE,"Output Ass";#N/A,#N/A,FALSE,"Sum Tot";#N/A,#N/A,FALSE,"Ex Sum Year";#N/A,#N/A,FALSE,"Sum Qtr"}</definedName>
    <definedName name="wrn.Exec._.Summary._4" localSheetId="21" hidden="1">{#N/A,#N/A,FALSE,"Output Ass";#N/A,#N/A,FALSE,"Sum Tot";#N/A,#N/A,FALSE,"Ex Sum Year";#N/A,#N/A,FALSE,"Sum Qtr"}</definedName>
    <definedName name="wrn.Exec._.Summary._4" localSheetId="24" hidden="1">{#N/A,#N/A,FALSE,"Output Ass";#N/A,#N/A,FALSE,"Sum Tot";#N/A,#N/A,FALSE,"Ex Sum Year";#N/A,#N/A,FALSE,"Sum Qtr"}</definedName>
    <definedName name="wrn.Exec._.Summary._4" localSheetId="27" hidden="1">{#N/A,#N/A,FALSE,"Output Ass";#N/A,#N/A,FALSE,"Sum Tot";#N/A,#N/A,FALSE,"Ex Sum Year";#N/A,#N/A,FALSE,"Sum Qtr"}</definedName>
    <definedName name="wrn.Exec._.Summary._4" localSheetId="28" hidden="1">{#N/A,#N/A,FALSE,"Output Ass";#N/A,#N/A,FALSE,"Sum Tot";#N/A,#N/A,FALSE,"Ex Sum Year";#N/A,#N/A,FALSE,"Sum Qtr"}</definedName>
    <definedName name="wrn.Exec._.Summary._4" localSheetId="29" hidden="1">{#N/A,#N/A,FALSE,"Output Ass";#N/A,#N/A,FALSE,"Sum Tot";#N/A,#N/A,FALSE,"Ex Sum Year";#N/A,#N/A,FALSE,"Sum Qtr"}</definedName>
    <definedName name="wrn.Exec._.Summary._4" localSheetId="30" hidden="1">{#N/A,#N/A,FALSE,"Output Ass";#N/A,#N/A,FALSE,"Sum Tot";#N/A,#N/A,FALSE,"Ex Sum Year";#N/A,#N/A,FALSE,"Sum Qtr"}</definedName>
    <definedName name="wrn.Exec._.Summary._4" localSheetId="31" hidden="1">{#N/A,#N/A,FALSE,"Output Ass";#N/A,#N/A,FALSE,"Sum Tot";#N/A,#N/A,FALSE,"Ex Sum Year";#N/A,#N/A,FALSE,"Sum Qtr"}</definedName>
    <definedName name="wrn.Exec._.Summary._4" localSheetId="37" hidden="1">{#N/A,#N/A,FALSE,"Output Ass";#N/A,#N/A,FALSE,"Sum Tot";#N/A,#N/A,FALSE,"Ex Sum Year";#N/A,#N/A,FALSE,"Sum Qtr"}</definedName>
    <definedName name="wrn.Exec._.Summary._4" localSheetId="41" hidden="1">{#N/A,#N/A,FALSE,"Output Ass";#N/A,#N/A,FALSE,"Sum Tot";#N/A,#N/A,FALSE,"Ex Sum Year";#N/A,#N/A,FALSE,"Sum Qtr"}</definedName>
    <definedName name="wrn.Exec._.Summary._4" localSheetId="42" hidden="1">{#N/A,#N/A,FALSE,"Output Ass";#N/A,#N/A,FALSE,"Sum Tot";#N/A,#N/A,FALSE,"Ex Sum Year";#N/A,#N/A,FALSE,"Sum Qtr"}</definedName>
    <definedName name="wrn.Exec._.Summary._4" localSheetId="0" hidden="1">{#N/A,#N/A,FALSE,"Output Ass";#N/A,#N/A,FALSE,"Sum Tot";#N/A,#N/A,FALSE,"Ex Sum Year";#N/A,#N/A,FALSE,"Sum Qtr"}</definedName>
    <definedName name="wrn.Exec._.Summary._4" hidden="1">{#N/A,#N/A,FALSE,"Output Ass";#N/A,#N/A,FALSE,"Sum Tot";#N/A,#N/A,FALSE,"Ex Sum Year";#N/A,#N/A,FALSE,"Sum Qtr"}</definedName>
    <definedName name="wrn.Exec._.Summary._5" localSheetId="1" hidden="1">{#N/A,#N/A,FALSE,"Output Ass";#N/A,#N/A,FALSE,"Sum Tot";#N/A,#N/A,FALSE,"Ex Sum Year";#N/A,#N/A,FALSE,"Sum Qtr"}</definedName>
    <definedName name="wrn.Exec._.Summary._5" localSheetId="3" hidden="1">{#N/A,#N/A,FALSE,"Output Ass";#N/A,#N/A,FALSE,"Sum Tot";#N/A,#N/A,FALSE,"Ex Sum Year";#N/A,#N/A,FALSE,"Sum Qtr"}</definedName>
    <definedName name="wrn.Exec._.Summary._5" localSheetId="4" hidden="1">{#N/A,#N/A,FALSE,"Output Ass";#N/A,#N/A,FALSE,"Sum Tot";#N/A,#N/A,FALSE,"Ex Sum Year";#N/A,#N/A,FALSE,"Sum Qtr"}</definedName>
    <definedName name="wrn.Exec._.Summary._5" localSheetId="18" hidden="1">{#N/A,#N/A,FALSE,"Output Ass";#N/A,#N/A,FALSE,"Sum Tot";#N/A,#N/A,FALSE,"Ex Sum Year";#N/A,#N/A,FALSE,"Sum Qtr"}</definedName>
    <definedName name="wrn.Exec._.Summary._5" localSheetId="19" hidden="1">{#N/A,#N/A,FALSE,"Output Ass";#N/A,#N/A,FALSE,"Sum Tot";#N/A,#N/A,FALSE,"Ex Sum Year";#N/A,#N/A,FALSE,"Sum Qtr"}</definedName>
    <definedName name="wrn.Exec._.Summary._5" localSheetId="20" hidden="1">{#N/A,#N/A,FALSE,"Output Ass";#N/A,#N/A,FALSE,"Sum Tot";#N/A,#N/A,FALSE,"Ex Sum Year";#N/A,#N/A,FALSE,"Sum Qtr"}</definedName>
    <definedName name="wrn.Exec._.Summary._5" localSheetId="21" hidden="1">{#N/A,#N/A,FALSE,"Output Ass";#N/A,#N/A,FALSE,"Sum Tot";#N/A,#N/A,FALSE,"Ex Sum Year";#N/A,#N/A,FALSE,"Sum Qtr"}</definedName>
    <definedName name="wrn.Exec._.Summary._5" localSheetId="24" hidden="1">{#N/A,#N/A,FALSE,"Output Ass";#N/A,#N/A,FALSE,"Sum Tot";#N/A,#N/A,FALSE,"Ex Sum Year";#N/A,#N/A,FALSE,"Sum Qtr"}</definedName>
    <definedName name="wrn.Exec._.Summary._5" localSheetId="27" hidden="1">{#N/A,#N/A,FALSE,"Output Ass";#N/A,#N/A,FALSE,"Sum Tot";#N/A,#N/A,FALSE,"Ex Sum Year";#N/A,#N/A,FALSE,"Sum Qtr"}</definedName>
    <definedName name="wrn.Exec._.Summary._5" localSheetId="28" hidden="1">{#N/A,#N/A,FALSE,"Output Ass";#N/A,#N/A,FALSE,"Sum Tot";#N/A,#N/A,FALSE,"Ex Sum Year";#N/A,#N/A,FALSE,"Sum Qtr"}</definedName>
    <definedName name="wrn.Exec._.Summary._5" localSheetId="29" hidden="1">{#N/A,#N/A,FALSE,"Output Ass";#N/A,#N/A,FALSE,"Sum Tot";#N/A,#N/A,FALSE,"Ex Sum Year";#N/A,#N/A,FALSE,"Sum Qtr"}</definedName>
    <definedName name="wrn.Exec._.Summary._5" localSheetId="30" hidden="1">{#N/A,#N/A,FALSE,"Output Ass";#N/A,#N/A,FALSE,"Sum Tot";#N/A,#N/A,FALSE,"Ex Sum Year";#N/A,#N/A,FALSE,"Sum Qtr"}</definedName>
    <definedName name="wrn.Exec._.Summary._5" localSheetId="31" hidden="1">{#N/A,#N/A,FALSE,"Output Ass";#N/A,#N/A,FALSE,"Sum Tot";#N/A,#N/A,FALSE,"Ex Sum Year";#N/A,#N/A,FALSE,"Sum Qtr"}</definedName>
    <definedName name="wrn.Exec._.Summary._5" localSheetId="37" hidden="1">{#N/A,#N/A,FALSE,"Output Ass";#N/A,#N/A,FALSE,"Sum Tot";#N/A,#N/A,FALSE,"Ex Sum Year";#N/A,#N/A,FALSE,"Sum Qtr"}</definedName>
    <definedName name="wrn.Exec._.Summary._5" localSheetId="41" hidden="1">{#N/A,#N/A,FALSE,"Output Ass";#N/A,#N/A,FALSE,"Sum Tot";#N/A,#N/A,FALSE,"Ex Sum Year";#N/A,#N/A,FALSE,"Sum Qtr"}</definedName>
    <definedName name="wrn.Exec._.Summary._5" localSheetId="42" hidden="1">{#N/A,#N/A,FALSE,"Output Ass";#N/A,#N/A,FALSE,"Sum Tot";#N/A,#N/A,FALSE,"Ex Sum Year";#N/A,#N/A,FALSE,"Sum Qtr"}</definedName>
    <definedName name="wrn.Exec._.Summary._5" localSheetId="0" hidden="1">{#N/A,#N/A,FALSE,"Output Ass";#N/A,#N/A,FALSE,"Sum Tot";#N/A,#N/A,FALSE,"Ex Sum Year";#N/A,#N/A,FALSE,"Sum Qtr"}</definedName>
    <definedName name="wrn.Exec._.Summary._5" hidden="1">{#N/A,#N/A,FALSE,"Output Ass";#N/A,#N/A,FALSE,"Sum Tot";#N/A,#N/A,FALSE,"Ex Sum Year";#N/A,#N/A,FALSE,"Sum Qtr"}</definedName>
    <definedName name="wrn.full._.report.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2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4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2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3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4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2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3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4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2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3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4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2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3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4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2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3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41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42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localSheetId="0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_5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life.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2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4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2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3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4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2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3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4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2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3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4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2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3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4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2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3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41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42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localSheetId="0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_5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pages.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2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3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41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42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_5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2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4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2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3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4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2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3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4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2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3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4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2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3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4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2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3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41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42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localSheetId="0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_5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Reformat._.only." localSheetId="1" hidden="1">{#N/A,#N/A,FALSE,"Dec 1999 mapping"}</definedName>
    <definedName name="wrn.Reformat._.only." localSheetId="3" hidden="1">{#N/A,#N/A,FALSE,"Dec 1999 mapping"}</definedName>
    <definedName name="wrn.Reformat._.only." localSheetId="4" hidden="1">{#N/A,#N/A,FALSE,"Dec 1999 mapping"}</definedName>
    <definedName name="wrn.Reformat._.only." localSheetId="18" hidden="1">{#N/A,#N/A,FALSE,"Dec 1999 mapping"}</definedName>
    <definedName name="wrn.Reformat._.only." localSheetId="19" hidden="1">{#N/A,#N/A,FALSE,"Dec 1999 mapping"}</definedName>
    <definedName name="wrn.Reformat._.only." localSheetId="20" hidden="1">{#N/A,#N/A,FALSE,"Dec 1999 mapping"}</definedName>
    <definedName name="wrn.Reformat._.only." localSheetId="21" hidden="1">{#N/A,#N/A,FALSE,"Dec 1999 mapping"}</definedName>
    <definedName name="wrn.Reformat._.only." localSheetId="24" hidden="1">{#N/A,#N/A,FALSE,"Dec 1999 mapping"}</definedName>
    <definedName name="wrn.Reformat._.only." localSheetId="27" hidden="1">{#N/A,#N/A,FALSE,"Dec 1999 mapping"}</definedName>
    <definedName name="wrn.Reformat._.only." localSheetId="28" hidden="1">{#N/A,#N/A,FALSE,"Dec 1999 mapping"}</definedName>
    <definedName name="wrn.Reformat._.only." localSheetId="29" hidden="1">{#N/A,#N/A,FALSE,"Dec 1999 mapping"}</definedName>
    <definedName name="wrn.Reformat._.only." localSheetId="30" hidden="1">{#N/A,#N/A,FALSE,"Dec 1999 mapping"}</definedName>
    <definedName name="wrn.Reformat._.only." localSheetId="31" hidden="1">{#N/A,#N/A,FALSE,"Dec 1999 mapping"}</definedName>
    <definedName name="wrn.Reformat._.only." localSheetId="37" hidden="1">{#N/A,#N/A,FALSE,"Dec 1999 mapping"}</definedName>
    <definedName name="wrn.Reformat._.only." localSheetId="41" hidden="1">{#N/A,#N/A,FALSE,"Dec 1999 mapping"}</definedName>
    <definedName name="wrn.Reformat._.only." localSheetId="42" hidden="1">{#N/A,#N/A,FALSE,"Dec 1999 mapping"}</definedName>
    <definedName name="wrn.Reformat._.only." localSheetId="0" hidden="1">{#N/A,#N/A,FALSE,"Dec 1999 mapping"}</definedName>
    <definedName name="wrn.Reformat._.only." hidden="1">{#N/A,#N/A,FALSE,"Dec 1999 mapping"}</definedName>
    <definedName name="wrn.Reformat._.only._1" localSheetId="1" hidden="1">{#N/A,#N/A,FALSE,"Dec 1999 mapping"}</definedName>
    <definedName name="wrn.Reformat._.only._1" localSheetId="3" hidden="1">{#N/A,#N/A,FALSE,"Dec 1999 mapping"}</definedName>
    <definedName name="wrn.Reformat._.only._1" localSheetId="4" hidden="1">{#N/A,#N/A,FALSE,"Dec 1999 mapping"}</definedName>
    <definedName name="wrn.Reformat._.only._1" localSheetId="18" hidden="1">{#N/A,#N/A,FALSE,"Dec 1999 mapping"}</definedName>
    <definedName name="wrn.Reformat._.only._1" localSheetId="19" hidden="1">{#N/A,#N/A,FALSE,"Dec 1999 mapping"}</definedName>
    <definedName name="wrn.Reformat._.only._1" localSheetId="20" hidden="1">{#N/A,#N/A,FALSE,"Dec 1999 mapping"}</definedName>
    <definedName name="wrn.Reformat._.only._1" localSheetId="21" hidden="1">{#N/A,#N/A,FALSE,"Dec 1999 mapping"}</definedName>
    <definedName name="wrn.Reformat._.only._1" localSheetId="24" hidden="1">{#N/A,#N/A,FALSE,"Dec 1999 mapping"}</definedName>
    <definedName name="wrn.Reformat._.only._1" localSheetId="27" hidden="1">{#N/A,#N/A,FALSE,"Dec 1999 mapping"}</definedName>
    <definedName name="wrn.Reformat._.only._1" localSheetId="28" hidden="1">{#N/A,#N/A,FALSE,"Dec 1999 mapping"}</definedName>
    <definedName name="wrn.Reformat._.only._1" localSheetId="29" hidden="1">{#N/A,#N/A,FALSE,"Dec 1999 mapping"}</definedName>
    <definedName name="wrn.Reformat._.only._1" localSheetId="30" hidden="1">{#N/A,#N/A,FALSE,"Dec 1999 mapping"}</definedName>
    <definedName name="wrn.Reformat._.only._1" localSheetId="31" hidden="1">{#N/A,#N/A,FALSE,"Dec 1999 mapping"}</definedName>
    <definedName name="wrn.Reformat._.only._1" localSheetId="37" hidden="1">{#N/A,#N/A,FALSE,"Dec 1999 mapping"}</definedName>
    <definedName name="wrn.Reformat._.only._1" localSheetId="41" hidden="1">{#N/A,#N/A,FALSE,"Dec 1999 mapping"}</definedName>
    <definedName name="wrn.Reformat._.only._1" localSheetId="42" hidden="1">{#N/A,#N/A,FALSE,"Dec 1999 mapping"}</definedName>
    <definedName name="wrn.Reformat._.only._1" localSheetId="0" hidden="1">{#N/A,#N/A,FALSE,"Dec 1999 mapping"}</definedName>
    <definedName name="wrn.Reformat._.only._1" hidden="1">{#N/A,#N/A,FALSE,"Dec 1999 mapping"}</definedName>
    <definedName name="wrn.Reformat._.only._2" localSheetId="1" hidden="1">{#N/A,#N/A,FALSE,"Dec 1999 mapping"}</definedName>
    <definedName name="wrn.Reformat._.only._2" localSheetId="3" hidden="1">{#N/A,#N/A,FALSE,"Dec 1999 mapping"}</definedName>
    <definedName name="wrn.Reformat._.only._2" localSheetId="4" hidden="1">{#N/A,#N/A,FALSE,"Dec 1999 mapping"}</definedName>
    <definedName name="wrn.Reformat._.only._2" localSheetId="18" hidden="1">{#N/A,#N/A,FALSE,"Dec 1999 mapping"}</definedName>
    <definedName name="wrn.Reformat._.only._2" localSheetId="19" hidden="1">{#N/A,#N/A,FALSE,"Dec 1999 mapping"}</definedName>
    <definedName name="wrn.Reformat._.only._2" localSheetId="20" hidden="1">{#N/A,#N/A,FALSE,"Dec 1999 mapping"}</definedName>
    <definedName name="wrn.Reformat._.only._2" localSheetId="21" hidden="1">{#N/A,#N/A,FALSE,"Dec 1999 mapping"}</definedName>
    <definedName name="wrn.Reformat._.only._2" localSheetId="24" hidden="1">{#N/A,#N/A,FALSE,"Dec 1999 mapping"}</definedName>
    <definedName name="wrn.Reformat._.only._2" localSheetId="27" hidden="1">{#N/A,#N/A,FALSE,"Dec 1999 mapping"}</definedName>
    <definedName name="wrn.Reformat._.only._2" localSheetId="28" hidden="1">{#N/A,#N/A,FALSE,"Dec 1999 mapping"}</definedName>
    <definedName name="wrn.Reformat._.only._2" localSheetId="29" hidden="1">{#N/A,#N/A,FALSE,"Dec 1999 mapping"}</definedName>
    <definedName name="wrn.Reformat._.only._2" localSheetId="30" hidden="1">{#N/A,#N/A,FALSE,"Dec 1999 mapping"}</definedName>
    <definedName name="wrn.Reformat._.only._2" localSheetId="31" hidden="1">{#N/A,#N/A,FALSE,"Dec 1999 mapping"}</definedName>
    <definedName name="wrn.Reformat._.only._2" localSheetId="37" hidden="1">{#N/A,#N/A,FALSE,"Dec 1999 mapping"}</definedName>
    <definedName name="wrn.Reformat._.only._2" localSheetId="41" hidden="1">{#N/A,#N/A,FALSE,"Dec 1999 mapping"}</definedName>
    <definedName name="wrn.Reformat._.only._2" localSheetId="42" hidden="1">{#N/A,#N/A,FALSE,"Dec 1999 mapping"}</definedName>
    <definedName name="wrn.Reformat._.only._2" localSheetId="0" hidden="1">{#N/A,#N/A,FALSE,"Dec 1999 mapping"}</definedName>
    <definedName name="wrn.Reformat._.only._2" hidden="1">{#N/A,#N/A,FALSE,"Dec 1999 mapping"}</definedName>
    <definedName name="wrn.Reformat._.only._3" localSheetId="1" hidden="1">{#N/A,#N/A,FALSE,"Dec 1999 mapping"}</definedName>
    <definedName name="wrn.Reformat._.only._3" localSheetId="3" hidden="1">{#N/A,#N/A,FALSE,"Dec 1999 mapping"}</definedName>
    <definedName name="wrn.Reformat._.only._3" localSheetId="4" hidden="1">{#N/A,#N/A,FALSE,"Dec 1999 mapping"}</definedName>
    <definedName name="wrn.Reformat._.only._3" localSheetId="18" hidden="1">{#N/A,#N/A,FALSE,"Dec 1999 mapping"}</definedName>
    <definedName name="wrn.Reformat._.only._3" localSheetId="19" hidden="1">{#N/A,#N/A,FALSE,"Dec 1999 mapping"}</definedName>
    <definedName name="wrn.Reformat._.only._3" localSheetId="20" hidden="1">{#N/A,#N/A,FALSE,"Dec 1999 mapping"}</definedName>
    <definedName name="wrn.Reformat._.only._3" localSheetId="21" hidden="1">{#N/A,#N/A,FALSE,"Dec 1999 mapping"}</definedName>
    <definedName name="wrn.Reformat._.only._3" localSheetId="24" hidden="1">{#N/A,#N/A,FALSE,"Dec 1999 mapping"}</definedName>
    <definedName name="wrn.Reformat._.only._3" localSheetId="27" hidden="1">{#N/A,#N/A,FALSE,"Dec 1999 mapping"}</definedName>
    <definedName name="wrn.Reformat._.only._3" localSheetId="28" hidden="1">{#N/A,#N/A,FALSE,"Dec 1999 mapping"}</definedName>
    <definedName name="wrn.Reformat._.only._3" localSheetId="29" hidden="1">{#N/A,#N/A,FALSE,"Dec 1999 mapping"}</definedName>
    <definedName name="wrn.Reformat._.only._3" localSheetId="30" hidden="1">{#N/A,#N/A,FALSE,"Dec 1999 mapping"}</definedName>
    <definedName name="wrn.Reformat._.only._3" localSheetId="31" hidden="1">{#N/A,#N/A,FALSE,"Dec 1999 mapping"}</definedName>
    <definedName name="wrn.Reformat._.only._3" localSheetId="37" hidden="1">{#N/A,#N/A,FALSE,"Dec 1999 mapping"}</definedName>
    <definedName name="wrn.Reformat._.only._3" localSheetId="41" hidden="1">{#N/A,#N/A,FALSE,"Dec 1999 mapping"}</definedName>
    <definedName name="wrn.Reformat._.only._3" localSheetId="42" hidden="1">{#N/A,#N/A,FALSE,"Dec 1999 mapping"}</definedName>
    <definedName name="wrn.Reformat._.only._3" localSheetId="0" hidden="1">{#N/A,#N/A,FALSE,"Dec 1999 mapping"}</definedName>
    <definedName name="wrn.Reformat._.only._3" hidden="1">{#N/A,#N/A,FALSE,"Dec 1999 mapping"}</definedName>
    <definedName name="wrn.Reformat._.only._4" localSheetId="1" hidden="1">{#N/A,#N/A,FALSE,"Dec 1999 mapping"}</definedName>
    <definedName name="wrn.Reformat._.only._4" localSheetId="3" hidden="1">{#N/A,#N/A,FALSE,"Dec 1999 mapping"}</definedName>
    <definedName name="wrn.Reformat._.only._4" localSheetId="4" hidden="1">{#N/A,#N/A,FALSE,"Dec 1999 mapping"}</definedName>
    <definedName name="wrn.Reformat._.only._4" localSheetId="18" hidden="1">{#N/A,#N/A,FALSE,"Dec 1999 mapping"}</definedName>
    <definedName name="wrn.Reformat._.only._4" localSheetId="19" hidden="1">{#N/A,#N/A,FALSE,"Dec 1999 mapping"}</definedName>
    <definedName name="wrn.Reformat._.only._4" localSheetId="20" hidden="1">{#N/A,#N/A,FALSE,"Dec 1999 mapping"}</definedName>
    <definedName name="wrn.Reformat._.only._4" localSheetId="21" hidden="1">{#N/A,#N/A,FALSE,"Dec 1999 mapping"}</definedName>
    <definedName name="wrn.Reformat._.only._4" localSheetId="24" hidden="1">{#N/A,#N/A,FALSE,"Dec 1999 mapping"}</definedName>
    <definedName name="wrn.Reformat._.only._4" localSheetId="27" hidden="1">{#N/A,#N/A,FALSE,"Dec 1999 mapping"}</definedName>
    <definedName name="wrn.Reformat._.only._4" localSheetId="28" hidden="1">{#N/A,#N/A,FALSE,"Dec 1999 mapping"}</definedName>
    <definedName name="wrn.Reformat._.only._4" localSheetId="29" hidden="1">{#N/A,#N/A,FALSE,"Dec 1999 mapping"}</definedName>
    <definedName name="wrn.Reformat._.only._4" localSheetId="30" hidden="1">{#N/A,#N/A,FALSE,"Dec 1999 mapping"}</definedName>
    <definedName name="wrn.Reformat._.only._4" localSheetId="31" hidden="1">{#N/A,#N/A,FALSE,"Dec 1999 mapping"}</definedName>
    <definedName name="wrn.Reformat._.only._4" localSheetId="37" hidden="1">{#N/A,#N/A,FALSE,"Dec 1999 mapping"}</definedName>
    <definedName name="wrn.Reformat._.only._4" localSheetId="41" hidden="1">{#N/A,#N/A,FALSE,"Dec 1999 mapping"}</definedName>
    <definedName name="wrn.Reformat._.only._4" localSheetId="42" hidden="1">{#N/A,#N/A,FALSE,"Dec 1999 mapping"}</definedName>
    <definedName name="wrn.Reformat._.only._4" localSheetId="0" hidden="1">{#N/A,#N/A,FALSE,"Dec 1999 mapping"}</definedName>
    <definedName name="wrn.Reformat._.only._4" hidden="1">{#N/A,#N/A,FALSE,"Dec 1999 mapping"}</definedName>
    <definedName name="wrn.Reformat._.only._5" localSheetId="1" hidden="1">{#N/A,#N/A,FALSE,"Dec 1999 mapping"}</definedName>
    <definedName name="wrn.Reformat._.only._5" localSheetId="3" hidden="1">{#N/A,#N/A,FALSE,"Dec 1999 mapping"}</definedName>
    <definedName name="wrn.Reformat._.only._5" localSheetId="4" hidden="1">{#N/A,#N/A,FALSE,"Dec 1999 mapping"}</definedName>
    <definedName name="wrn.Reformat._.only._5" localSheetId="18" hidden="1">{#N/A,#N/A,FALSE,"Dec 1999 mapping"}</definedName>
    <definedName name="wrn.Reformat._.only._5" localSheetId="19" hidden="1">{#N/A,#N/A,FALSE,"Dec 1999 mapping"}</definedName>
    <definedName name="wrn.Reformat._.only._5" localSheetId="20" hidden="1">{#N/A,#N/A,FALSE,"Dec 1999 mapping"}</definedName>
    <definedName name="wrn.Reformat._.only._5" localSheetId="21" hidden="1">{#N/A,#N/A,FALSE,"Dec 1999 mapping"}</definedName>
    <definedName name="wrn.Reformat._.only._5" localSheetId="24" hidden="1">{#N/A,#N/A,FALSE,"Dec 1999 mapping"}</definedName>
    <definedName name="wrn.Reformat._.only._5" localSheetId="27" hidden="1">{#N/A,#N/A,FALSE,"Dec 1999 mapping"}</definedName>
    <definedName name="wrn.Reformat._.only._5" localSheetId="28" hidden="1">{#N/A,#N/A,FALSE,"Dec 1999 mapping"}</definedName>
    <definedName name="wrn.Reformat._.only._5" localSheetId="29" hidden="1">{#N/A,#N/A,FALSE,"Dec 1999 mapping"}</definedName>
    <definedName name="wrn.Reformat._.only._5" localSheetId="30" hidden="1">{#N/A,#N/A,FALSE,"Dec 1999 mapping"}</definedName>
    <definedName name="wrn.Reformat._.only._5" localSheetId="31" hidden="1">{#N/A,#N/A,FALSE,"Dec 1999 mapping"}</definedName>
    <definedName name="wrn.Reformat._.only._5" localSheetId="37" hidden="1">{#N/A,#N/A,FALSE,"Dec 1999 mapping"}</definedName>
    <definedName name="wrn.Reformat._.only._5" localSheetId="41" hidden="1">{#N/A,#N/A,FALSE,"Dec 1999 mapping"}</definedName>
    <definedName name="wrn.Reformat._.only._5" localSheetId="42" hidden="1">{#N/A,#N/A,FALSE,"Dec 1999 mapping"}</definedName>
    <definedName name="wrn.Reformat._.only._5" localSheetId="0" hidden="1">{#N/A,#N/A,FALSE,"Dec 1999 mapping"}</definedName>
    <definedName name="wrn.Reformat._.only._5" hidden="1">{#N/A,#N/A,FALSE,"Dec 1999 mapping"}</definedName>
    <definedName name="wrn.SALES._.VAR._.95._.BUDGET.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2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4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2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3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4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2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3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4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2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3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4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2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3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4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2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3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41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42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_5" hidden="1">{"PRINT",#N/A,TRUE,"APPA";"PRINT",#N/A,TRUE,"APS";"PRINT",#N/A,TRUE,"BHPL";"PRINT",#N/A,TRUE,"BHPL2";"PRINT",#N/A,TRUE,"CDWR";"PRINT",#N/A,TRUE,"EWEB";"PRINT",#N/A,TRUE,"LADWP";"PRINT",#N/A,TRUE,"NEVBASE"}</definedName>
    <definedName name="wrn.Summary." localSheetId="1" hidden="1">{#N/A,#N/A,FALSE,"Sum Qtr";#N/A,#N/A,FALSE,"Oper Sum";#N/A,#N/A,FALSE,"Land Sales";#N/A,#N/A,FALSE,"Finance";#N/A,#N/A,FALSE,"Oper Ass"}</definedName>
    <definedName name="wrn.Summary." localSheetId="3" hidden="1">{#N/A,#N/A,FALSE,"Sum Qtr";#N/A,#N/A,FALSE,"Oper Sum";#N/A,#N/A,FALSE,"Land Sales";#N/A,#N/A,FALSE,"Finance";#N/A,#N/A,FALSE,"Oper Ass"}</definedName>
    <definedName name="wrn.Summary." localSheetId="4" hidden="1">{#N/A,#N/A,FALSE,"Sum Qtr";#N/A,#N/A,FALSE,"Oper Sum";#N/A,#N/A,FALSE,"Land Sales";#N/A,#N/A,FALSE,"Finance";#N/A,#N/A,FALSE,"Oper Ass"}</definedName>
    <definedName name="wrn.Summary." localSheetId="18" hidden="1">{#N/A,#N/A,FALSE,"Sum Qtr";#N/A,#N/A,FALSE,"Oper Sum";#N/A,#N/A,FALSE,"Land Sales";#N/A,#N/A,FALSE,"Finance";#N/A,#N/A,FALSE,"Oper Ass"}</definedName>
    <definedName name="wrn.Summary." localSheetId="19" hidden="1">{#N/A,#N/A,FALSE,"Sum Qtr";#N/A,#N/A,FALSE,"Oper Sum";#N/A,#N/A,FALSE,"Land Sales";#N/A,#N/A,FALSE,"Finance";#N/A,#N/A,FALSE,"Oper Ass"}</definedName>
    <definedName name="wrn.Summary." localSheetId="20" hidden="1">{#N/A,#N/A,FALSE,"Sum Qtr";#N/A,#N/A,FALSE,"Oper Sum";#N/A,#N/A,FALSE,"Land Sales";#N/A,#N/A,FALSE,"Finance";#N/A,#N/A,FALSE,"Oper Ass"}</definedName>
    <definedName name="wrn.Summary." localSheetId="21" hidden="1">{#N/A,#N/A,FALSE,"Sum Qtr";#N/A,#N/A,FALSE,"Oper Sum";#N/A,#N/A,FALSE,"Land Sales";#N/A,#N/A,FALSE,"Finance";#N/A,#N/A,FALSE,"Oper Ass"}</definedName>
    <definedName name="wrn.Summary." localSheetId="24" hidden="1">{#N/A,#N/A,FALSE,"Sum Qtr";#N/A,#N/A,FALSE,"Oper Sum";#N/A,#N/A,FALSE,"Land Sales";#N/A,#N/A,FALSE,"Finance";#N/A,#N/A,FALSE,"Oper Ass"}</definedName>
    <definedName name="wrn.Summary." localSheetId="27" hidden="1">{#N/A,#N/A,FALSE,"Sum Qtr";#N/A,#N/A,FALSE,"Oper Sum";#N/A,#N/A,FALSE,"Land Sales";#N/A,#N/A,FALSE,"Finance";#N/A,#N/A,FALSE,"Oper Ass"}</definedName>
    <definedName name="wrn.Summary." localSheetId="28" hidden="1">{#N/A,#N/A,FALSE,"Sum Qtr";#N/A,#N/A,FALSE,"Oper Sum";#N/A,#N/A,FALSE,"Land Sales";#N/A,#N/A,FALSE,"Finance";#N/A,#N/A,FALSE,"Oper Ass"}</definedName>
    <definedName name="wrn.Summary." localSheetId="29" hidden="1">{#N/A,#N/A,FALSE,"Sum Qtr";#N/A,#N/A,FALSE,"Oper Sum";#N/A,#N/A,FALSE,"Land Sales";#N/A,#N/A,FALSE,"Finance";#N/A,#N/A,FALSE,"Oper Ass"}</definedName>
    <definedName name="wrn.Summary." localSheetId="30" hidden="1">{#N/A,#N/A,FALSE,"Sum Qtr";#N/A,#N/A,FALSE,"Oper Sum";#N/A,#N/A,FALSE,"Land Sales";#N/A,#N/A,FALSE,"Finance";#N/A,#N/A,FALSE,"Oper Ass"}</definedName>
    <definedName name="wrn.Summary." localSheetId="31" hidden="1">{#N/A,#N/A,FALSE,"Sum Qtr";#N/A,#N/A,FALSE,"Oper Sum";#N/A,#N/A,FALSE,"Land Sales";#N/A,#N/A,FALSE,"Finance";#N/A,#N/A,FALSE,"Oper Ass"}</definedName>
    <definedName name="wrn.Summary." localSheetId="37" hidden="1">{#N/A,#N/A,FALSE,"Sum Qtr";#N/A,#N/A,FALSE,"Oper Sum";#N/A,#N/A,FALSE,"Land Sales";#N/A,#N/A,FALSE,"Finance";#N/A,#N/A,FALSE,"Oper Ass"}</definedName>
    <definedName name="wrn.Summary." localSheetId="41" hidden="1">{#N/A,#N/A,FALSE,"Sum Qtr";#N/A,#N/A,FALSE,"Oper Sum";#N/A,#N/A,FALSE,"Land Sales";#N/A,#N/A,FALSE,"Finance";#N/A,#N/A,FALSE,"Oper Ass"}</definedName>
    <definedName name="wrn.Summary." localSheetId="42" hidden="1">{#N/A,#N/A,FALSE,"Sum Qtr";#N/A,#N/A,FALSE,"Oper Sum";#N/A,#N/A,FALSE,"Land Sales";#N/A,#N/A,FALSE,"Finance";#N/A,#N/A,FALSE,"Oper Ass"}</definedName>
    <definedName name="wrn.Summary." localSheetId="0" hidden="1">{#N/A,#N/A,FALSE,"Sum Qtr";#N/A,#N/A,FALSE,"Oper Sum";#N/A,#N/A,FALSE,"Land Sales";#N/A,#N/A,FALSE,"Finance";#N/A,#N/A,FALSE,"Oper Ass"}</definedName>
    <definedName name="wrn.Summary." hidden="1">{#N/A,#N/A,FALSE,"Sum Qtr";#N/A,#N/A,FALSE,"Oper Sum";#N/A,#N/A,FALSE,"Land Sales";#N/A,#N/A,FALSE,"Finance";#N/A,#N/A,FALSE,"Oper Ass"}</definedName>
    <definedName name="wrn.Summary._1" localSheetId="1" hidden="1">{#N/A,#N/A,FALSE,"Sum Qtr";#N/A,#N/A,FALSE,"Oper Sum";#N/A,#N/A,FALSE,"Land Sales";#N/A,#N/A,FALSE,"Finance";#N/A,#N/A,FALSE,"Oper Ass"}</definedName>
    <definedName name="wrn.Summary._1" localSheetId="3" hidden="1">{#N/A,#N/A,FALSE,"Sum Qtr";#N/A,#N/A,FALSE,"Oper Sum";#N/A,#N/A,FALSE,"Land Sales";#N/A,#N/A,FALSE,"Finance";#N/A,#N/A,FALSE,"Oper Ass"}</definedName>
    <definedName name="wrn.Summary._1" localSheetId="4" hidden="1">{#N/A,#N/A,FALSE,"Sum Qtr";#N/A,#N/A,FALSE,"Oper Sum";#N/A,#N/A,FALSE,"Land Sales";#N/A,#N/A,FALSE,"Finance";#N/A,#N/A,FALSE,"Oper Ass"}</definedName>
    <definedName name="wrn.Summary._1" localSheetId="18" hidden="1">{#N/A,#N/A,FALSE,"Sum Qtr";#N/A,#N/A,FALSE,"Oper Sum";#N/A,#N/A,FALSE,"Land Sales";#N/A,#N/A,FALSE,"Finance";#N/A,#N/A,FALSE,"Oper Ass"}</definedName>
    <definedName name="wrn.Summary._1" localSheetId="19" hidden="1">{#N/A,#N/A,FALSE,"Sum Qtr";#N/A,#N/A,FALSE,"Oper Sum";#N/A,#N/A,FALSE,"Land Sales";#N/A,#N/A,FALSE,"Finance";#N/A,#N/A,FALSE,"Oper Ass"}</definedName>
    <definedName name="wrn.Summary._1" localSheetId="20" hidden="1">{#N/A,#N/A,FALSE,"Sum Qtr";#N/A,#N/A,FALSE,"Oper Sum";#N/A,#N/A,FALSE,"Land Sales";#N/A,#N/A,FALSE,"Finance";#N/A,#N/A,FALSE,"Oper Ass"}</definedName>
    <definedName name="wrn.Summary._1" localSheetId="21" hidden="1">{#N/A,#N/A,FALSE,"Sum Qtr";#N/A,#N/A,FALSE,"Oper Sum";#N/A,#N/A,FALSE,"Land Sales";#N/A,#N/A,FALSE,"Finance";#N/A,#N/A,FALSE,"Oper Ass"}</definedName>
    <definedName name="wrn.Summary._1" localSheetId="24" hidden="1">{#N/A,#N/A,FALSE,"Sum Qtr";#N/A,#N/A,FALSE,"Oper Sum";#N/A,#N/A,FALSE,"Land Sales";#N/A,#N/A,FALSE,"Finance";#N/A,#N/A,FALSE,"Oper Ass"}</definedName>
    <definedName name="wrn.Summary._1" localSheetId="27" hidden="1">{#N/A,#N/A,FALSE,"Sum Qtr";#N/A,#N/A,FALSE,"Oper Sum";#N/A,#N/A,FALSE,"Land Sales";#N/A,#N/A,FALSE,"Finance";#N/A,#N/A,FALSE,"Oper Ass"}</definedName>
    <definedName name="wrn.Summary._1" localSheetId="28" hidden="1">{#N/A,#N/A,FALSE,"Sum Qtr";#N/A,#N/A,FALSE,"Oper Sum";#N/A,#N/A,FALSE,"Land Sales";#N/A,#N/A,FALSE,"Finance";#N/A,#N/A,FALSE,"Oper Ass"}</definedName>
    <definedName name="wrn.Summary._1" localSheetId="29" hidden="1">{#N/A,#N/A,FALSE,"Sum Qtr";#N/A,#N/A,FALSE,"Oper Sum";#N/A,#N/A,FALSE,"Land Sales";#N/A,#N/A,FALSE,"Finance";#N/A,#N/A,FALSE,"Oper Ass"}</definedName>
    <definedName name="wrn.Summary._1" localSheetId="30" hidden="1">{#N/A,#N/A,FALSE,"Sum Qtr";#N/A,#N/A,FALSE,"Oper Sum";#N/A,#N/A,FALSE,"Land Sales";#N/A,#N/A,FALSE,"Finance";#N/A,#N/A,FALSE,"Oper Ass"}</definedName>
    <definedName name="wrn.Summary._1" localSheetId="31" hidden="1">{#N/A,#N/A,FALSE,"Sum Qtr";#N/A,#N/A,FALSE,"Oper Sum";#N/A,#N/A,FALSE,"Land Sales";#N/A,#N/A,FALSE,"Finance";#N/A,#N/A,FALSE,"Oper Ass"}</definedName>
    <definedName name="wrn.Summary._1" localSheetId="37" hidden="1">{#N/A,#N/A,FALSE,"Sum Qtr";#N/A,#N/A,FALSE,"Oper Sum";#N/A,#N/A,FALSE,"Land Sales";#N/A,#N/A,FALSE,"Finance";#N/A,#N/A,FALSE,"Oper Ass"}</definedName>
    <definedName name="wrn.Summary._1" localSheetId="41" hidden="1">{#N/A,#N/A,FALSE,"Sum Qtr";#N/A,#N/A,FALSE,"Oper Sum";#N/A,#N/A,FALSE,"Land Sales";#N/A,#N/A,FALSE,"Finance";#N/A,#N/A,FALSE,"Oper Ass"}</definedName>
    <definedName name="wrn.Summary._1" localSheetId="42" hidden="1">{#N/A,#N/A,FALSE,"Sum Qtr";#N/A,#N/A,FALSE,"Oper Sum";#N/A,#N/A,FALSE,"Land Sales";#N/A,#N/A,FALSE,"Finance";#N/A,#N/A,FALSE,"Oper Ass"}</definedName>
    <definedName name="wrn.Summary._1" localSheetId="0" hidden="1">{#N/A,#N/A,FALSE,"Sum Qtr";#N/A,#N/A,FALSE,"Oper Sum";#N/A,#N/A,FALSE,"Land Sales";#N/A,#N/A,FALSE,"Finance";#N/A,#N/A,FALSE,"Oper Ass"}</definedName>
    <definedName name="wrn.Summary._1" hidden="1">{#N/A,#N/A,FALSE,"Sum Qtr";#N/A,#N/A,FALSE,"Oper Sum";#N/A,#N/A,FALSE,"Land Sales";#N/A,#N/A,FALSE,"Finance";#N/A,#N/A,FALSE,"Oper Ass"}</definedName>
    <definedName name="wrn.Summary._2" localSheetId="1" hidden="1">{#N/A,#N/A,FALSE,"Sum Qtr";#N/A,#N/A,FALSE,"Oper Sum";#N/A,#N/A,FALSE,"Land Sales";#N/A,#N/A,FALSE,"Finance";#N/A,#N/A,FALSE,"Oper Ass"}</definedName>
    <definedName name="wrn.Summary._2" localSheetId="3" hidden="1">{#N/A,#N/A,FALSE,"Sum Qtr";#N/A,#N/A,FALSE,"Oper Sum";#N/A,#N/A,FALSE,"Land Sales";#N/A,#N/A,FALSE,"Finance";#N/A,#N/A,FALSE,"Oper Ass"}</definedName>
    <definedName name="wrn.Summary._2" localSheetId="4" hidden="1">{#N/A,#N/A,FALSE,"Sum Qtr";#N/A,#N/A,FALSE,"Oper Sum";#N/A,#N/A,FALSE,"Land Sales";#N/A,#N/A,FALSE,"Finance";#N/A,#N/A,FALSE,"Oper Ass"}</definedName>
    <definedName name="wrn.Summary._2" localSheetId="18" hidden="1">{#N/A,#N/A,FALSE,"Sum Qtr";#N/A,#N/A,FALSE,"Oper Sum";#N/A,#N/A,FALSE,"Land Sales";#N/A,#N/A,FALSE,"Finance";#N/A,#N/A,FALSE,"Oper Ass"}</definedName>
    <definedName name="wrn.Summary._2" localSheetId="19" hidden="1">{#N/A,#N/A,FALSE,"Sum Qtr";#N/A,#N/A,FALSE,"Oper Sum";#N/A,#N/A,FALSE,"Land Sales";#N/A,#N/A,FALSE,"Finance";#N/A,#N/A,FALSE,"Oper Ass"}</definedName>
    <definedName name="wrn.Summary._2" localSheetId="20" hidden="1">{#N/A,#N/A,FALSE,"Sum Qtr";#N/A,#N/A,FALSE,"Oper Sum";#N/A,#N/A,FALSE,"Land Sales";#N/A,#N/A,FALSE,"Finance";#N/A,#N/A,FALSE,"Oper Ass"}</definedName>
    <definedName name="wrn.Summary._2" localSheetId="21" hidden="1">{#N/A,#N/A,FALSE,"Sum Qtr";#N/A,#N/A,FALSE,"Oper Sum";#N/A,#N/A,FALSE,"Land Sales";#N/A,#N/A,FALSE,"Finance";#N/A,#N/A,FALSE,"Oper Ass"}</definedName>
    <definedName name="wrn.Summary._2" localSheetId="24" hidden="1">{#N/A,#N/A,FALSE,"Sum Qtr";#N/A,#N/A,FALSE,"Oper Sum";#N/A,#N/A,FALSE,"Land Sales";#N/A,#N/A,FALSE,"Finance";#N/A,#N/A,FALSE,"Oper Ass"}</definedName>
    <definedName name="wrn.Summary._2" localSheetId="27" hidden="1">{#N/A,#N/A,FALSE,"Sum Qtr";#N/A,#N/A,FALSE,"Oper Sum";#N/A,#N/A,FALSE,"Land Sales";#N/A,#N/A,FALSE,"Finance";#N/A,#N/A,FALSE,"Oper Ass"}</definedName>
    <definedName name="wrn.Summary._2" localSheetId="28" hidden="1">{#N/A,#N/A,FALSE,"Sum Qtr";#N/A,#N/A,FALSE,"Oper Sum";#N/A,#N/A,FALSE,"Land Sales";#N/A,#N/A,FALSE,"Finance";#N/A,#N/A,FALSE,"Oper Ass"}</definedName>
    <definedName name="wrn.Summary._2" localSheetId="29" hidden="1">{#N/A,#N/A,FALSE,"Sum Qtr";#N/A,#N/A,FALSE,"Oper Sum";#N/A,#N/A,FALSE,"Land Sales";#N/A,#N/A,FALSE,"Finance";#N/A,#N/A,FALSE,"Oper Ass"}</definedName>
    <definedName name="wrn.Summary._2" localSheetId="30" hidden="1">{#N/A,#N/A,FALSE,"Sum Qtr";#N/A,#N/A,FALSE,"Oper Sum";#N/A,#N/A,FALSE,"Land Sales";#N/A,#N/A,FALSE,"Finance";#N/A,#N/A,FALSE,"Oper Ass"}</definedName>
    <definedName name="wrn.Summary._2" localSheetId="31" hidden="1">{#N/A,#N/A,FALSE,"Sum Qtr";#N/A,#N/A,FALSE,"Oper Sum";#N/A,#N/A,FALSE,"Land Sales";#N/A,#N/A,FALSE,"Finance";#N/A,#N/A,FALSE,"Oper Ass"}</definedName>
    <definedName name="wrn.Summary._2" localSheetId="37" hidden="1">{#N/A,#N/A,FALSE,"Sum Qtr";#N/A,#N/A,FALSE,"Oper Sum";#N/A,#N/A,FALSE,"Land Sales";#N/A,#N/A,FALSE,"Finance";#N/A,#N/A,FALSE,"Oper Ass"}</definedName>
    <definedName name="wrn.Summary._2" localSheetId="41" hidden="1">{#N/A,#N/A,FALSE,"Sum Qtr";#N/A,#N/A,FALSE,"Oper Sum";#N/A,#N/A,FALSE,"Land Sales";#N/A,#N/A,FALSE,"Finance";#N/A,#N/A,FALSE,"Oper Ass"}</definedName>
    <definedName name="wrn.Summary._2" localSheetId="42" hidden="1">{#N/A,#N/A,FALSE,"Sum Qtr";#N/A,#N/A,FALSE,"Oper Sum";#N/A,#N/A,FALSE,"Land Sales";#N/A,#N/A,FALSE,"Finance";#N/A,#N/A,FALSE,"Oper Ass"}</definedName>
    <definedName name="wrn.Summary._2" localSheetId="0" hidden="1">{#N/A,#N/A,FALSE,"Sum Qtr";#N/A,#N/A,FALSE,"Oper Sum";#N/A,#N/A,FALSE,"Land Sales";#N/A,#N/A,FALSE,"Finance";#N/A,#N/A,FALSE,"Oper Ass"}</definedName>
    <definedName name="wrn.Summary._2" hidden="1">{#N/A,#N/A,FALSE,"Sum Qtr";#N/A,#N/A,FALSE,"Oper Sum";#N/A,#N/A,FALSE,"Land Sales";#N/A,#N/A,FALSE,"Finance";#N/A,#N/A,FALSE,"Oper Ass"}</definedName>
    <definedName name="wrn.Summary._3" localSheetId="1" hidden="1">{#N/A,#N/A,FALSE,"Sum Qtr";#N/A,#N/A,FALSE,"Oper Sum";#N/A,#N/A,FALSE,"Land Sales";#N/A,#N/A,FALSE,"Finance";#N/A,#N/A,FALSE,"Oper Ass"}</definedName>
    <definedName name="wrn.Summary._3" localSheetId="3" hidden="1">{#N/A,#N/A,FALSE,"Sum Qtr";#N/A,#N/A,FALSE,"Oper Sum";#N/A,#N/A,FALSE,"Land Sales";#N/A,#N/A,FALSE,"Finance";#N/A,#N/A,FALSE,"Oper Ass"}</definedName>
    <definedName name="wrn.Summary._3" localSheetId="4" hidden="1">{#N/A,#N/A,FALSE,"Sum Qtr";#N/A,#N/A,FALSE,"Oper Sum";#N/A,#N/A,FALSE,"Land Sales";#N/A,#N/A,FALSE,"Finance";#N/A,#N/A,FALSE,"Oper Ass"}</definedName>
    <definedName name="wrn.Summary._3" localSheetId="18" hidden="1">{#N/A,#N/A,FALSE,"Sum Qtr";#N/A,#N/A,FALSE,"Oper Sum";#N/A,#N/A,FALSE,"Land Sales";#N/A,#N/A,FALSE,"Finance";#N/A,#N/A,FALSE,"Oper Ass"}</definedName>
    <definedName name="wrn.Summary._3" localSheetId="19" hidden="1">{#N/A,#N/A,FALSE,"Sum Qtr";#N/A,#N/A,FALSE,"Oper Sum";#N/A,#N/A,FALSE,"Land Sales";#N/A,#N/A,FALSE,"Finance";#N/A,#N/A,FALSE,"Oper Ass"}</definedName>
    <definedName name="wrn.Summary._3" localSheetId="20" hidden="1">{#N/A,#N/A,FALSE,"Sum Qtr";#N/A,#N/A,FALSE,"Oper Sum";#N/A,#N/A,FALSE,"Land Sales";#N/A,#N/A,FALSE,"Finance";#N/A,#N/A,FALSE,"Oper Ass"}</definedName>
    <definedName name="wrn.Summary._3" localSheetId="21" hidden="1">{#N/A,#N/A,FALSE,"Sum Qtr";#N/A,#N/A,FALSE,"Oper Sum";#N/A,#N/A,FALSE,"Land Sales";#N/A,#N/A,FALSE,"Finance";#N/A,#N/A,FALSE,"Oper Ass"}</definedName>
    <definedName name="wrn.Summary._3" localSheetId="24" hidden="1">{#N/A,#N/A,FALSE,"Sum Qtr";#N/A,#N/A,FALSE,"Oper Sum";#N/A,#N/A,FALSE,"Land Sales";#N/A,#N/A,FALSE,"Finance";#N/A,#N/A,FALSE,"Oper Ass"}</definedName>
    <definedName name="wrn.Summary._3" localSheetId="27" hidden="1">{#N/A,#N/A,FALSE,"Sum Qtr";#N/A,#N/A,FALSE,"Oper Sum";#N/A,#N/A,FALSE,"Land Sales";#N/A,#N/A,FALSE,"Finance";#N/A,#N/A,FALSE,"Oper Ass"}</definedName>
    <definedName name="wrn.Summary._3" localSheetId="28" hidden="1">{#N/A,#N/A,FALSE,"Sum Qtr";#N/A,#N/A,FALSE,"Oper Sum";#N/A,#N/A,FALSE,"Land Sales";#N/A,#N/A,FALSE,"Finance";#N/A,#N/A,FALSE,"Oper Ass"}</definedName>
    <definedName name="wrn.Summary._3" localSheetId="29" hidden="1">{#N/A,#N/A,FALSE,"Sum Qtr";#N/A,#N/A,FALSE,"Oper Sum";#N/A,#N/A,FALSE,"Land Sales";#N/A,#N/A,FALSE,"Finance";#N/A,#N/A,FALSE,"Oper Ass"}</definedName>
    <definedName name="wrn.Summary._3" localSheetId="30" hidden="1">{#N/A,#N/A,FALSE,"Sum Qtr";#N/A,#N/A,FALSE,"Oper Sum";#N/A,#N/A,FALSE,"Land Sales";#N/A,#N/A,FALSE,"Finance";#N/A,#N/A,FALSE,"Oper Ass"}</definedName>
    <definedName name="wrn.Summary._3" localSheetId="31" hidden="1">{#N/A,#N/A,FALSE,"Sum Qtr";#N/A,#N/A,FALSE,"Oper Sum";#N/A,#N/A,FALSE,"Land Sales";#N/A,#N/A,FALSE,"Finance";#N/A,#N/A,FALSE,"Oper Ass"}</definedName>
    <definedName name="wrn.Summary._3" localSheetId="37" hidden="1">{#N/A,#N/A,FALSE,"Sum Qtr";#N/A,#N/A,FALSE,"Oper Sum";#N/A,#N/A,FALSE,"Land Sales";#N/A,#N/A,FALSE,"Finance";#N/A,#N/A,FALSE,"Oper Ass"}</definedName>
    <definedName name="wrn.Summary._3" localSheetId="41" hidden="1">{#N/A,#N/A,FALSE,"Sum Qtr";#N/A,#N/A,FALSE,"Oper Sum";#N/A,#N/A,FALSE,"Land Sales";#N/A,#N/A,FALSE,"Finance";#N/A,#N/A,FALSE,"Oper Ass"}</definedName>
    <definedName name="wrn.Summary._3" localSheetId="42" hidden="1">{#N/A,#N/A,FALSE,"Sum Qtr";#N/A,#N/A,FALSE,"Oper Sum";#N/A,#N/A,FALSE,"Land Sales";#N/A,#N/A,FALSE,"Finance";#N/A,#N/A,FALSE,"Oper Ass"}</definedName>
    <definedName name="wrn.Summary._3" localSheetId="0" hidden="1">{#N/A,#N/A,FALSE,"Sum Qtr";#N/A,#N/A,FALSE,"Oper Sum";#N/A,#N/A,FALSE,"Land Sales";#N/A,#N/A,FALSE,"Finance";#N/A,#N/A,FALSE,"Oper Ass"}</definedName>
    <definedName name="wrn.Summary._3" hidden="1">{#N/A,#N/A,FALSE,"Sum Qtr";#N/A,#N/A,FALSE,"Oper Sum";#N/A,#N/A,FALSE,"Land Sales";#N/A,#N/A,FALSE,"Finance";#N/A,#N/A,FALSE,"Oper Ass"}</definedName>
    <definedName name="wrn.Summary._4" localSheetId="1" hidden="1">{#N/A,#N/A,FALSE,"Sum Qtr";#N/A,#N/A,FALSE,"Oper Sum";#N/A,#N/A,FALSE,"Land Sales";#N/A,#N/A,FALSE,"Finance";#N/A,#N/A,FALSE,"Oper Ass"}</definedName>
    <definedName name="wrn.Summary._4" localSheetId="3" hidden="1">{#N/A,#N/A,FALSE,"Sum Qtr";#N/A,#N/A,FALSE,"Oper Sum";#N/A,#N/A,FALSE,"Land Sales";#N/A,#N/A,FALSE,"Finance";#N/A,#N/A,FALSE,"Oper Ass"}</definedName>
    <definedName name="wrn.Summary._4" localSheetId="4" hidden="1">{#N/A,#N/A,FALSE,"Sum Qtr";#N/A,#N/A,FALSE,"Oper Sum";#N/A,#N/A,FALSE,"Land Sales";#N/A,#N/A,FALSE,"Finance";#N/A,#N/A,FALSE,"Oper Ass"}</definedName>
    <definedName name="wrn.Summary._4" localSheetId="18" hidden="1">{#N/A,#N/A,FALSE,"Sum Qtr";#N/A,#N/A,FALSE,"Oper Sum";#N/A,#N/A,FALSE,"Land Sales";#N/A,#N/A,FALSE,"Finance";#N/A,#N/A,FALSE,"Oper Ass"}</definedName>
    <definedName name="wrn.Summary._4" localSheetId="19" hidden="1">{#N/A,#N/A,FALSE,"Sum Qtr";#N/A,#N/A,FALSE,"Oper Sum";#N/A,#N/A,FALSE,"Land Sales";#N/A,#N/A,FALSE,"Finance";#N/A,#N/A,FALSE,"Oper Ass"}</definedName>
    <definedName name="wrn.Summary._4" localSheetId="20" hidden="1">{#N/A,#N/A,FALSE,"Sum Qtr";#N/A,#N/A,FALSE,"Oper Sum";#N/A,#N/A,FALSE,"Land Sales";#N/A,#N/A,FALSE,"Finance";#N/A,#N/A,FALSE,"Oper Ass"}</definedName>
    <definedName name="wrn.Summary._4" localSheetId="21" hidden="1">{#N/A,#N/A,FALSE,"Sum Qtr";#N/A,#N/A,FALSE,"Oper Sum";#N/A,#N/A,FALSE,"Land Sales";#N/A,#N/A,FALSE,"Finance";#N/A,#N/A,FALSE,"Oper Ass"}</definedName>
    <definedName name="wrn.Summary._4" localSheetId="24" hidden="1">{#N/A,#N/A,FALSE,"Sum Qtr";#N/A,#N/A,FALSE,"Oper Sum";#N/A,#N/A,FALSE,"Land Sales";#N/A,#N/A,FALSE,"Finance";#N/A,#N/A,FALSE,"Oper Ass"}</definedName>
    <definedName name="wrn.Summary._4" localSheetId="27" hidden="1">{#N/A,#N/A,FALSE,"Sum Qtr";#N/A,#N/A,FALSE,"Oper Sum";#N/A,#N/A,FALSE,"Land Sales";#N/A,#N/A,FALSE,"Finance";#N/A,#N/A,FALSE,"Oper Ass"}</definedName>
    <definedName name="wrn.Summary._4" localSheetId="28" hidden="1">{#N/A,#N/A,FALSE,"Sum Qtr";#N/A,#N/A,FALSE,"Oper Sum";#N/A,#N/A,FALSE,"Land Sales";#N/A,#N/A,FALSE,"Finance";#N/A,#N/A,FALSE,"Oper Ass"}</definedName>
    <definedName name="wrn.Summary._4" localSheetId="29" hidden="1">{#N/A,#N/A,FALSE,"Sum Qtr";#N/A,#N/A,FALSE,"Oper Sum";#N/A,#N/A,FALSE,"Land Sales";#N/A,#N/A,FALSE,"Finance";#N/A,#N/A,FALSE,"Oper Ass"}</definedName>
    <definedName name="wrn.Summary._4" localSheetId="30" hidden="1">{#N/A,#N/A,FALSE,"Sum Qtr";#N/A,#N/A,FALSE,"Oper Sum";#N/A,#N/A,FALSE,"Land Sales";#N/A,#N/A,FALSE,"Finance";#N/A,#N/A,FALSE,"Oper Ass"}</definedName>
    <definedName name="wrn.Summary._4" localSheetId="31" hidden="1">{#N/A,#N/A,FALSE,"Sum Qtr";#N/A,#N/A,FALSE,"Oper Sum";#N/A,#N/A,FALSE,"Land Sales";#N/A,#N/A,FALSE,"Finance";#N/A,#N/A,FALSE,"Oper Ass"}</definedName>
    <definedName name="wrn.Summary._4" localSheetId="37" hidden="1">{#N/A,#N/A,FALSE,"Sum Qtr";#N/A,#N/A,FALSE,"Oper Sum";#N/A,#N/A,FALSE,"Land Sales";#N/A,#N/A,FALSE,"Finance";#N/A,#N/A,FALSE,"Oper Ass"}</definedName>
    <definedName name="wrn.Summary._4" localSheetId="41" hidden="1">{#N/A,#N/A,FALSE,"Sum Qtr";#N/A,#N/A,FALSE,"Oper Sum";#N/A,#N/A,FALSE,"Land Sales";#N/A,#N/A,FALSE,"Finance";#N/A,#N/A,FALSE,"Oper Ass"}</definedName>
    <definedName name="wrn.Summary._4" localSheetId="42" hidden="1">{#N/A,#N/A,FALSE,"Sum Qtr";#N/A,#N/A,FALSE,"Oper Sum";#N/A,#N/A,FALSE,"Land Sales";#N/A,#N/A,FALSE,"Finance";#N/A,#N/A,FALSE,"Oper Ass"}</definedName>
    <definedName name="wrn.Summary._4" localSheetId="0" hidden="1">{#N/A,#N/A,FALSE,"Sum Qtr";#N/A,#N/A,FALSE,"Oper Sum";#N/A,#N/A,FALSE,"Land Sales";#N/A,#N/A,FALSE,"Finance";#N/A,#N/A,FALSE,"Oper Ass"}</definedName>
    <definedName name="wrn.Summary._4" hidden="1">{#N/A,#N/A,FALSE,"Sum Qtr";#N/A,#N/A,FALSE,"Oper Sum";#N/A,#N/A,FALSE,"Land Sales";#N/A,#N/A,FALSE,"Finance";#N/A,#N/A,FALSE,"Oper Ass"}</definedName>
    <definedName name="wrn.Summary._5" localSheetId="1" hidden="1">{#N/A,#N/A,FALSE,"Sum Qtr";#N/A,#N/A,FALSE,"Oper Sum";#N/A,#N/A,FALSE,"Land Sales";#N/A,#N/A,FALSE,"Finance";#N/A,#N/A,FALSE,"Oper Ass"}</definedName>
    <definedName name="wrn.Summary._5" localSheetId="3" hidden="1">{#N/A,#N/A,FALSE,"Sum Qtr";#N/A,#N/A,FALSE,"Oper Sum";#N/A,#N/A,FALSE,"Land Sales";#N/A,#N/A,FALSE,"Finance";#N/A,#N/A,FALSE,"Oper Ass"}</definedName>
    <definedName name="wrn.Summary._5" localSheetId="4" hidden="1">{#N/A,#N/A,FALSE,"Sum Qtr";#N/A,#N/A,FALSE,"Oper Sum";#N/A,#N/A,FALSE,"Land Sales";#N/A,#N/A,FALSE,"Finance";#N/A,#N/A,FALSE,"Oper Ass"}</definedName>
    <definedName name="wrn.Summary._5" localSheetId="18" hidden="1">{#N/A,#N/A,FALSE,"Sum Qtr";#N/A,#N/A,FALSE,"Oper Sum";#N/A,#N/A,FALSE,"Land Sales";#N/A,#N/A,FALSE,"Finance";#N/A,#N/A,FALSE,"Oper Ass"}</definedName>
    <definedName name="wrn.Summary._5" localSheetId="19" hidden="1">{#N/A,#N/A,FALSE,"Sum Qtr";#N/A,#N/A,FALSE,"Oper Sum";#N/A,#N/A,FALSE,"Land Sales";#N/A,#N/A,FALSE,"Finance";#N/A,#N/A,FALSE,"Oper Ass"}</definedName>
    <definedName name="wrn.Summary._5" localSheetId="20" hidden="1">{#N/A,#N/A,FALSE,"Sum Qtr";#N/A,#N/A,FALSE,"Oper Sum";#N/A,#N/A,FALSE,"Land Sales";#N/A,#N/A,FALSE,"Finance";#N/A,#N/A,FALSE,"Oper Ass"}</definedName>
    <definedName name="wrn.Summary._5" localSheetId="21" hidden="1">{#N/A,#N/A,FALSE,"Sum Qtr";#N/A,#N/A,FALSE,"Oper Sum";#N/A,#N/A,FALSE,"Land Sales";#N/A,#N/A,FALSE,"Finance";#N/A,#N/A,FALSE,"Oper Ass"}</definedName>
    <definedName name="wrn.Summary._5" localSheetId="24" hidden="1">{#N/A,#N/A,FALSE,"Sum Qtr";#N/A,#N/A,FALSE,"Oper Sum";#N/A,#N/A,FALSE,"Land Sales";#N/A,#N/A,FALSE,"Finance";#N/A,#N/A,FALSE,"Oper Ass"}</definedName>
    <definedName name="wrn.Summary._5" localSheetId="27" hidden="1">{#N/A,#N/A,FALSE,"Sum Qtr";#N/A,#N/A,FALSE,"Oper Sum";#N/A,#N/A,FALSE,"Land Sales";#N/A,#N/A,FALSE,"Finance";#N/A,#N/A,FALSE,"Oper Ass"}</definedName>
    <definedName name="wrn.Summary._5" localSheetId="28" hidden="1">{#N/A,#N/A,FALSE,"Sum Qtr";#N/A,#N/A,FALSE,"Oper Sum";#N/A,#N/A,FALSE,"Land Sales";#N/A,#N/A,FALSE,"Finance";#N/A,#N/A,FALSE,"Oper Ass"}</definedName>
    <definedName name="wrn.Summary._5" localSheetId="29" hidden="1">{#N/A,#N/A,FALSE,"Sum Qtr";#N/A,#N/A,FALSE,"Oper Sum";#N/A,#N/A,FALSE,"Land Sales";#N/A,#N/A,FALSE,"Finance";#N/A,#N/A,FALSE,"Oper Ass"}</definedName>
    <definedName name="wrn.Summary._5" localSheetId="30" hidden="1">{#N/A,#N/A,FALSE,"Sum Qtr";#N/A,#N/A,FALSE,"Oper Sum";#N/A,#N/A,FALSE,"Land Sales";#N/A,#N/A,FALSE,"Finance";#N/A,#N/A,FALSE,"Oper Ass"}</definedName>
    <definedName name="wrn.Summary._5" localSheetId="31" hidden="1">{#N/A,#N/A,FALSE,"Sum Qtr";#N/A,#N/A,FALSE,"Oper Sum";#N/A,#N/A,FALSE,"Land Sales";#N/A,#N/A,FALSE,"Finance";#N/A,#N/A,FALSE,"Oper Ass"}</definedName>
    <definedName name="wrn.Summary._5" localSheetId="37" hidden="1">{#N/A,#N/A,FALSE,"Sum Qtr";#N/A,#N/A,FALSE,"Oper Sum";#N/A,#N/A,FALSE,"Land Sales";#N/A,#N/A,FALSE,"Finance";#N/A,#N/A,FALSE,"Oper Ass"}</definedName>
    <definedName name="wrn.Summary._5" localSheetId="41" hidden="1">{#N/A,#N/A,FALSE,"Sum Qtr";#N/A,#N/A,FALSE,"Oper Sum";#N/A,#N/A,FALSE,"Land Sales";#N/A,#N/A,FALSE,"Finance";#N/A,#N/A,FALSE,"Oper Ass"}</definedName>
    <definedName name="wrn.Summary._5" localSheetId="42" hidden="1">{#N/A,#N/A,FALSE,"Sum Qtr";#N/A,#N/A,FALSE,"Oper Sum";#N/A,#N/A,FALSE,"Land Sales";#N/A,#N/A,FALSE,"Finance";#N/A,#N/A,FALSE,"Oper Ass"}</definedName>
    <definedName name="wrn.Summary._5" localSheetId="0" hidden="1">{#N/A,#N/A,FALSE,"Sum Qtr";#N/A,#N/A,FALSE,"Oper Sum";#N/A,#N/A,FALSE,"Land Sales";#N/A,#N/A,FALSE,"Finance";#N/A,#N/A,FALSE,"Oper Ass"}</definedName>
    <definedName name="wrn.Summary._5" hidden="1">{#N/A,#N/A,FALSE,"Sum Qtr";#N/A,#N/A,FALSE,"Oper Sum";#N/A,#N/A,FALSE,"Land Sales";#N/A,#N/A,FALSE,"Finance";#N/A,#N/A,FALSE,"Oper Ass"}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" i="32" l="1"/>
  <c r="A3" i="32"/>
  <c r="A2" i="32"/>
  <c r="A1" i="32"/>
  <c r="P72" i="23" l="1"/>
  <c r="P67" i="23"/>
  <c r="P65" i="23"/>
  <c r="P66" i="23"/>
  <c r="P64" i="23"/>
  <c r="P63" i="23"/>
  <c r="P62" i="23"/>
  <c r="P61" i="23"/>
  <c r="P37" i="23"/>
  <c r="P36" i="23"/>
  <c r="P35" i="23"/>
  <c r="P34" i="23"/>
  <c r="P29" i="23"/>
  <c r="E67" i="23" l="1"/>
  <c r="E66" i="23"/>
  <c r="E65" i="23"/>
  <c r="E64" i="23"/>
  <c r="E62" i="23"/>
  <c r="E61" i="23"/>
  <c r="E36" i="23" l="1"/>
  <c r="E35" i="23"/>
  <c r="E34" i="23"/>
  <c r="E29" i="23"/>
  <c r="E14" i="23"/>
  <c r="J15" i="23" l="1"/>
  <c r="J16" i="23"/>
  <c r="J17" i="23"/>
  <c r="J18" i="23"/>
  <c r="J19" i="23"/>
  <c r="J20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9" i="23"/>
  <c r="J40" i="23"/>
  <c r="J41" i="23"/>
  <c r="J42" i="23"/>
  <c r="J43" i="23"/>
  <c r="J44" i="23"/>
  <c r="J45" i="23"/>
  <c r="E47" i="23" l="1"/>
  <c r="S20" i="23"/>
  <c r="U20" i="23" s="1"/>
  <c r="AD31" i="89" l="1"/>
  <c r="AD34" i="89"/>
  <c r="AD35" i="89"/>
  <c r="AD36" i="89"/>
  <c r="AD37" i="89"/>
  <c r="AD41" i="89"/>
  <c r="AD44" i="89"/>
  <c r="AD46" i="89"/>
  <c r="AD47" i="89"/>
  <c r="AD50" i="89"/>
  <c r="AD28" i="89"/>
  <c r="O52" i="89"/>
  <c r="E52" i="89"/>
  <c r="O51" i="89"/>
  <c r="E51" i="89"/>
  <c r="O50" i="89"/>
  <c r="E50" i="89"/>
  <c r="O49" i="89"/>
  <c r="AD49" i="89"/>
  <c r="E49" i="89"/>
  <c r="O48" i="89"/>
  <c r="AD48" i="89"/>
  <c r="E48" i="89"/>
  <c r="O47" i="89"/>
  <c r="E47" i="89"/>
  <c r="O46" i="89"/>
  <c r="E46" i="89"/>
  <c r="O45" i="89"/>
  <c r="AD45" i="89"/>
  <c r="E45" i="89"/>
  <c r="O44" i="89"/>
  <c r="E44" i="89"/>
  <c r="O43" i="89"/>
  <c r="AD43" i="89"/>
  <c r="E43" i="89"/>
  <c r="O42" i="89"/>
  <c r="AD42" i="89"/>
  <c r="E42" i="89"/>
  <c r="O41" i="89"/>
  <c r="E41" i="89"/>
  <c r="O40" i="89"/>
  <c r="AD40" i="89"/>
  <c r="E40" i="89"/>
  <c r="O39" i="89"/>
  <c r="AD39" i="89"/>
  <c r="E39" i="89"/>
  <c r="O38" i="89"/>
  <c r="AD38" i="89"/>
  <c r="E38" i="89"/>
  <c r="O37" i="89"/>
  <c r="E37" i="89"/>
  <c r="O36" i="89"/>
  <c r="E36" i="89"/>
  <c r="O35" i="89"/>
  <c r="E35" i="89"/>
  <c r="O34" i="89"/>
  <c r="E34" i="89"/>
  <c r="O33" i="89"/>
  <c r="AD33" i="89"/>
  <c r="E33" i="89"/>
  <c r="O32" i="89"/>
  <c r="AD32" i="89"/>
  <c r="E32" i="89"/>
  <c r="O31" i="89"/>
  <c r="E31" i="89"/>
  <c r="O30" i="89"/>
  <c r="AD30" i="89"/>
  <c r="E30" i="89"/>
  <c r="O29" i="89"/>
  <c r="AD29" i="89"/>
  <c r="E29" i="89"/>
  <c r="O28" i="89"/>
  <c r="M28" i="89"/>
  <c r="M29" i="89" s="1"/>
  <c r="E28" i="89"/>
  <c r="C28" i="89"/>
  <c r="AZ28" i="89" s="1"/>
  <c r="AZ29" i="89" s="1"/>
  <c r="AZ30" i="89" s="1"/>
  <c r="AZ31" i="89" s="1"/>
  <c r="AZ32" i="89" s="1"/>
  <c r="AZ33" i="89" s="1"/>
  <c r="AZ34" i="89" s="1"/>
  <c r="AZ35" i="89" s="1"/>
  <c r="AZ36" i="89" s="1"/>
  <c r="AZ37" i="89" s="1"/>
  <c r="AZ38" i="89" s="1"/>
  <c r="AZ39" i="89" s="1"/>
  <c r="AZ40" i="89" s="1"/>
  <c r="AZ41" i="89" s="1"/>
  <c r="AZ42" i="89" s="1"/>
  <c r="AZ43" i="89" s="1"/>
  <c r="AZ44" i="89" s="1"/>
  <c r="AZ45" i="89" s="1"/>
  <c r="AZ46" i="89" s="1"/>
  <c r="AZ47" i="89" s="1"/>
  <c r="AZ48" i="89" s="1"/>
  <c r="AZ49" i="89" s="1"/>
  <c r="AZ50" i="89" s="1"/>
  <c r="AZ51" i="89" s="1"/>
  <c r="AZ52" i="89" s="1"/>
  <c r="W26" i="89"/>
  <c r="U26" i="89"/>
  <c r="S26" i="89"/>
  <c r="Q26" i="89"/>
  <c r="O26" i="89"/>
  <c r="M26" i="89"/>
  <c r="K26" i="89"/>
  <c r="G19" i="89"/>
  <c r="G18" i="89"/>
  <c r="BB16" i="89"/>
  <c r="BD28" i="89" s="1"/>
  <c r="BD29" i="89" s="1"/>
  <c r="BD30" i="89" s="1"/>
  <c r="BD31" i="89" s="1"/>
  <c r="BD32" i="89" s="1"/>
  <c r="BD33" i="89" s="1"/>
  <c r="BD34" i="89" s="1"/>
  <c r="BD35" i="89" s="1"/>
  <c r="BD36" i="89" s="1"/>
  <c r="BD37" i="89" s="1"/>
  <c r="BD38" i="89" s="1"/>
  <c r="BD39" i="89" s="1"/>
  <c r="BD40" i="89" s="1"/>
  <c r="BD41" i="89" s="1"/>
  <c r="BD42" i="89" s="1"/>
  <c r="BD43" i="89" s="1"/>
  <c r="BD44" i="89" s="1"/>
  <c r="BD45" i="89" s="1"/>
  <c r="BD46" i="89" s="1"/>
  <c r="BD47" i="89" s="1"/>
  <c r="BD48" i="89" s="1"/>
  <c r="BD49" i="89" s="1"/>
  <c r="BD50" i="89" s="1"/>
  <c r="BD51" i="89" s="1"/>
  <c r="BD52" i="89" s="1"/>
  <c r="AJ16" i="89"/>
  <c r="AF16" i="89"/>
  <c r="BD15" i="89"/>
  <c r="AJ15" i="89"/>
  <c r="AF15" i="89"/>
  <c r="BD14" i="89"/>
  <c r="AF14" i="89"/>
  <c r="AJ13" i="89"/>
  <c r="A3" i="89"/>
  <c r="A2" i="89"/>
  <c r="A1" i="89"/>
  <c r="AD51" i="89" l="1"/>
  <c r="AF28" i="89"/>
  <c r="AF29" i="89" s="1"/>
  <c r="AF11" i="89"/>
  <c r="BD11" i="89" s="1"/>
  <c r="I55" i="89"/>
  <c r="Q55" i="89"/>
  <c r="C29" i="89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AR28" i="89"/>
  <c r="AR29" i="89" s="1"/>
  <c r="AR30" i="89" s="1"/>
  <c r="AR31" i="89" s="1"/>
  <c r="AR32" i="89" s="1"/>
  <c r="AR33" i="89" s="1"/>
  <c r="AR34" i="89" s="1"/>
  <c r="AR35" i="89" s="1"/>
  <c r="AR36" i="89" s="1"/>
  <c r="AR37" i="89" s="1"/>
  <c r="AR38" i="89" s="1"/>
  <c r="AR39" i="89" s="1"/>
  <c r="AR40" i="89" s="1"/>
  <c r="AR41" i="89" s="1"/>
  <c r="AR42" i="89" s="1"/>
  <c r="AR43" i="89" s="1"/>
  <c r="AR44" i="89" s="1"/>
  <c r="AR45" i="89" s="1"/>
  <c r="AR46" i="89" s="1"/>
  <c r="AR47" i="89" s="1"/>
  <c r="AR48" i="89" s="1"/>
  <c r="AR49" i="89" s="1"/>
  <c r="AR50" i="89" s="1"/>
  <c r="AR51" i="89" s="1"/>
  <c r="AR52" i="89" s="1"/>
  <c r="AB28" i="89"/>
  <c r="AB29" i="89" s="1"/>
  <c r="AJ28" i="89"/>
  <c r="AJ29" i="89" s="1"/>
  <c r="AJ30" i="89" s="1"/>
  <c r="AJ31" i="89" s="1"/>
  <c r="AJ32" i="89" s="1"/>
  <c r="AJ33" i="89" s="1"/>
  <c r="AJ34" i="89" s="1"/>
  <c r="AJ35" i="89" s="1"/>
  <c r="AJ36" i="89" s="1"/>
  <c r="AJ37" i="89" s="1"/>
  <c r="AJ38" i="89" s="1"/>
  <c r="AJ39" i="89" s="1"/>
  <c r="AJ40" i="89" s="1"/>
  <c r="AJ41" i="89" s="1"/>
  <c r="AJ42" i="89" s="1"/>
  <c r="AJ43" i="89" s="1"/>
  <c r="AJ44" i="89" s="1"/>
  <c r="AJ45" i="89" s="1"/>
  <c r="AJ46" i="89" s="1"/>
  <c r="AJ47" i="89" s="1"/>
  <c r="AJ48" i="89" s="1"/>
  <c r="AJ49" i="89" s="1"/>
  <c r="AJ50" i="89" s="1"/>
  <c r="AJ51" i="89" s="1"/>
  <c r="AJ52" i="89" s="1"/>
  <c r="S28" i="89"/>
  <c r="AF30" i="89"/>
  <c r="K55" i="89"/>
  <c r="G16" i="89"/>
  <c r="BB28" i="89"/>
  <c r="M30" i="89"/>
  <c r="M31" i="89" s="1"/>
  <c r="S29" i="89"/>
  <c r="AJ55" i="89"/>
  <c r="C55" i="89"/>
  <c r="O55" i="89"/>
  <c r="BD55" i="89"/>
  <c r="AN28" i="89" l="1"/>
  <c r="AP28" i="89" s="1"/>
  <c r="AV28" i="89" s="1"/>
  <c r="AR55" i="89"/>
  <c r="S30" i="89"/>
  <c r="M32" i="89"/>
  <c r="S31" i="89"/>
  <c r="BF28" i="89"/>
  <c r="BB29" i="89"/>
  <c r="AN29" i="89"/>
  <c r="AP29" i="89" s="1"/>
  <c r="AV29" i="89" s="1"/>
  <c r="AB30" i="89"/>
  <c r="AF31" i="89"/>
  <c r="AD52" i="89" l="1"/>
  <c r="AD55" i="89" s="1"/>
  <c r="AF12" i="89" s="1"/>
  <c r="G55" i="89"/>
  <c r="AF32" i="89"/>
  <c r="AB31" i="89"/>
  <c r="AN30" i="89"/>
  <c r="AP30" i="89" s="1"/>
  <c r="AV30" i="89" s="1"/>
  <c r="BF29" i="89"/>
  <c r="BB30" i="89"/>
  <c r="M33" i="89"/>
  <c r="S32" i="89"/>
  <c r="M34" i="89" l="1"/>
  <c r="S33" i="89"/>
  <c r="BB31" i="89"/>
  <c r="BF30" i="89"/>
  <c r="AB32" i="89"/>
  <c r="AN31" i="89"/>
  <c r="AP31" i="89" s="1"/>
  <c r="AV31" i="89" s="1"/>
  <c r="AF33" i="89"/>
  <c r="AF34" i="89" l="1"/>
  <c r="AB33" i="89"/>
  <c r="AN32" i="89"/>
  <c r="BF31" i="89"/>
  <c r="BB32" i="89"/>
  <c r="M35" i="89"/>
  <c r="S34" i="89"/>
  <c r="BF32" i="89" l="1"/>
  <c r="BB33" i="89"/>
  <c r="AP32" i="89"/>
  <c r="AV32" i="89" s="1"/>
  <c r="AN33" i="89"/>
  <c r="AP33" i="89" s="1"/>
  <c r="AV33" i="89" s="1"/>
  <c r="AB34" i="89"/>
  <c r="AF35" i="89"/>
  <c r="S35" i="89"/>
  <c r="M36" i="89"/>
  <c r="AB35" i="89" l="1"/>
  <c r="AN34" i="89"/>
  <c r="AP34" i="89" s="1"/>
  <c r="AV34" i="89" s="1"/>
  <c r="AF36" i="89"/>
  <c r="M37" i="89"/>
  <c r="S36" i="89"/>
  <c r="BF33" i="89"/>
  <c r="BB34" i="89"/>
  <c r="BB35" i="89" l="1"/>
  <c r="BF34" i="89"/>
  <c r="M38" i="89"/>
  <c r="S37" i="89"/>
  <c r="AF37" i="89"/>
  <c r="AB36" i="89"/>
  <c r="AN35" i="89"/>
  <c r="AP35" i="89" s="1"/>
  <c r="AV35" i="89" s="1"/>
  <c r="AB37" i="89" l="1"/>
  <c r="AN36" i="89"/>
  <c r="AP36" i="89" s="1"/>
  <c r="AV36" i="89" s="1"/>
  <c r="AF38" i="89"/>
  <c r="M39" i="89"/>
  <c r="S38" i="89"/>
  <c r="BF35" i="89"/>
  <c r="BB36" i="89"/>
  <c r="AF39" i="89" l="1"/>
  <c r="BF36" i="89"/>
  <c r="BB37" i="89"/>
  <c r="S39" i="89"/>
  <c r="M40" i="89"/>
  <c r="AN37" i="89"/>
  <c r="AP37" i="89" s="1"/>
  <c r="AV37" i="89" s="1"/>
  <c r="AB38" i="89"/>
  <c r="AB39" i="89" l="1"/>
  <c r="AN38" i="89"/>
  <c r="AP38" i="89" s="1"/>
  <c r="AV38" i="89" s="1"/>
  <c r="AF40" i="89"/>
  <c r="M41" i="89"/>
  <c r="S40" i="89"/>
  <c r="BF37" i="89"/>
  <c r="BB38" i="89"/>
  <c r="BB39" i="89" l="1"/>
  <c r="BF38" i="89"/>
  <c r="M42" i="89"/>
  <c r="S41" i="89"/>
  <c r="AF41" i="89"/>
  <c r="AB40" i="89"/>
  <c r="AN39" i="89"/>
  <c r="AP39" i="89" s="1"/>
  <c r="AV39" i="89" s="1"/>
  <c r="AF42" i="89" l="1"/>
  <c r="AN40" i="89"/>
  <c r="AP40" i="89" s="1"/>
  <c r="AV40" i="89" s="1"/>
  <c r="AB41" i="89"/>
  <c r="M43" i="89"/>
  <c r="S42" i="89"/>
  <c r="BF39" i="89"/>
  <c r="BB40" i="89"/>
  <c r="BF40" i="89" l="1"/>
  <c r="BB41" i="89"/>
  <c r="S43" i="89"/>
  <c r="M44" i="89"/>
  <c r="AN41" i="89"/>
  <c r="AP41" i="89" s="1"/>
  <c r="AV41" i="89" s="1"/>
  <c r="AB42" i="89"/>
  <c r="AF43" i="89"/>
  <c r="AF44" i="89" l="1"/>
  <c r="AB43" i="89"/>
  <c r="AN42" i="89"/>
  <c r="AP42" i="89" s="1"/>
  <c r="AV42" i="89" s="1"/>
  <c r="M45" i="89"/>
  <c r="S44" i="89"/>
  <c r="BF41" i="89"/>
  <c r="BB42" i="89"/>
  <c r="BB43" i="89" l="1"/>
  <c r="BF42" i="89"/>
  <c r="M46" i="89"/>
  <c r="S45" i="89"/>
  <c r="AB44" i="89"/>
  <c r="AN43" i="89"/>
  <c r="AP43" i="89" s="1"/>
  <c r="AV43" i="89" s="1"/>
  <c r="AF45" i="89"/>
  <c r="AF46" i="89" l="1"/>
  <c r="AB45" i="89"/>
  <c r="AN44" i="89"/>
  <c r="AP44" i="89" s="1"/>
  <c r="AV44" i="89" s="1"/>
  <c r="M47" i="89"/>
  <c r="S46" i="89"/>
  <c r="BF43" i="89"/>
  <c r="BB44" i="89"/>
  <c r="BF44" i="89" l="1"/>
  <c r="BB45" i="89"/>
  <c r="S47" i="89"/>
  <c r="M48" i="89"/>
  <c r="AN45" i="89"/>
  <c r="AP45" i="89" s="1"/>
  <c r="AV45" i="89" s="1"/>
  <c r="AB46" i="89"/>
  <c r="AF47" i="89"/>
  <c r="AF48" i="89" l="1"/>
  <c r="AB47" i="89"/>
  <c r="AN46" i="89"/>
  <c r="AP46" i="89" s="1"/>
  <c r="AV46" i="89" s="1"/>
  <c r="M49" i="89"/>
  <c r="S48" i="89"/>
  <c r="BF45" i="89"/>
  <c r="BB46" i="89"/>
  <c r="BB47" i="89" l="1"/>
  <c r="BF46" i="89"/>
  <c r="M50" i="89"/>
  <c r="S49" i="89"/>
  <c r="AB48" i="89"/>
  <c r="AN47" i="89"/>
  <c r="AP47" i="89" s="1"/>
  <c r="AV47" i="89" s="1"/>
  <c r="AF49" i="89"/>
  <c r="AF50" i="89" l="1"/>
  <c r="AB49" i="89"/>
  <c r="AN48" i="89"/>
  <c r="AP48" i="89" s="1"/>
  <c r="AV48" i="89" s="1"/>
  <c r="M51" i="89"/>
  <c r="S50" i="89"/>
  <c r="BF47" i="89"/>
  <c r="BB48" i="89"/>
  <c r="BF48" i="89" l="1"/>
  <c r="BB49" i="89"/>
  <c r="S51" i="89"/>
  <c r="M52" i="89"/>
  <c r="AN49" i="89"/>
  <c r="AP49" i="89" s="1"/>
  <c r="AV49" i="89" s="1"/>
  <c r="AB50" i="89"/>
  <c r="AF51" i="89"/>
  <c r="AB51" i="89" l="1"/>
  <c r="AN50" i="89"/>
  <c r="AP50" i="89" s="1"/>
  <c r="AV50" i="89" s="1"/>
  <c r="AF52" i="89"/>
  <c r="S52" i="89"/>
  <c r="BF49" i="89"/>
  <c r="BB50" i="89"/>
  <c r="BB51" i="89" l="1"/>
  <c r="BF50" i="89"/>
  <c r="AB52" i="89"/>
  <c r="AN51" i="89"/>
  <c r="AP51" i="89" s="1"/>
  <c r="AV51" i="89" s="1"/>
  <c r="AN52" i="89" l="1"/>
  <c r="AP52" i="89" s="1"/>
  <c r="AV52" i="89" s="1"/>
  <c r="BF51" i="89"/>
  <c r="BB52" i="89"/>
  <c r="BF52" i="89" l="1"/>
  <c r="M55" i="89" l="1"/>
  <c r="AF55" i="89" l="1"/>
  <c r="S55" i="89"/>
  <c r="G61" i="32" s="1"/>
  <c r="AN55" i="89" l="1"/>
  <c r="AV55" i="89" l="1"/>
  <c r="AP55" i="89"/>
  <c r="BB55" i="89"/>
  <c r="BF55" i="89" l="1"/>
  <c r="O29" i="87" l="1"/>
  <c r="O30" i="87"/>
  <c r="O31" i="87"/>
  <c r="O32" i="87"/>
  <c r="O33" i="87"/>
  <c r="O34" i="87"/>
  <c r="O35" i="87"/>
  <c r="O36" i="87"/>
  <c r="O37" i="87"/>
  <c r="O38" i="87"/>
  <c r="O39" i="87"/>
  <c r="O40" i="87"/>
  <c r="O41" i="87"/>
  <c r="O42" i="87"/>
  <c r="O43" i="87"/>
  <c r="O44" i="87"/>
  <c r="O45" i="87"/>
  <c r="O46" i="87"/>
  <c r="O47" i="87"/>
  <c r="O48" i="87"/>
  <c r="O49" i="87"/>
  <c r="O50" i="87"/>
  <c r="O51" i="87"/>
  <c r="O52" i="87"/>
  <c r="O53" i="87"/>
  <c r="O54" i="87"/>
  <c r="O55" i="87"/>
  <c r="O56" i="87"/>
  <c r="O57" i="87"/>
  <c r="O28" i="87"/>
  <c r="AD57" i="87"/>
  <c r="E29" i="87"/>
  <c r="E30" i="87"/>
  <c r="E31" i="87"/>
  <c r="E32" i="87"/>
  <c r="E33" i="87"/>
  <c r="E34" i="87"/>
  <c r="E35" i="87"/>
  <c r="E36" i="87"/>
  <c r="E37" i="87"/>
  <c r="E38" i="87"/>
  <c r="E39" i="87"/>
  <c r="E40" i="87"/>
  <c r="E41" i="87"/>
  <c r="E42" i="87"/>
  <c r="E43" i="87"/>
  <c r="E44" i="87"/>
  <c r="E45" i="87"/>
  <c r="E46" i="87"/>
  <c r="E47" i="87"/>
  <c r="E48" i="87"/>
  <c r="E49" i="87"/>
  <c r="E50" i="87"/>
  <c r="E51" i="87"/>
  <c r="E52" i="87"/>
  <c r="E53" i="87"/>
  <c r="E54" i="87"/>
  <c r="E55" i="87"/>
  <c r="E56" i="87"/>
  <c r="E57" i="87"/>
  <c r="E28" i="87"/>
  <c r="M28" i="87"/>
  <c r="C28" i="87"/>
  <c r="AZ28" i="87" s="1"/>
  <c r="AZ29" i="87" s="1"/>
  <c r="AZ30" i="87" s="1"/>
  <c r="AZ31" i="87" s="1"/>
  <c r="AZ32" i="87" s="1"/>
  <c r="AZ33" i="87" s="1"/>
  <c r="AZ34" i="87" s="1"/>
  <c r="AZ35" i="87" s="1"/>
  <c r="AZ36" i="87" s="1"/>
  <c r="AZ37" i="87" s="1"/>
  <c r="AZ38" i="87" s="1"/>
  <c r="AZ39" i="87" s="1"/>
  <c r="AZ40" i="87" s="1"/>
  <c r="AZ41" i="87" s="1"/>
  <c r="AZ42" i="87" s="1"/>
  <c r="AZ43" i="87" s="1"/>
  <c r="AZ44" i="87" s="1"/>
  <c r="AZ45" i="87" s="1"/>
  <c r="AZ46" i="87" s="1"/>
  <c r="AZ47" i="87" s="1"/>
  <c r="AZ48" i="87" s="1"/>
  <c r="AZ49" i="87" s="1"/>
  <c r="AZ50" i="87" s="1"/>
  <c r="AZ51" i="87" s="1"/>
  <c r="AZ52" i="87" s="1"/>
  <c r="AZ53" i="87" s="1"/>
  <c r="AZ54" i="87" s="1"/>
  <c r="AZ55" i="87" s="1"/>
  <c r="AZ56" i="87" s="1"/>
  <c r="AZ57" i="87" s="1"/>
  <c r="W26" i="87"/>
  <c r="U26" i="87"/>
  <c r="S26" i="87"/>
  <c r="Q26" i="87"/>
  <c r="O26" i="87"/>
  <c r="M26" i="87"/>
  <c r="K26" i="87"/>
  <c r="G19" i="87"/>
  <c r="G18" i="87"/>
  <c r="BB16" i="87"/>
  <c r="AJ16" i="87"/>
  <c r="AF16" i="87"/>
  <c r="BD15" i="87"/>
  <c r="AJ15" i="87"/>
  <c r="AF15" i="87"/>
  <c r="BD14" i="87"/>
  <c r="AF14" i="87"/>
  <c r="AJ13" i="87"/>
  <c r="A3" i="87"/>
  <c r="A2" i="87"/>
  <c r="A1" i="87"/>
  <c r="G16" i="87" l="1"/>
  <c r="Q60" i="87"/>
  <c r="O60" i="87"/>
  <c r="AJ28" i="87"/>
  <c r="BB28" i="87"/>
  <c r="AR28" i="87"/>
  <c r="AR29" i="87" s="1"/>
  <c r="AR30" i="87" s="1"/>
  <c r="AR31" i="87" s="1"/>
  <c r="AR32" i="87" s="1"/>
  <c r="AR33" i="87" s="1"/>
  <c r="AR34" i="87" s="1"/>
  <c r="AR35" i="87" s="1"/>
  <c r="AR36" i="87" s="1"/>
  <c r="AR37" i="87" s="1"/>
  <c r="AR38" i="87" s="1"/>
  <c r="AR39" i="87" s="1"/>
  <c r="AR40" i="87" s="1"/>
  <c r="AR41" i="87" s="1"/>
  <c r="AR42" i="87" s="1"/>
  <c r="AR43" i="87" s="1"/>
  <c r="AR44" i="87" s="1"/>
  <c r="AR45" i="87" s="1"/>
  <c r="AR46" i="87" s="1"/>
  <c r="AR47" i="87" s="1"/>
  <c r="AR48" i="87" s="1"/>
  <c r="AR49" i="87" s="1"/>
  <c r="AR50" i="87" s="1"/>
  <c r="AR51" i="87" s="1"/>
  <c r="AR52" i="87" s="1"/>
  <c r="AR53" i="87" s="1"/>
  <c r="AR54" i="87" s="1"/>
  <c r="AR55" i="87" s="1"/>
  <c r="AR56" i="87" s="1"/>
  <c r="AR57" i="87" s="1"/>
  <c r="BD28" i="87"/>
  <c r="AB28" i="87"/>
  <c r="AB29" i="87" s="1"/>
  <c r="AN29" i="87" s="1"/>
  <c r="AP29" i="87" s="1"/>
  <c r="C29" i="87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AJ29" i="87"/>
  <c r="AJ30" i="87" s="1"/>
  <c r="AJ31" i="87" s="1"/>
  <c r="AJ32" i="87" s="1"/>
  <c r="AJ33" i="87" s="1"/>
  <c r="AJ34" i="87" s="1"/>
  <c r="AJ35" i="87" s="1"/>
  <c r="AJ36" i="87" s="1"/>
  <c r="AJ37" i="87" s="1"/>
  <c r="AJ38" i="87" s="1"/>
  <c r="AJ39" i="87" s="1"/>
  <c r="AJ40" i="87" s="1"/>
  <c r="AJ41" i="87" s="1"/>
  <c r="AJ42" i="87" s="1"/>
  <c r="AJ43" i="87" s="1"/>
  <c r="AJ44" i="87" s="1"/>
  <c r="AJ45" i="87" s="1"/>
  <c r="AJ46" i="87" s="1"/>
  <c r="AJ47" i="87" s="1"/>
  <c r="AJ48" i="87" s="1"/>
  <c r="AJ49" i="87" s="1"/>
  <c r="AJ50" i="87" s="1"/>
  <c r="AJ51" i="87" s="1"/>
  <c r="AJ52" i="87" s="1"/>
  <c r="AJ53" i="87" s="1"/>
  <c r="AJ54" i="87" s="1"/>
  <c r="AJ55" i="87" s="1"/>
  <c r="AJ56" i="87" s="1"/>
  <c r="AJ57" i="87" s="1"/>
  <c r="BB29" i="87"/>
  <c r="BD29" i="87"/>
  <c r="BD30" i="87" s="1"/>
  <c r="BD31" i="87" s="1"/>
  <c r="BD32" i="87" s="1"/>
  <c r="BD33" i="87" s="1"/>
  <c r="BD34" i="87" s="1"/>
  <c r="BD35" i="87" s="1"/>
  <c r="BD36" i="87" s="1"/>
  <c r="BD37" i="87" s="1"/>
  <c r="BD38" i="87" s="1"/>
  <c r="BD39" i="87" s="1"/>
  <c r="BD40" i="87" s="1"/>
  <c r="BD41" i="87" s="1"/>
  <c r="BD42" i="87" s="1"/>
  <c r="BD43" i="87" s="1"/>
  <c r="BD44" i="87" s="1"/>
  <c r="BD45" i="87" s="1"/>
  <c r="BD46" i="87" s="1"/>
  <c r="BD47" i="87" s="1"/>
  <c r="BD48" i="87" s="1"/>
  <c r="BD49" i="87" s="1"/>
  <c r="BD50" i="87" s="1"/>
  <c r="BD51" i="87" s="1"/>
  <c r="BD52" i="87" s="1"/>
  <c r="BD53" i="87" s="1"/>
  <c r="BD54" i="87" s="1"/>
  <c r="BD55" i="87" s="1"/>
  <c r="BD56" i="87" s="1"/>
  <c r="BD57" i="87" s="1"/>
  <c r="M29" i="87"/>
  <c r="M30" i="87" s="1"/>
  <c r="M31" i="87" s="1"/>
  <c r="C60" i="87"/>
  <c r="I60" i="87"/>
  <c r="AR60" i="87"/>
  <c r="K60" i="87"/>
  <c r="AF28" i="87"/>
  <c r="AF11" i="87" l="1"/>
  <c r="BD11" i="87" s="1"/>
  <c r="BF28" i="87" s="1"/>
  <c r="AN28" i="87"/>
  <c r="AP28" i="87" s="1"/>
  <c r="AB30" i="87"/>
  <c r="AB31" i="87" s="1"/>
  <c r="BD60" i="87"/>
  <c r="AJ60" i="87"/>
  <c r="AF29" i="87"/>
  <c r="BB30" i="87"/>
  <c r="M32" i="87"/>
  <c r="BF29" i="87" l="1"/>
  <c r="AD28" i="87"/>
  <c r="S28" i="87"/>
  <c r="AV28" i="87"/>
  <c r="AN30" i="87"/>
  <c r="AP30" i="87" s="1"/>
  <c r="M33" i="87"/>
  <c r="BB31" i="87"/>
  <c r="BF30" i="87"/>
  <c r="AF30" i="87"/>
  <c r="AB32" i="87"/>
  <c r="AN31" i="87"/>
  <c r="AD29" i="87" l="1"/>
  <c r="S29" i="87"/>
  <c r="AB33" i="87"/>
  <c r="AN32" i="87"/>
  <c r="AP32" i="87" s="1"/>
  <c r="AF31" i="87"/>
  <c r="AP31" i="87"/>
  <c r="BF31" i="87"/>
  <c r="BB32" i="87"/>
  <c r="M34" i="87"/>
  <c r="AV29" i="87" l="1"/>
  <c r="AD30" i="87"/>
  <c r="S30" i="87"/>
  <c r="AF32" i="87"/>
  <c r="AN33" i="87"/>
  <c r="AP33" i="87" s="1"/>
  <c r="AB34" i="87"/>
  <c r="M35" i="87"/>
  <c r="BF32" i="87"/>
  <c r="BB33" i="87"/>
  <c r="AV30" i="87" l="1"/>
  <c r="AD31" i="87"/>
  <c r="S31" i="87"/>
  <c r="AF33" i="87"/>
  <c r="BF33" i="87"/>
  <c r="BB34" i="87"/>
  <c r="M36" i="87"/>
  <c r="AB35" i="87"/>
  <c r="AN34" i="87"/>
  <c r="AP34" i="87" s="1"/>
  <c r="AD32" i="87" l="1"/>
  <c r="S32" i="87"/>
  <c r="AV31" i="87"/>
  <c r="BB35" i="87"/>
  <c r="BF34" i="87"/>
  <c r="AB36" i="87"/>
  <c r="AN35" i="87"/>
  <c r="AP35" i="87" s="1"/>
  <c r="M37" i="87"/>
  <c r="AF34" i="87"/>
  <c r="AD33" i="87" l="1"/>
  <c r="S33" i="87"/>
  <c r="AV32" i="87"/>
  <c r="AB37" i="87"/>
  <c r="AN36" i="87"/>
  <c r="AP36" i="87" s="1"/>
  <c r="M38" i="87"/>
  <c r="BF35" i="87"/>
  <c r="BB36" i="87"/>
  <c r="AF35" i="87"/>
  <c r="AV33" i="87" l="1"/>
  <c r="AD34" i="87"/>
  <c r="S34" i="87"/>
  <c r="AF36" i="87"/>
  <c r="BF36" i="87"/>
  <c r="BB37" i="87"/>
  <c r="M39" i="87"/>
  <c r="AN37" i="87"/>
  <c r="AP37" i="87" s="1"/>
  <c r="AB38" i="87"/>
  <c r="AV34" i="87" l="1"/>
  <c r="AD35" i="87"/>
  <c r="S35" i="87"/>
  <c r="AB39" i="87"/>
  <c r="AN38" i="87"/>
  <c r="AP38" i="87" s="1"/>
  <c r="M40" i="87"/>
  <c r="BF37" i="87"/>
  <c r="BB38" i="87"/>
  <c r="AF37" i="87"/>
  <c r="AD36" i="87" l="1"/>
  <c r="S36" i="87"/>
  <c r="AV35" i="87"/>
  <c r="M41" i="87"/>
  <c r="AF38" i="87"/>
  <c r="BB39" i="87"/>
  <c r="BF38" i="87"/>
  <c r="AB40" i="87"/>
  <c r="AN39" i="87"/>
  <c r="AP39" i="87" s="1"/>
  <c r="AV36" i="87" l="1"/>
  <c r="AD37" i="87"/>
  <c r="S37" i="87"/>
  <c r="AB41" i="87"/>
  <c r="AN40" i="87"/>
  <c r="AP40" i="87" s="1"/>
  <c r="BF39" i="87"/>
  <c r="BB40" i="87"/>
  <c r="AF39" i="87"/>
  <c r="M42" i="87"/>
  <c r="AD38" i="87" l="1"/>
  <c r="S38" i="87"/>
  <c r="AV37" i="87"/>
  <c r="M43" i="87"/>
  <c r="AF40" i="87"/>
  <c r="BF40" i="87"/>
  <c r="BB41" i="87"/>
  <c r="AN41" i="87"/>
  <c r="AP41" i="87" s="1"/>
  <c r="AB42" i="87"/>
  <c r="AD39" i="87" l="1"/>
  <c r="S39" i="87"/>
  <c r="AV38" i="87"/>
  <c r="AB43" i="87"/>
  <c r="AN42" i="87"/>
  <c r="AP42" i="87" s="1"/>
  <c r="BF41" i="87"/>
  <c r="BB42" i="87"/>
  <c r="AF41" i="87"/>
  <c r="M44" i="87"/>
  <c r="AV39" i="87" l="1"/>
  <c r="AD40" i="87"/>
  <c r="S40" i="87"/>
  <c r="M45" i="87"/>
  <c r="AF42" i="87"/>
  <c r="BB43" i="87"/>
  <c r="BF42" i="87"/>
  <c r="AB44" i="87"/>
  <c r="AN43" i="87"/>
  <c r="AP43" i="87" s="1"/>
  <c r="AV40" i="87" l="1"/>
  <c r="AD41" i="87"/>
  <c r="S41" i="87"/>
  <c r="AB45" i="87"/>
  <c r="AN44" i="87"/>
  <c r="AP44" i="87" s="1"/>
  <c r="BF43" i="87"/>
  <c r="BB44" i="87"/>
  <c r="AF43" i="87"/>
  <c r="M46" i="87"/>
  <c r="AD42" i="87" l="1"/>
  <c r="S42" i="87"/>
  <c r="AV41" i="87"/>
  <c r="AF44" i="87"/>
  <c r="M47" i="87"/>
  <c r="BF44" i="87"/>
  <c r="BB45" i="87"/>
  <c r="AN45" i="87"/>
  <c r="AP45" i="87" s="1"/>
  <c r="AB46" i="87"/>
  <c r="AD43" i="87" l="1"/>
  <c r="S43" i="87"/>
  <c r="AV42" i="87"/>
  <c r="AB47" i="87"/>
  <c r="AN46" i="87"/>
  <c r="AP46" i="87" s="1"/>
  <c r="BF45" i="87"/>
  <c r="BB46" i="87"/>
  <c r="M48" i="87"/>
  <c r="AF45" i="87"/>
  <c r="AD44" i="87" l="1"/>
  <c r="S44" i="87"/>
  <c r="AV43" i="87"/>
  <c r="AF46" i="87"/>
  <c r="M49" i="87"/>
  <c r="BB47" i="87"/>
  <c r="BF46" i="87"/>
  <c r="AB48" i="87"/>
  <c r="AN47" i="87"/>
  <c r="AP47" i="87" s="1"/>
  <c r="AD45" i="87" l="1"/>
  <c r="S45" i="87"/>
  <c r="AV44" i="87"/>
  <c r="AB49" i="87"/>
  <c r="AN48" i="87"/>
  <c r="AP48" i="87" s="1"/>
  <c r="BF47" i="87"/>
  <c r="BB48" i="87"/>
  <c r="M50" i="87"/>
  <c r="AF47" i="87"/>
  <c r="AD46" i="87" l="1"/>
  <c r="S46" i="87"/>
  <c r="AV45" i="87"/>
  <c r="AF48" i="87"/>
  <c r="M51" i="87"/>
  <c r="BF48" i="87"/>
  <c r="BB49" i="87"/>
  <c r="AN49" i="87"/>
  <c r="AP49" i="87" s="1"/>
  <c r="AB50" i="87"/>
  <c r="AD47" i="87" l="1"/>
  <c r="S47" i="87"/>
  <c r="AV46" i="87"/>
  <c r="AB51" i="87"/>
  <c r="AN50" i="87"/>
  <c r="AP50" i="87" s="1"/>
  <c r="BF49" i="87"/>
  <c r="BB50" i="87"/>
  <c r="M52" i="87"/>
  <c r="AF49" i="87"/>
  <c r="AV47" i="87" l="1"/>
  <c r="AD48" i="87"/>
  <c r="S48" i="87"/>
  <c r="M53" i="87"/>
  <c r="BB51" i="87"/>
  <c r="BF50" i="87"/>
  <c r="AF50" i="87"/>
  <c r="AB52" i="87"/>
  <c r="AN51" i="87"/>
  <c r="AP51" i="87" s="1"/>
  <c r="AV48" i="87" l="1"/>
  <c r="AD49" i="87"/>
  <c r="S49" i="87"/>
  <c r="AB53" i="87"/>
  <c r="AN52" i="87"/>
  <c r="AP52" i="87" s="1"/>
  <c r="AF51" i="87"/>
  <c r="BF51" i="87"/>
  <c r="BB52" i="87"/>
  <c r="M54" i="87"/>
  <c r="AD50" i="87" l="1"/>
  <c r="S50" i="87"/>
  <c r="AV49" i="87"/>
  <c r="M55" i="87"/>
  <c r="BF52" i="87"/>
  <c r="BB53" i="87"/>
  <c r="AF52" i="87"/>
  <c r="AN53" i="87"/>
  <c r="AP53" i="87" s="1"/>
  <c r="AB54" i="87"/>
  <c r="AD51" i="87" l="1"/>
  <c r="S51" i="87"/>
  <c r="AV50" i="87"/>
  <c r="AB55" i="87"/>
  <c r="AN54" i="87"/>
  <c r="AP54" i="87" s="1"/>
  <c r="AF53" i="87"/>
  <c r="BF53" i="87"/>
  <c r="BB54" i="87"/>
  <c r="M56" i="87"/>
  <c r="AD53" i="87" l="1"/>
  <c r="AD52" i="87"/>
  <c r="S52" i="87"/>
  <c r="AV51" i="87"/>
  <c r="BB55" i="87"/>
  <c r="BF54" i="87"/>
  <c r="M57" i="87"/>
  <c r="AF54" i="87"/>
  <c r="AB56" i="87"/>
  <c r="AN55" i="87"/>
  <c r="AP55" i="87" s="1"/>
  <c r="S53" i="87" l="1"/>
  <c r="AV53" i="87"/>
  <c r="AV52" i="87"/>
  <c r="AF55" i="87"/>
  <c r="AB57" i="87"/>
  <c r="AN57" i="87" s="1"/>
  <c r="AN56" i="87"/>
  <c r="AP56" i="87" s="1"/>
  <c r="S57" i="87"/>
  <c r="M60" i="87"/>
  <c r="BF55" i="87"/>
  <c r="BB56" i="87"/>
  <c r="AD54" i="87" l="1"/>
  <c r="S54" i="87"/>
  <c r="BF56" i="87"/>
  <c r="BB57" i="87"/>
  <c r="AP57" i="87"/>
  <c r="AN60" i="87"/>
  <c r="AF56" i="87"/>
  <c r="AD56" i="87" l="1"/>
  <c r="AV56" i="87" s="1"/>
  <c r="S56" i="87"/>
  <c r="AD55" i="87"/>
  <c r="S55" i="87"/>
  <c r="S60" i="87" s="1"/>
  <c r="G60" i="32" s="1"/>
  <c r="G60" i="87"/>
  <c r="AV54" i="87"/>
  <c r="AD60" i="87"/>
  <c r="AF12" i="87" s="1"/>
  <c r="AF57" i="87"/>
  <c r="AV57" i="87"/>
  <c r="AP60" i="87"/>
  <c r="BF57" i="87"/>
  <c r="BF60" i="87" s="1"/>
  <c r="BB60" i="87"/>
  <c r="AV55" i="87" l="1"/>
  <c r="AV60" i="87" s="1"/>
  <c r="AF60" i="87"/>
  <c r="S30" i="86" l="1"/>
  <c r="AD57" i="86"/>
  <c r="O57" i="86"/>
  <c r="E57" i="86"/>
  <c r="O56" i="86"/>
  <c r="AD56" i="86"/>
  <c r="E56" i="86"/>
  <c r="AD55" i="86"/>
  <c r="O55" i="86"/>
  <c r="E55" i="86"/>
  <c r="AD54" i="86"/>
  <c r="O54" i="86"/>
  <c r="E54" i="86"/>
  <c r="AD53" i="86"/>
  <c r="O53" i="86"/>
  <c r="E53" i="86"/>
  <c r="O52" i="86"/>
  <c r="AD52" i="86"/>
  <c r="E52" i="86"/>
  <c r="AD51" i="86"/>
  <c r="O51" i="86"/>
  <c r="E51" i="86"/>
  <c r="AD50" i="86"/>
  <c r="O50" i="86"/>
  <c r="E50" i="86"/>
  <c r="AD49" i="86"/>
  <c r="O49" i="86"/>
  <c r="E49" i="86"/>
  <c r="O48" i="86"/>
  <c r="AD48" i="86"/>
  <c r="E48" i="86"/>
  <c r="AD47" i="86"/>
  <c r="O47" i="86"/>
  <c r="E47" i="86"/>
  <c r="AD46" i="86"/>
  <c r="O46" i="86"/>
  <c r="E46" i="86"/>
  <c r="AD45" i="86"/>
  <c r="O45" i="86"/>
  <c r="E45" i="86"/>
  <c r="O44" i="86"/>
  <c r="S44" i="86"/>
  <c r="AD44" i="86"/>
  <c r="E44" i="86"/>
  <c r="AD43" i="86"/>
  <c r="O43" i="86"/>
  <c r="E43" i="86"/>
  <c r="AD42" i="86"/>
  <c r="S42" i="86"/>
  <c r="O42" i="86"/>
  <c r="E42" i="86"/>
  <c r="AD41" i="86"/>
  <c r="O41" i="86"/>
  <c r="E41" i="86"/>
  <c r="AD40" i="86"/>
  <c r="O40" i="86"/>
  <c r="S40" i="86"/>
  <c r="E40" i="86"/>
  <c r="AD39" i="86"/>
  <c r="O39" i="86"/>
  <c r="E39" i="86"/>
  <c r="AD38" i="86"/>
  <c r="O38" i="86"/>
  <c r="E38" i="86"/>
  <c r="AD37" i="86"/>
  <c r="O37" i="86"/>
  <c r="E37" i="86"/>
  <c r="O36" i="86"/>
  <c r="S36" i="86"/>
  <c r="AD36" i="86"/>
  <c r="E36" i="86"/>
  <c r="AD35" i="86"/>
  <c r="O35" i="86"/>
  <c r="E35" i="86"/>
  <c r="AD34" i="86"/>
  <c r="S34" i="86"/>
  <c r="O34" i="86"/>
  <c r="E34" i="86"/>
  <c r="AD33" i="86"/>
  <c r="O33" i="86"/>
  <c r="E33" i="86"/>
  <c r="AJ32" i="86"/>
  <c r="AJ33" i="86" s="1"/>
  <c r="AJ34" i="86" s="1"/>
  <c r="AJ35" i="86" s="1"/>
  <c r="AJ36" i="86" s="1"/>
  <c r="AJ37" i="86" s="1"/>
  <c r="AJ38" i="86" s="1"/>
  <c r="AJ39" i="86" s="1"/>
  <c r="AJ40" i="86" s="1"/>
  <c r="AJ41" i="86" s="1"/>
  <c r="AJ42" i="86" s="1"/>
  <c r="AJ43" i="86" s="1"/>
  <c r="AJ44" i="86" s="1"/>
  <c r="AJ45" i="86" s="1"/>
  <c r="AJ46" i="86" s="1"/>
  <c r="AJ47" i="86" s="1"/>
  <c r="AJ48" i="86" s="1"/>
  <c r="AJ49" i="86" s="1"/>
  <c r="AJ50" i="86" s="1"/>
  <c r="AJ51" i="86" s="1"/>
  <c r="AJ52" i="86" s="1"/>
  <c r="AJ53" i="86" s="1"/>
  <c r="AJ54" i="86" s="1"/>
  <c r="AJ55" i="86" s="1"/>
  <c r="AJ56" i="86" s="1"/>
  <c r="AJ57" i="86" s="1"/>
  <c r="O32" i="86"/>
  <c r="AD32" i="86"/>
  <c r="E32" i="86"/>
  <c r="AD31" i="86"/>
  <c r="O31" i="86"/>
  <c r="E31" i="86"/>
  <c r="AD30" i="86"/>
  <c r="O30" i="86"/>
  <c r="E30" i="86"/>
  <c r="AD29" i="86"/>
  <c r="O29" i="86"/>
  <c r="M29" i="86"/>
  <c r="M30" i="86" s="1"/>
  <c r="M31" i="86" s="1"/>
  <c r="M32" i="86" s="1"/>
  <c r="M33" i="86" s="1"/>
  <c r="M34" i="86" s="1"/>
  <c r="M35" i="86" s="1"/>
  <c r="M36" i="86" s="1"/>
  <c r="M37" i="86" s="1"/>
  <c r="M38" i="86" s="1"/>
  <c r="M39" i="86" s="1"/>
  <c r="M40" i="86" s="1"/>
  <c r="M41" i="86" s="1"/>
  <c r="M42" i="86" s="1"/>
  <c r="M43" i="86" s="1"/>
  <c r="M44" i="86" s="1"/>
  <c r="M45" i="86" s="1"/>
  <c r="M46" i="86" s="1"/>
  <c r="M47" i="86" s="1"/>
  <c r="M48" i="86" s="1"/>
  <c r="M49" i="86" s="1"/>
  <c r="M50" i="86" s="1"/>
  <c r="M51" i="86" s="1"/>
  <c r="M52" i="86" s="1"/>
  <c r="M53" i="86" s="1"/>
  <c r="M54" i="86" s="1"/>
  <c r="M55" i="86" s="1"/>
  <c r="M56" i="86" s="1"/>
  <c r="M57" i="86" s="1"/>
  <c r="G16" i="86"/>
  <c r="S29" i="86"/>
  <c r="E29" i="86"/>
  <c r="BB28" i="86"/>
  <c r="AJ28" i="86"/>
  <c r="AJ29" i="86" s="1"/>
  <c r="AJ30" i="86" s="1"/>
  <c r="AJ31" i="86" s="1"/>
  <c r="O28" i="86"/>
  <c r="M28" i="86"/>
  <c r="S28" i="86"/>
  <c r="AD28" i="86"/>
  <c r="E28" i="86"/>
  <c r="C28" i="86"/>
  <c r="W26" i="86"/>
  <c r="U26" i="86"/>
  <c r="S26" i="86"/>
  <c r="Q26" i="86"/>
  <c r="O26" i="86"/>
  <c r="M26" i="86"/>
  <c r="K26" i="86"/>
  <c r="G19" i="86"/>
  <c r="G18" i="86"/>
  <c r="BB16" i="86"/>
  <c r="BD28" i="86" s="1"/>
  <c r="BD29" i="86" s="1"/>
  <c r="BD30" i="86" s="1"/>
  <c r="BD31" i="86" s="1"/>
  <c r="BD32" i="86" s="1"/>
  <c r="BD33" i="86" s="1"/>
  <c r="BD34" i="86" s="1"/>
  <c r="BD35" i="86" s="1"/>
  <c r="BD36" i="86" s="1"/>
  <c r="BD37" i="86" s="1"/>
  <c r="BD38" i="86" s="1"/>
  <c r="BD39" i="86" s="1"/>
  <c r="BD40" i="86" s="1"/>
  <c r="BD41" i="86" s="1"/>
  <c r="BD42" i="86" s="1"/>
  <c r="BD43" i="86" s="1"/>
  <c r="BD44" i="86" s="1"/>
  <c r="BD45" i="86" s="1"/>
  <c r="BD46" i="86" s="1"/>
  <c r="BD47" i="86" s="1"/>
  <c r="BD48" i="86" s="1"/>
  <c r="BD49" i="86" s="1"/>
  <c r="BD50" i="86" s="1"/>
  <c r="BD51" i="86" s="1"/>
  <c r="BD52" i="86" s="1"/>
  <c r="BD53" i="86" s="1"/>
  <c r="BD54" i="86" s="1"/>
  <c r="BD55" i="86" s="1"/>
  <c r="BD56" i="86" s="1"/>
  <c r="BD57" i="86" s="1"/>
  <c r="AJ16" i="86"/>
  <c r="AF16" i="86"/>
  <c r="BD15" i="86"/>
  <c r="AJ15" i="86"/>
  <c r="AR28" i="86" s="1"/>
  <c r="AR29" i="86" s="1"/>
  <c r="AR30" i="86" s="1"/>
  <c r="AR31" i="86" s="1"/>
  <c r="AR32" i="86" s="1"/>
  <c r="AR33" i="86" s="1"/>
  <c r="AR34" i="86" s="1"/>
  <c r="AR35" i="86" s="1"/>
  <c r="AR36" i="86" s="1"/>
  <c r="AR37" i="86" s="1"/>
  <c r="AR38" i="86" s="1"/>
  <c r="AR39" i="86" s="1"/>
  <c r="AR40" i="86" s="1"/>
  <c r="AR41" i="86" s="1"/>
  <c r="AR42" i="86" s="1"/>
  <c r="AR43" i="86" s="1"/>
  <c r="AR44" i="86" s="1"/>
  <c r="AR45" i="86" s="1"/>
  <c r="AR46" i="86" s="1"/>
  <c r="AR47" i="86" s="1"/>
  <c r="AR48" i="86" s="1"/>
  <c r="AR49" i="86" s="1"/>
  <c r="AR50" i="86" s="1"/>
  <c r="AR51" i="86" s="1"/>
  <c r="AR52" i="86" s="1"/>
  <c r="AR53" i="86" s="1"/>
  <c r="AR54" i="86" s="1"/>
  <c r="AR55" i="86" s="1"/>
  <c r="AR56" i="86" s="1"/>
  <c r="AR57" i="86" s="1"/>
  <c r="AF15" i="86"/>
  <c r="AF28" i="86" s="1"/>
  <c r="BD14" i="86"/>
  <c r="AF14" i="86"/>
  <c r="AJ13" i="86"/>
  <c r="A3" i="86"/>
  <c r="A2" i="86"/>
  <c r="A1" i="86"/>
  <c r="G16" i="85"/>
  <c r="AD29" i="85"/>
  <c r="AD33" i="85"/>
  <c r="AD38" i="85"/>
  <c r="AD41" i="85"/>
  <c r="AD42" i="85"/>
  <c r="AD43" i="85"/>
  <c r="AD44" i="85"/>
  <c r="AD45" i="85"/>
  <c r="AD46" i="85"/>
  <c r="AD48" i="85"/>
  <c r="AD49" i="85"/>
  <c r="AD52" i="85"/>
  <c r="AD53" i="85"/>
  <c r="AD54" i="85"/>
  <c r="AD55" i="85"/>
  <c r="AD56" i="85"/>
  <c r="AD57" i="85"/>
  <c r="AD28" i="85"/>
  <c r="AD39" i="85"/>
  <c r="AD40" i="85"/>
  <c r="AD47" i="85"/>
  <c r="AD50" i="85"/>
  <c r="AD30" i="85"/>
  <c r="AD31" i="85"/>
  <c r="AD32" i="85"/>
  <c r="AD35" i="85"/>
  <c r="AD51" i="85"/>
  <c r="O57" i="85"/>
  <c r="E57" i="85"/>
  <c r="O56" i="85"/>
  <c r="E56" i="85"/>
  <c r="O55" i="85"/>
  <c r="E55" i="85"/>
  <c r="O54" i="85"/>
  <c r="E54" i="85"/>
  <c r="O53" i="85"/>
  <c r="E53" i="85"/>
  <c r="O52" i="85"/>
  <c r="E52" i="85"/>
  <c r="O51" i="85"/>
  <c r="E51" i="85"/>
  <c r="O50" i="85"/>
  <c r="E50" i="85"/>
  <c r="O49" i="85"/>
  <c r="E49" i="85"/>
  <c r="O48" i="85"/>
  <c r="E48" i="85"/>
  <c r="O47" i="85"/>
  <c r="E47" i="85"/>
  <c r="O46" i="85"/>
  <c r="E46" i="85"/>
  <c r="O45" i="85"/>
  <c r="E45" i="85"/>
  <c r="O44" i="85"/>
  <c r="E44" i="85"/>
  <c r="O43" i="85"/>
  <c r="E43" i="85"/>
  <c r="O42" i="85"/>
  <c r="E42" i="85"/>
  <c r="O41" i="85"/>
  <c r="E41" i="85"/>
  <c r="O40" i="85"/>
  <c r="E40" i="85"/>
  <c r="O39" i="85"/>
  <c r="E39" i="85"/>
  <c r="O38" i="85"/>
  <c r="E38" i="85"/>
  <c r="AD37" i="85"/>
  <c r="O37" i="85"/>
  <c r="E37" i="85"/>
  <c r="O36" i="85"/>
  <c r="AD36" i="85"/>
  <c r="E36" i="85"/>
  <c r="O35" i="85"/>
  <c r="E35" i="85"/>
  <c r="AD34" i="85"/>
  <c r="O34" i="85"/>
  <c r="E34" i="85"/>
  <c r="O33" i="85"/>
  <c r="E33" i="85"/>
  <c r="O32" i="85"/>
  <c r="E32" i="85"/>
  <c r="O31" i="85"/>
  <c r="E31" i="85"/>
  <c r="O30" i="85"/>
  <c r="E30" i="85"/>
  <c r="AB29" i="85"/>
  <c r="O29" i="85"/>
  <c r="E29" i="85"/>
  <c r="C29" i="85"/>
  <c r="C30" i="85" s="1"/>
  <c r="C31" i="85" s="1"/>
  <c r="C32" i="85" s="1"/>
  <c r="C33" i="85" s="1"/>
  <c r="C34" i="85" s="1"/>
  <c r="C35" i="85" s="1"/>
  <c r="C36" i="85" s="1"/>
  <c r="C37" i="85" s="1"/>
  <c r="C38" i="85" s="1"/>
  <c r="C39" i="85" s="1"/>
  <c r="C40" i="85" s="1"/>
  <c r="C41" i="85" s="1"/>
  <c r="C42" i="85" s="1"/>
  <c r="C43" i="85" s="1"/>
  <c r="C44" i="85" s="1"/>
  <c r="C45" i="85" s="1"/>
  <c r="C46" i="85" s="1"/>
  <c r="C47" i="85" s="1"/>
  <c r="C48" i="85" s="1"/>
  <c r="C49" i="85" s="1"/>
  <c r="C50" i="85" s="1"/>
  <c r="C51" i="85" s="1"/>
  <c r="C52" i="85" s="1"/>
  <c r="C53" i="85" s="1"/>
  <c r="C54" i="85" s="1"/>
  <c r="C55" i="85" s="1"/>
  <c r="C56" i="85" s="1"/>
  <c r="C57" i="85" s="1"/>
  <c r="BB28" i="85"/>
  <c r="BB29" i="85" s="1"/>
  <c r="AZ28" i="85"/>
  <c r="AZ29" i="85" s="1"/>
  <c r="AZ30" i="85" s="1"/>
  <c r="AZ31" i="85" s="1"/>
  <c r="AZ32" i="85" s="1"/>
  <c r="AZ33" i="85" s="1"/>
  <c r="AZ34" i="85" s="1"/>
  <c r="AZ35" i="85" s="1"/>
  <c r="AZ36" i="85" s="1"/>
  <c r="AZ37" i="85" s="1"/>
  <c r="AZ38" i="85" s="1"/>
  <c r="AZ39" i="85" s="1"/>
  <c r="AZ40" i="85" s="1"/>
  <c r="AZ41" i="85" s="1"/>
  <c r="AZ42" i="85" s="1"/>
  <c r="AZ43" i="85" s="1"/>
  <c r="AZ44" i="85" s="1"/>
  <c r="AZ45" i="85" s="1"/>
  <c r="AZ46" i="85" s="1"/>
  <c r="AZ47" i="85" s="1"/>
  <c r="AZ48" i="85" s="1"/>
  <c r="AZ49" i="85" s="1"/>
  <c r="AZ50" i="85" s="1"/>
  <c r="AZ51" i="85" s="1"/>
  <c r="AZ52" i="85" s="1"/>
  <c r="AZ53" i="85" s="1"/>
  <c r="AZ54" i="85" s="1"/>
  <c r="AZ55" i="85" s="1"/>
  <c r="AZ56" i="85" s="1"/>
  <c r="AZ57" i="85" s="1"/>
  <c r="AB28" i="85"/>
  <c r="AN28" i="85" s="1"/>
  <c r="AP28" i="85" s="1"/>
  <c r="O28" i="85"/>
  <c r="M28" i="85"/>
  <c r="M29" i="85" s="1"/>
  <c r="M30" i="85" s="1"/>
  <c r="M31" i="85" s="1"/>
  <c r="M32" i="85" s="1"/>
  <c r="M33" i="85" s="1"/>
  <c r="M34" i="85" s="1"/>
  <c r="M35" i="85" s="1"/>
  <c r="M36" i="85" s="1"/>
  <c r="M37" i="85" s="1"/>
  <c r="M38" i="85" s="1"/>
  <c r="M39" i="85" s="1"/>
  <c r="M40" i="85" s="1"/>
  <c r="M41" i="85" s="1"/>
  <c r="M42" i="85" s="1"/>
  <c r="M43" i="85" s="1"/>
  <c r="M44" i="85" s="1"/>
  <c r="E28" i="85"/>
  <c r="C28" i="85"/>
  <c r="W26" i="85"/>
  <c r="U26" i="85"/>
  <c r="S26" i="85"/>
  <c r="Q26" i="85"/>
  <c r="O26" i="85"/>
  <c r="M26" i="85"/>
  <c r="K26" i="85"/>
  <c r="G19" i="85"/>
  <c r="G18" i="85"/>
  <c r="BB16" i="85"/>
  <c r="BD28" i="85" s="1"/>
  <c r="BD29" i="85" s="1"/>
  <c r="BD30" i="85" s="1"/>
  <c r="BD31" i="85" s="1"/>
  <c r="BD32" i="85" s="1"/>
  <c r="BD33" i="85" s="1"/>
  <c r="BD34" i="85" s="1"/>
  <c r="BD35" i="85" s="1"/>
  <c r="BD36" i="85" s="1"/>
  <c r="BD37" i="85" s="1"/>
  <c r="BD38" i="85" s="1"/>
  <c r="BD39" i="85" s="1"/>
  <c r="BD40" i="85" s="1"/>
  <c r="BD41" i="85" s="1"/>
  <c r="BD42" i="85" s="1"/>
  <c r="BD43" i="85" s="1"/>
  <c r="BD44" i="85" s="1"/>
  <c r="BD45" i="85" s="1"/>
  <c r="BD46" i="85" s="1"/>
  <c r="BD47" i="85" s="1"/>
  <c r="BD48" i="85" s="1"/>
  <c r="BD49" i="85" s="1"/>
  <c r="BD50" i="85" s="1"/>
  <c r="BD51" i="85" s="1"/>
  <c r="BD52" i="85" s="1"/>
  <c r="BD53" i="85" s="1"/>
  <c r="BD54" i="85" s="1"/>
  <c r="BD55" i="85" s="1"/>
  <c r="BD56" i="85" s="1"/>
  <c r="BD57" i="85" s="1"/>
  <c r="AJ16" i="85"/>
  <c r="AF16" i="85"/>
  <c r="BD15" i="85"/>
  <c r="AJ15" i="85"/>
  <c r="AR28" i="85" s="1"/>
  <c r="AR29" i="85" s="1"/>
  <c r="AR30" i="85" s="1"/>
  <c r="AR31" i="85" s="1"/>
  <c r="AR32" i="85" s="1"/>
  <c r="AR33" i="85" s="1"/>
  <c r="AR34" i="85" s="1"/>
  <c r="AR35" i="85" s="1"/>
  <c r="AR36" i="85" s="1"/>
  <c r="AR37" i="85" s="1"/>
  <c r="AR38" i="85" s="1"/>
  <c r="AR39" i="85" s="1"/>
  <c r="AR40" i="85" s="1"/>
  <c r="AR41" i="85" s="1"/>
  <c r="AR42" i="85" s="1"/>
  <c r="AR43" i="85" s="1"/>
  <c r="AR44" i="85" s="1"/>
  <c r="AR45" i="85" s="1"/>
  <c r="AR46" i="85" s="1"/>
  <c r="AR47" i="85" s="1"/>
  <c r="AR48" i="85" s="1"/>
  <c r="AR49" i="85" s="1"/>
  <c r="AR50" i="85" s="1"/>
  <c r="AR51" i="85" s="1"/>
  <c r="AR52" i="85" s="1"/>
  <c r="AR53" i="85" s="1"/>
  <c r="AR54" i="85" s="1"/>
  <c r="AR55" i="85" s="1"/>
  <c r="AR56" i="85" s="1"/>
  <c r="AR57" i="85" s="1"/>
  <c r="AF15" i="85"/>
  <c r="BD14" i="85"/>
  <c r="AF14" i="85"/>
  <c r="AJ13" i="85"/>
  <c r="AJ28" i="85" s="1"/>
  <c r="AJ29" i="85" s="1"/>
  <c r="AJ30" i="85" s="1"/>
  <c r="AJ31" i="85" s="1"/>
  <c r="AJ32" i="85" s="1"/>
  <c r="AJ33" i="85" s="1"/>
  <c r="AJ34" i="85" s="1"/>
  <c r="AJ35" i="85" s="1"/>
  <c r="AJ36" i="85" s="1"/>
  <c r="AJ37" i="85" s="1"/>
  <c r="AJ38" i="85" s="1"/>
  <c r="AJ39" i="85" s="1"/>
  <c r="AJ40" i="85" s="1"/>
  <c r="AJ41" i="85" s="1"/>
  <c r="AJ42" i="85" s="1"/>
  <c r="AJ43" i="85" s="1"/>
  <c r="AJ44" i="85" s="1"/>
  <c r="AJ45" i="85" s="1"/>
  <c r="AJ46" i="85" s="1"/>
  <c r="AJ47" i="85" s="1"/>
  <c r="AJ48" i="85" s="1"/>
  <c r="AJ49" i="85" s="1"/>
  <c r="AJ50" i="85" s="1"/>
  <c r="AJ51" i="85" s="1"/>
  <c r="AJ52" i="85" s="1"/>
  <c r="AJ53" i="85" s="1"/>
  <c r="AJ54" i="85" s="1"/>
  <c r="AJ55" i="85" s="1"/>
  <c r="AJ56" i="85" s="1"/>
  <c r="AJ57" i="85" s="1"/>
  <c r="A3" i="85"/>
  <c r="A2" i="85"/>
  <c r="A1" i="85"/>
  <c r="AF11" i="86" l="1"/>
  <c r="BD11" i="86" s="1"/>
  <c r="S38" i="86"/>
  <c r="S48" i="86"/>
  <c r="BF28" i="86"/>
  <c r="BB29" i="86"/>
  <c r="S52" i="86"/>
  <c r="AB28" i="86"/>
  <c r="C29" i="86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C46" i="86" s="1"/>
  <c r="C47" i="86" s="1"/>
  <c r="C48" i="86" s="1"/>
  <c r="C49" i="86" s="1"/>
  <c r="C50" i="86" s="1"/>
  <c r="C51" i="86" s="1"/>
  <c r="C52" i="86" s="1"/>
  <c r="C53" i="86" s="1"/>
  <c r="C54" i="86" s="1"/>
  <c r="C55" i="86" s="1"/>
  <c r="C56" i="86" s="1"/>
  <c r="C57" i="86" s="1"/>
  <c r="AZ28" i="86"/>
  <c r="AZ29" i="86" s="1"/>
  <c r="AZ30" i="86" s="1"/>
  <c r="AZ31" i="86" s="1"/>
  <c r="AZ32" i="86" s="1"/>
  <c r="AZ33" i="86" s="1"/>
  <c r="AZ34" i="86" s="1"/>
  <c r="AZ35" i="86" s="1"/>
  <c r="AZ36" i="86" s="1"/>
  <c r="AZ37" i="86" s="1"/>
  <c r="AZ38" i="86" s="1"/>
  <c r="AZ39" i="86" s="1"/>
  <c r="AZ40" i="86" s="1"/>
  <c r="AZ41" i="86" s="1"/>
  <c r="AZ42" i="86" s="1"/>
  <c r="AZ43" i="86" s="1"/>
  <c r="AZ44" i="86" s="1"/>
  <c r="AZ45" i="86" s="1"/>
  <c r="AZ46" i="86" s="1"/>
  <c r="AZ47" i="86" s="1"/>
  <c r="AZ48" i="86" s="1"/>
  <c r="AZ49" i="86" s="1"/>
  <c r="AZ50" i="86" s="1"/>
  <c r="AZ51" i="86" s="1"/>
  <c r="AZ52" i="86" s="1"/>
  <c r="AZ53" i="86" s="1"/>
  <c r="AZ54" i="86" s="1"/>
  <c r="AZ55" i="86" s="1"/>
  <c r="AZ56" i="86" s="1"/>
  <c r="AZ57" i="86" s="1"/>
  <c r="S31" i="86"/>
  <c r="S33" i="86"/>
  <c r="S46" i="86"/>
  <c r="S56" i="86"/>
  <c r="S50" i="86"/>
  <c r="S43" i="86"/>
  <c r="S45" i="86"/>
  <c r="AF29" i="86"/>
  <c r="S37" i="86"/>
  <c r="S39" i="86"/>
  <c r="S54" i="86"/>
  <c r="S51" i="86"/>
  <c r="S53" i="86"/>
  <c r="S41" i="86"/>
  <c r="S47" i="86"/>
  <c r="S55" i="86"/>
  <c r="S57" i="86"/>
  <c r="S35" i="86"/>
  <c r="S49" i="86"/>
  <c r="BD60" i="86"/>
  <c r="Q60" i="86"/>
  <c r="O60" i="86"/>
  <c r="M60" i="86"/>
  <c r="K60" i="86"/>
  <c r="AR60" i="86"/>
  <c r="I60" i="86"/>
  <c r="G60" i="86"/>
  <c r="C60" i="86"/>
  <c r="AJ60" i="86"/>
  <c r="AD60" i="86"/>
  <c r="AF12" i="86" s="1"/>
  <c r="S32" i="86"/>
  <c r="S29" i="85"/>
  <c r="S36" i="85"/>
  <c r="S30" i="85"/>
  <c r="S31" i="85"/>
  <c r="AV28" i="85"/>
  <c r="BB30" i="85"/>
  <c r="AN29" i="85"/>
  <c r="AP29" i="85" s="1"/>
  <c r="AV29" i="85" s="1"/>
  <c r="AB30" i="85"/>
  <c r="S42" i="85"/>
  <c r="M45" i="85"/>
  <c r="M46" i="85" s="1"/>
  <c r="M47" i="85" s="1"/>
  <c r="M48" i="85" s="1"/>
  <c r="M49" i="85" s="1"/>
  <c r="M50" i="85" s="1"/>
  <c r="M51" i="85" s="1"/>
  <c r="M52" i="85" s="1"/>
  <c r="M53" i="85" s="1"/>
  <c r="M54" i="85" s="1"/>
  <c r="M55" i="85" s="1"/>
  <c r="M56" i="85" s="1"/>
  <c r="M57" i="85" s="1"/>
  <c r="S44" i="85"/>
  <c r="S40" i="85"/>
  <c r="S57" i="85"/>
  <c r="S28" i="85"/>
  <c r="S37" i="85"/>
  <c r="BD60" i="85"/>
  <c r="Q60" i="85"/>
  <c r="O60" i="85"/>
  <c r="AD60" i="85"/>
  <c r="S34" i="85"/>
  <c r="C60" i="85"/>
  <c r="G60" i="85"/>
  <c r="I60" i="85"/>
  <c r="S35" i="85"/>
  <c r="S32" i="85"/>
  <c r="S38" i="85"/>
  <c r="K60" i="85"/>
  <c r="AF11" i="85"/>
  <c r="BD11" i="85" s="1"/>
  <c r="BF28" i="85" s="1"/>
  <c r="S51" i="85"/>
  <c r="AJ60" i="85"/>
  <c r="S39" i="85"/>
  <c r="AF28" i="85"/>
  <c r="AR60" i="85"/>
  <c r="S41" i="85"/>
  <c r="S33" i="85"/>
  <c r="S43" i="85"/>
  <c r="AN28" i="76"/>
  <c r="AN28" i="84"/>
  <c r="S60" i="86" l="1"/>
  <c r="AB29" i="86"/>
  <c r="AN28" i="86"/>
  <c r="AF30" i="86"/>
  <c r="BF29" i="86"/>
  <c r="BB30" i="86"/>
  <c r="S52" i="85"/>
  <c r="S54" i="85"/>
  <c r="M60" i="85"/>
  <c r="AN30" i="85"/>
  <c r="AP30" i="85" s="1"/>
  <c r="AV30" i="85" s="1"/>
  <c r="AB31" i="85"/>
  <c r="S56" i="85"/>
  <c r="S46" i="85"/>
  <c r="AF29" i="85"/>
  <c r="S49" i="85"/>
  <c r="S53" i="85"/>
  <c r="BF29" i="85"/>
  <c r="BB31" i="85"/>
  <c r="BF30" i="85"/>
  <c r="S47" i="85"/>
  <c r="S55" i="85"/>
  <c r="S50" i="85"/>
  <c r="S45" i="85"/>
  <c r="S48" i="85"/>
  <c r="AF12" i="85"/>
  <c r="O29" i="84"/>
  <c r="O30" i="84"/>
  <c r="O31" i="84"/>
  <c r="O32" i="84"/>
  <c r="O33" i="84"/>
  <c r="O34" i="84"/>
  <c r="O35" i="84"/>
  <c r="O36" i="84"/>
  <c r="O37" i="84"/>
  <c r="O38" i="84"/>
  <c r="O39" i="84"/>
  <c r="O40" i="84"/>
  <c r="O41" i="84"/>
  <c r="O42" i="84"/>
  <c r="O43" i="84"/>
  <c r="O44" i="84"/>
  <c r="O45" i="84"/>
  <c r="O46" i="84"/>
  <c r="O47" i="84"/>
  <c r="O48" i="84"/>
  <c r="O49" i="84"/>
  <c r="O50" i="84"/>
  <c r="O51" i="84"/>
  <c r="O52" i="84"/>
  <c r="O53" i="84"/>
  <c r="O54" i="84"/>
  <c r="O55" i="84"/>
  <c r="O56" i="84"/>
  <c r="O57" i="84"/>
  <c r="O28" i="84"/>
  <c r="BB31" i="86" l="1"/>
  <c r="BF30" i="86"/>
  <c r="AF31" i="86"/>
  <c r="AP28" i="86"/>
  <c r="AN29" i="86"/>
  <c r="AP29" i="86" s="1"/>
  <c r="AV29" i="86" s="1"/>
  <c r="AB30" i="86"/>
  <c r="BF31" i="85"/>
  <c r="BB32" i="85"/>
  <c r="AB32" i="85"/>
  <c r="AN31" i="85"/>
  <c r="AP31" i="85" s="1"/>
  <c r="AV31" i="85" s="1"/>
  <c r="AF30" i="85"/>
  <c r="S60" i="85"/>
  <c r="G16" i="76"/>
  <c r="G59" i="32" l="1"/>
  <c r="G58" i="32"/>
  <c r="BF31" i="86"/>
  <c r="BB32" i="86"/>
  <c r="AF32" i="86"/>
  <c r="AN30" i="86"/>
  <c r="AP30" i="86" s="1"/>
  <c r="AV30" i="86" s="1"/>
  <c r="AB31" i="86"/>
  <c r="AV28" i="86"/>
  <c r="AF31" i="85"/>
  <c r="BF32" i="85"/>
  <c r="BB33" i="85"/>
  <c r="AB33" i="85"/>
  <c r="AN32" i="85"/>
  <c r="AP32" i="85" s="1"/>
  <c r="AV32" i="85" s="1"/>
  <c r="G18" i="84"/>
  <c r="AB32" i="86" l="1"/>
  <c r="AN31" i="86"/>
  <c r="AP31" i="86" s="1"/>
  <c r="AV31" i="86" s="1"/>
  <c r="AF33" i="86"/>
  <c r="BF32" i="86"/>
  <c r="BB33" i="86"/>
  <c r="AN33" i="85"/>
  <c r="AP33" i="85" s="1"/>
  <c r="AV33" i="85" s="1"/>
  <c r="AB34" i="85"/>
  <c r="BB34" i="85"/>
  <c r="BF33" i="85"/>
  <c r="AF32" i="85"/>
  <c r="N72" i="5"/>
  <c r="M72" i="5"/>
  <c r="C86" i="5"/>
  <c r="C87" i="5" s="1"/>
  <c r="C88" i="5" s="1"/>
  <c r="C72" i="5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E29" i="84"/>
  <c r="E30" i="84"/>
  <c r="E31" i="84"/>
  <c r="E32" i="84"/>
  <c r="E33" i="84"/>
  <c r="E34" i="84"/>
  <c r="E35" i="84"/>
  <c r="E36" i="84"/>
  <c r="E37" i="84"/>
  <c r="E38" i="84"/>
  <c r="E39" i="84"/>
  <c r="E40" i="84"/>
  <c r="E41" i="84"/>
  <c r="E42" i="84"/>
  <c r="E43" i="84"/>
  <c r="E44" i="84"/>
  <c r="E45" i="84"/>
  <c r="E46" i="84"/>
  <c r="E47" i="84"/>
  <c r="E48" i="84"/>
  <c r="E49" i="84"/>
  <c r="E50" i="84"/>
  <c r="E51" i="84"/>
  <c r="E52" i="84"/>
  <c r="E53" i="84"/>
  <c r="E54" i="84"/>
  <c r="E55" i="84"/>
  <c r="E56" i="84"/>
  <c r="E57" i="84"/>
  <c r="E28" i="84"/>
  <c r="AF34" i="86" l="1"/>
  <c r="BF33" i="86"/>
  <c r="BB34" i="86"/>
  <c r="AB33" i="86"/>
  <c r="AN32" i="86"/>
  <c r="AF33" i="85"/>
  <c r="BB35" i="85"/>
  <c r="BF34" i="85"/>
  <c r="AN34" i="85"/>
  <c r="AP34" i="85" s="1"/>
  <c r="AV34" i="85" s="1"/>
  <c r="AB35" i="85"/>
  <c r="AN33" i="86" l="1"/>
  <c r="AP33" i="86" s="1"/>
  <c r="AV33" i="86" s="1"/>
  <c r="AB34" i="86"/>
  <c r="AF35" i="86"/>
  <c r="AP32" i="86"/>
  <c r="BB35" i="86"/>
  <c r="BF34" i="86"/>
  <c r="BF35" i="85"/>
  <c r="BB36" i="85"/>
  <c r="AF34" i="85"/>
  <c r="AB36" i="85"/>
  <c r="AN35" i="85"/>
  <c r="AP35" i="85" s="1"/>
  <c r="AV35" i="85" s="1"/>
  <c r="AF36" i="86" l="1"/>
  <c r="BF35" i="86"/>
  <c r="BB36" i="86"/>
  <c r="AN34" i="86"/>
  <c r="AP34" i="86" s="1"/>
  <c r="AV34" i="86" s="1"/>
  <c r="AB35" i="86"/>
  <c r="AV32" i="86"/>
  <c r="AB37" i="85"/>
  <c r="AN36" i="85"/>
  <c r="AP36" i="85" s="1"/>
  <c r="AV36" i="85" s="1"/>
  <c r="AF35" i="85"/>
  <c r="BB37" i="85"/>
  <c r="BF36" i="85"/>
  <c r="BF36" i="86" l="1"/>
  <c r="BB37" i="86"/>
  <c r="AB36" i="86"/>
  <c r="AN35" i="86"/>
  <c r="AP35" i="86" s="1"/>
  <c r="AV35" i="86" s="1"/>
  <c r="AF37" i="86"/>
  <c r="AN37" i="85"/>
  <c r="AP37" i="85" s="1"/>
  <c r="AV37" i="85" s="1"/>
  <c r="AB38" i="85"/>
  <c r="BB38" i="85"/>
  <c r="BF37" i="85"/>
  <c r="AF36" i="85"/>
  <c r="G16" i="84"/>
  <c r="AF38" i="86" l="1"/>
  <c r="AB37" i="86"/>
  <c r="AN36" i="86"/>
  <c r="AP36" i="86" s="1"/>
  <c r="AV36" i="86" s="1"/>
  <c r="BF37" i="86"/>
  <c r="BB38" i="86"/>
  <c r="AF37" i="85"/>
  <c r="BB39" i="85"/>
  <c r="BF38" i="85"/>
  <c r="AN38" i="85"/>
  <c r="AP38" i="85" s="1"/>
  <c r="AV38" i="85" s="1"/>
  <c r="AB39" i="85"/>
  <c r="BB39" i="86" l="1"/>
  <c r="BF38" i="86"/>
  <c r="AF39" i="86"/>
  <c r="AN37" i="86"/>
  <c r="AP37" i="86" s="1"/>
  <c r="AV37" i="86" s="1"/>
  <c r="AB38" i="86"/>
  <c r="AB40" i="85"/>
  <c r="AN39" i="85"/>
  <c r="AP39" i="85" s="1"/>
  <c r="AV39" i="85" s="1"/>
  <c r="BF39" i="85"/>
  <c r="BB40" i="85"/>
  <c r="AF38" i="85"/>
  <c r="BF39" i="86" l="1"/>
  <c r="BB40" i="86"/>
  <c r="AN38" i="86"/>
  <c r="AP38" i="86" s="1"/>
  <c r="AV38" i="86" s="1"/>
  <c r="AB39" i="86"/>
  <c r="AF40" i="86"/>
  <c r="AF39" i="85"/>
  <c r="BF40" i="85"/>
  <c r="BB41" i="85"/>
  <c r="AB41" i="85"/>
  <c r="AN40" i="85"/>
  <c r="AP40" i="85" s="1"/>
  <c r="AV40" i="85" s="1"/>
  <c r="AF41" i="86" l="1"/>
  <c r="BF40" i="86"/>
  <c r="BB41" i="86"/>
  <c r="AB40" i="86"/>
  <c r="AN39" i="86"/>
  <c r="AP39" i="86" s="1"/>
  <c r="AV39" i="86" s="1"/>
  <c r="BB42" i="85"/>
  <c r="BF41" i="85"/>
  <c r="AF40" i="85"/>
  <c r="AN41" i="85"/>
  <c r="AP41" i="85" s="1"/>
  <c r="AV41" i="85" s="1"/>
  <c r="AB42" i="85"/>
  <c r="BF41" i="86" l="1"/>
  <c r="BB42" i="86"/>
  <c r="AB41" i="86"/>
  <c r="AN40" i="86"/>
  <c r="AP40" i="86" s="1"/>
  <c r="AV40" i="86" s="1"/>
  <c r="AF42" i="86"/>
  <c r="AN42" i="85"/>
  <c r="AP42" i="85" s="1"/>
  <c r="AV42" i="85" s="1"/>
  <c r="AB43" i="85"/>
  <c r="AF41" i="85"/>
  <c r="BB43" i="85"/>
  <c r="BF42" i="85"/>
  <c r="AN41" i="86" l="1"/>
  <c r="AP41" i="86" s="1"/>
  <c r="AV41" i="86" s="1"/>
  <c r="AB42" i="86"/>
  <c r="BB43" i="86"/>
  <c r="BF42" i="86"/>
  <c r="AF43" i="86"/>
  <c r="BF43" i="85"/>
  <c r="BB44" i="85"/>
  <c r="AF42" i="85"/>
  <c r="AB44" i="85"/>
  <c r="AN43" i="85"/>
  <c r="AP43" i="85" s="1"/>
  <c r="AV43" i="85" s="1"/>
  <c r="AN42" i="86" l="1"/>
  <c r="AP42" i="86" s="1"/>
  <c r="AV42" i="86" s="1"/>
  <c r="AB43" i="86"/>
  <c r="BF43" i="86"/>
  <c r="BB44" i="86"/>
  <c r="AF44" i="86"/>
  <c r="AF43" i="85"/>
  <c r="AB45" i="85"/>
  <c r="AN44" i="85"/>
  <c r="AP44" i="85" s="1"/>
  <c r="AV44" i="85" s="1"/>
  <c r="BB45" i="85"/>
  <c r="BF44" i="85"/>
  <c r="AB44" i="86" l="1"/>
  <c r="AN43" i="86"/>
  <c r="AP43" i="86" s="1"/>
  <c r="AV43" i="86" s="1"/>
  <c r="AF45" i="86"/>
  <c r="BF44" i="86"/>
  <c r="BB45" i="86"/>
  <c r="AF44" i="85"/>
  <c r="BB46" i="85"/>
  <c r="BF45" i="85"/>
  <c r="AN45" i="85"/>
  <c r="AP45" i="85" s="1"/>
  <c r="AV45" i="85" s="1"/>
  <c r="AB46" i="85"/>
  <c r="AF46" i="86" l="1"/>
  <c r="BF45" i="86"/>
  <c r="BB46" i="86"/>
  <c r="AB45" i="86"/>
  <c r="AN44" i="86"/>
  <c r="AP44" i="86" s="1"/>
  <c r="AV44" i="86" s="1"/>
  <c r="AB47" i="85"/>
  <c r="AN46" i="85"/>
  <c r="AP46" i="85" s="1"/>
  <c r="AV46" i="85" s="1"/>
  <c r="BB47" i="85"/>
  <c r="BF46" i="85"/>
  <c r="AF45" i="85"/>
  <c r="AN45" i="86" l="1"/>
  <c r="AP45" i="86" s="1"/>
  <c r="AV45" i="86" s="1"/>
  <c r="AB46" i="86"/>
  <c r="AF47" i="86"/>
  <c r="BB47" i="86"/>
  <c r="BF46" i="86"/>
  <c r="AF46" i="85"/>
  <c r="BF47" i="85"/>
  <c r="BB48" i="85"/>
  <c r="AB48" i="85"/>
  <c r="AN47" i="85"/>
  <c r="AP47" i="85" s="1"/>
  <c r="AV47" i="85" s="1"/>
  <c r="AF48" i="86" l="1"/>
  <c r="BF47" i="86"/>
  <c r="BB48" i="86"/>
  <c r="AN46" i="86"/>
  <c r="AP46" i="86" s="1"/>
  <c r="AV46" i="86" s="1"/>
  <c r="AB47" i="86"/>
  <c r="AN48" i="85"/>
  <c r="AP48" i="85" s="1"/>
  <c r="AV48" i="85" s="1"/>
  <c r="AB49" i="85"/>
  <c r="AF47" i="85"/>
  <c r="BB49" i="85"/>
  <c r="BF48" i="85"/>
  <c r="AB48" i="86" l="1"/>
  <c r="AN47" i="86"/>
  <c r="AP47" i="86" s="1"/>
  <c r="AV47" i="86" s="1"/>
  <c r="BF48" i="86"/>
  <c r="BB49" i="86"/>
  <c r="AF49" i="86"/>
  <c r="AF48" i="85"/>
  <c r="AN49" i="85"/>
  <c r="AP49" i="85" s="1"/>
  <c r="AV49" i="85" s="1"/>
  <c r="AB50" i="85"/>
  <c r="BB50" i="85"/>
  <c r="BF49" i="85"/>
  <c r="AF50" i="86" l="1"/>
  <c r="BF49" i="86"/>
  <c r="BB50" i="86"/>
  <c r="AB49" i="86"/>
  <c r="AN48" i="86"/>
  <c r="AP48" i="86" s="1"/>
  <c r="AV48" i="86" s="1"/>
  <c r="BB51" i="85"/>
  <c r="BF50" i="85"/>
  <c r="AN50" i="85"/>
  <c r="AP50" i="85" s="1"/>
  <c r="AV50" i="85" s="1"/>
  <c r="AB51" i="85"/>
  <c r="AF49" i="85"/>
  <c r="AN49" i="86" l="1"/>
  <c r="AP49" i="86" s="1"/>
  <c r="AV49" i="86" s="1"/>
  <c r="AB50" i="86"/>
  <c r="BB51" i="86"/>
  <c r="BF50" i="86"/>
  <c r="AF51" i="86"/>
  <c r="AF50" i="85"/>
  <c r="AB52" i="85"/>
  <c r="AN51" i="85"/>
  <c r="AP51" i="85" s="1"/>
  <c r="AV51" i="85" s="1"/>
  <c r="BF51" i="85"/>
  <c r="BB52" i="85"/>
  <c r="AN50" i="86" l="1"/>
  <c r="AP50" i="86" s="1"/>
  <c r="AV50" i="86" s="1"/>
  <c r="AB51" i="86"/>
  <c r="AF52" i="86"/>
  <c r="BF51" i="86"/>
  <c r="BB52" i="86"/>
  <c r="AF51" i="85"/>
  <c r="BF52" i="85"/>
  <c r="BB53" i="85"/>
  <c r="AB53" i="85"/>
  <c r="AN52" i="85"/>
  <c r="AP52" i="85" s="1"/>
  <c r="AV52" i="85" s="1"/>
  <c r="BF52" i="86" l="1"/>
  <c r="BB53" i="86"/>
  <c r="AF53" i="86"/>
  <c r="AB52" i="86"/>
  <c r="AN51" i="86"/>
  <c r="AP51" i="86" s="1"/>
  <c r="AV51" i="86" s="1"/>
  <c r="AN53" i="85"/>
  <c r="AP53" i="85" s="1"/>
  <c r="AV53" i="85" s="1"/>
  <c r="AB54" i="85"/>
  <c r="AF52" i="85"/>
  <c r="BB54" i="85"/>
  <c r="BF53" i="85"/>
  <c r="AB53" i="86" l="1"/>
  <c r="AN52" i="86"/>
  <c r="AP52" i="86" s="1"/>
  <c r="AV52" i="86" s="1"/>
  <c r="AF54" i="86"/>
  <c r="BF53" i="86"/>
  <c r="BB54" i="86"/>
  <c r="BB55" i="85"/>
  <c r="BF54" i="85"/>
  <c r="AF53" i="85"/>
  <c r="AN54" i="85"/>
  <c r="AP54" i="85" s="1"/>
  <c r="AV54" i="85" s="1"/>
  <c r="AB55" i="85"/>
  <c r="AF55" i="86" l="1"/>
  <c r="BB55" i="86"/>
  <c r="BF54" i="86"/>
  <c r="AN53" i="86"/>
  <c r="AP53" i="86" s="1"/>
  <c r="AV53" i="86" s="1"/>
  <c r="AB54" i="86"/>
  <c r="AB56" i="85"/>
  <c r="AN55" i="85"/>
  <c r="AP55" i="85" s="1"/>
  <c r="AV55" i="85" s="1"/>
  <c r="AF54" i="85"/>
  <c r="BF55" i="85"/>
  <c r="BB56" i="85"/>
  <c r="AN54" i="86" l="1"/>
  <c r="AP54" i="86" s="1"/>
  <c r="AV54" i="86" s="1"/>
  <c r="AB55" i="86"/>
  <c r="BF55" i="86"/>
  <c r="BB56" i="86"/>
  <c r="AF56" i="86"/>
  <c r="BF56" i="85"/>
  <c r="BB57" i="85"/>
  <c r="AF55" i="85"/>
  <c r="AB57" i="85"/>
  <c r="AN57" i="85" s="1"/>
  <c r="AN56" i="85"/>
  <c r="AP56" i="85" s="1"/>
  <c r="AV56" i="85" s="1"/>
  <c r="AF57" i="86" l="1"/>
  <c r="BF56" i="86"/>
  <c r="BB57" i="86"/>
  <c r="AB56" i="86"/>
  <c r="AN55" i="86"/>
  <c r="AP55" i="86" s="1"/>
  <c r="AV55" i="86" s="1"/>
  <c r="AF56" i="85"/>
  <c r="AP57" i="85"/>
  <c r="AN60" i="85"/>
  <c r="BF57" i="85"/>
  <c r="BF60" i="85" s="1"/>
  <c r="BB60" i="85"/>
  <c r="AF60" i="86" l="1"/>
  <c r="AB57" i="86"/>
  <c r="AN57" i="86" s="1"/>
  <c r="AN56" i="86"/>
  <c r="AP56" i="86" s="1"/>
  <c r="AV56" i="86" s="1"/>
  <c r="BF57" i="86"/>
  <c r="BF60" i="86" s="1"/>
  <c r="BB60" i="86"/>
  <c r="AV57" i="85"/>
  <c r="AV60" i="85" s="1"/>
  <c r="AP60" i="85"/>
  <c r="AF57" i="85"/>
  <c r="AP57" i="86" l="1"/>
  <c r="AN60" i="86"/>
  <c r="AF60" i="85"/>
  <c r="AV57" i="86" l="1"/>
  <c r="AV60" i="86" s="1"/>
  <c r="AP60" i="86"/>
  <c r="BD15" i="84" l="1"/>
  <c r="BD14" i="84"/>
  <c r="BB16" i="84" l="1"/>
  <c r="AJ16" i="84"/>
  <c r="AJ15" i="84"/>
  <c r="AR28" i="84" s="1"/>
  <c r="AJ13" i="84"/>
  <c r="AJ28" i="84" s="1"/>
  <c r="AJ29" i="84" s="1"/>
  <c r="AJ30" i="84" s="1"/>
  <c r="AJ31" i="84" s="1"/>
  <c r="AJ32" i="84" s="1"/>
  <c r="AJ33" i="84" s="1"/>
  <c r="AJ34" i="84" s="1"/>
  <c r="AJ35" i="84" s="1"/>
  <c r="AJ36" i="84" s="1"/>
  <c r="AJ37" i="84" s="1"/>
  <c r="AJ38" i="84" s="1"/>
  <c r="AJ39" i="84" s="1"/>
  <c r="AJ40" i="84" s="1"/>
  <c r="AJ41" i="84" s="1"/>
  <c r="AJ42" i="84" s="1"/>
  <c r="AJ43" i="84" s="1"/>
  <c r="AJ44" i="84" s="1"/>
  <c r="AJ45" i="84" s="1"/>
  <c r="AJ46" i="84" s="1"/>
  <c r="AJ47" i="84" s="1"/>
  <c r="AJ48" i="84" s="1"/>
  <c r="AJ49" i="84" s="1"/>
  <c r="AJ50" i="84" s="1"/>
  <c r="AJ51" i="84" s="1"/>
  <c r="AJ52" i="84" s="1"/>
  <c r="AJ53" i="84" s="1"/>
  <c r="AJ54" i="84" s="1"/>
  <c r="AJ55" i="84" s="1"/>
  <c r="AJ56" i="84" s="1"/>
  <c r="AJ57" i="84" s="1"/>
  <c r="AF16" i="84"/>
  <c r="AF15" i="84"/>
  <c r="AF14" i="84"/>
  <c r="AD57" i="84"/>
  <c r="AD56" i="84"/>
  <c r="AD55" i="84"/>
  <c r="AD54" i="84"/>
  <c r="AD53" i="84"/>
  <c r="AD52" i="84"/>
  <c r="AD51" i="84"/>
  <c r="AD50" i="84"/>
  <c r="AD49" i="84"/>
  <c r="AD48" i="84"/>
  <c r="AD47" i="84"/>
  <c r="AD46" i="84"/>
  <c r="AD45" i="84"/>
  <c r="AD44" i="84"/>
  <c r="AD43" i="84"/>
  <c r="AD42" i="84"/>
  <c r="AD41" i="84"/>
  <c r="AD40" i="84"/>
  <c r="AD39" i="84"/>
  <c r="AD38" i="84"/>
  <c r="AD37" i="84"/>
  <c r="AD36" i="84"/>
  <c r="AD35" i="84"/>
  <c r="AD34" i="84"/>
  <c r="AD32" i="84"/>
  <c r="AD31" i="84"/>
  <c r="AD30" i="84"/>
  <c r="AD29" i="84"/>
  <c r="M28" i="84"/>
  <c r="AD28" i="84"/>
  <c r="C28" i="84"/>
  <c r="AZ28" i="84" s="1"/>
  <c r="AZ29" i="84" s="1"/>
  <c r="AZ30" i="84" s="1"/>
  <c r="AZ31" i="84" s="1"/>
  <c r="AZ32" i="84" s="1"/>
  <c r="AZ33" i="84" s="1"/>
  <c r="AZ34" i="84" s="1"/>
  <c r="AZ35" i="84" s="1"/>
  <c r="AZ36" i="84" s="1"/>
  <c r="AZ37" i="84" s="1"/>
  <c r="AZ38" i="84" s="1"/>
  <c r="AZ39" i="84" s="1"/>
  <c r="AZ40" i="84" s="1"/>
  <c r="AZ41" i="84" s="1"/>
  <c r="AZ42" i="84" s="1"/>
  <c r="AZ43" i="84" s="1"/>
  <c r="AZ44" i="84" s="1"/>
  <c r="AZ45" i="84" s="1"/>
  <c r="AZ46" i="84" s="1"/>
  <c r="AZ47" i="84" s="1"/>
  <c r="AZ48" i="84" s="1"/>
  <c r="AZ49" i="84" s="1"/>
  <c r="AZ50" i="84" s="1"/>
  <c r="AZ51" i="84" s="1"/>
  <c r="AZ52" i="84" s="1"/>
  <c r="AZ53" i="84" s="1"/>
  <c r="AZ54" i="84" s="1"/>
  <c r="AZ55" i="84" s="1"/>
  <c r="AZ56" i="84" s="1"/>
  <c r="AZ57" i="84" s="1"/>
  <c r="W26" i="84"/>
  <c r="U26" i="84"/>
  <c r="S26" i="84"/>
  <c r="Q26" i="84"/>
  <c r="O26" i="84"/>
  <c r="M26" i="84"/>
  <c r="K26" i="84"/>
  <c r="G19" i="84"/>
  <c r="C60" i="84"/>
  <c r="BD28" i="84"/>
  <c r="A3" i="84"/>
  <c r="A2" i="84"/>
  <c r="A1" i="84"/>
  <c r="BB16" i="76"/>
  <c r="BD15" i="76"/>
  <c r="BD14" i="76"/>
  <c r="AJ16" i="76"/>
  <c r="AJ15" i="76"/>
  <c r="AJ13" i="76"/>
  <c r="AJ11" i="76"/>
  <c r="AF16" i="76"/>
  <c r="AF15" i="76"/>
  <c r="AF14" i="76"/>
  <c r="C29" i="84" l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S28" i="84"/>
  <c r="AR29" i="84"/>
  <c r="AR30" i="84" s="1"/>
  <c r="AR31" i="84" s="1"/>
  <c r="AR32" i="84" s="1"/>
  <c r="AR33" i="84" s="1"/>
  <c r="AR34" i="84" s="1"/>
  <c r="AR35" i="84" s="1"/>
  <c r="AR36" i="84" s="1"/>
  <c r="AR37" i="84" s="1"/>
  <c r="AR38" i="84" s="1"/>
  <c r="AR39" i="84" s="1"/>
  <c r="AR40" i="84" s="1"/>
  <c r="AR41" i="84" s="1"/>
  <c r="AR42" i="84" s="1"/>
  <c r="AR43" i="84" s="1"/>
  <c r="AR44" i="84" s="1"/>
  <c r="AR45" i="84" s="1"/>
  <c r="AR46" i="84" s="1"/>
  <c r="AR47" i="84" s="1"/>
  <c r="AR48" i="84" s="1"/>
  <c r="AR49" i="84" s="1"/>
  <c r="AR50" i="84" s="1"/>
  <c r="AR51" i="84" s="1"/>
  <c r="AR52" i="84" s="1"/>
  <c r="AR53" i="84" s="1"/>
  <c r="AR54" i="84" s="1"/>
  <c r="AR55" i="84" s="1"/>
  <c r="AR56" i="84" s="1"/>
  <c r="AR57" i="84" s="1"/>
  <c r="AF28" i="84"/>
  <c r="AD33" i="84"/>
  <c r="G60" i="84"/>
  <c r="M29" i="84"/>
  <c r="BD29" i="84"/>
  <c r="BD30" i="84" s="1"/>
  <c r="BD31" i="84" s="1"/>
  <c r="BD32" i="84" s="1"/>
  <c r="BD33" i="84" s="1"/>
  <c r="BD34" i="84" s="1"/>
  <c r="BD35" i="84" s="1"/>
  <c r="BD36" i="84" s="1"/>
  <c r="BD37" i="84" s="1"/>
  <c r="BD38" i="84" s="1"/>
  <c r="BD39" i="84" s="1"/>
  <c r="BD40" i="84" s="1"/>
  <c r="BD41" i="84" s="1"/>
  <c r="BD42" i="84" s="1"/>
  <c r="BD43" i="84" s="1"/>
  <c r="BD44" i="84" s="1"/>
  <c r="BD45" i="84" s="1"/>
  <c r="BD46" i="84" s="1"/>
  <c r="BD47" i="84" s="1"/>
  <c r="BD48" i="84" s="1"/>
  <c r="BD49" i="84" s="1"/>
  <c r="BD50" i="84" s="1"/>
  <c r="BD51" i="84" s="1"/>
  <c r="BD52" i="84" s="1"/>
  <c r="BD53" i="84" s="1"/>
  <c r="BD54" i="84" s="1"/>
  <c r="BD55" i="84" s="1"/>
  <c r="BD56" i="84" s="1"/>
  <c r="BD57" i="84" s="1"/>
  <c r="AF29" i="84"/>
  <c r="I60" i="84"/>
  <c r="BB28" i="84"/>
  <c r="Q60" i="84"/>
  <c r="O60" i="84"/>
  <c r="AJ60" i="84"/>
  <c r="AD60" i="84"/>
  <c r="K60" i="84"/>
  <c r="AB28" i="84"/>
  <c r="AF11" i="84"/>
  <c r="BD11" i="84" s="1"/>
  <c r="G19" i="76"/>
  <c r="BD11" i="76" s="1"/>
  <c r="AF12" i="84" l="1"/>
  <c r="AR60" i="84"/>
  <c r="AF30" i="84"/>
  <c r="AB29" i="84"/>
  <c r="AN29" i="84" s="1"/>
  <c r="BD60" i="84"/>
  <c r="M30" i="84"/>
  <c r="S29" i="84"/>
  <c r="BF28" i="84"/>
  <c r="BB29" i="84"/>
  <c r="BF29" i="84" l="1"/>
  <c r="BB30" i="84"/>
  <c r="M31" i="84"/>
  <c r="S30" i="84"/>
  <c r="AP29" i="84"/>
  <c r="AV29" i="84" s="1"/>
  <c r="AB30" i="84"/>
  <c r="AN30" i="84" s="1"/>
  <c r="AP28" i="84"/>
  <c r="AF31" i="84"/>
  <c r="AF32" i="84" l="1"/>
  <c r="AP30" i="84"/>
  <c r="AV30" i="84" s="1"/>
  <c r="AB31" i="84"/>
  <c r="AN31" i="84" s="1"/>
  <c r="S31" i="84"/>
  <c r="M32" i="84"/>
  <c r="BF30" i="84"/>
  <c r="BB31" i="84"/>
  <c r="AV28" i="84"/>
  <c r="AF33" i="84" l="1"/>
  <c r="BB32" i="84"/>
  <c r="BF31" i="84"/>
  <c r="M33" i="84"/>
  <c r="S32" i="84"/>
  <c r="AP31" i="84"/>
  <c r="AV31" i="84" s="1"/>
  <c r="AB32" i="84"/>
  <c r="AN32" i="84" s="1"/>
  <c r="M34" i="84" l="1"/>
  <c r="S33" i="84"/>
  <c r="BF32" i="84"/>
  <c r="BB33" i="84"/>
  <c r="AF34" i="84"/>
  <c r="AB33" i="84"/>
  <c r="AN33" i="84" s="1"/>
  <c r="AP32" i="84"/>
  <c r="AV32" i="84" s="1"/>
  <c r="AF35" i="84" l="1"/>
  <c r="AB34" i="84"/>
  <c r="AN34" i="84" s="1"/>
  <c r="AP33" i="84"/>
  <c r="AV33" i="84" s="1"/>
  <c r="BF33" i="84"/>
  <c r="BB34" i="84"/>
  <c r="M35" i="84"/>
  <c r="S34" i="84"/>
  <c r="AF36" i="84" l="1"/>
  <c r="M36" i="84"/>
  <c r="S35" i="84"/>
  <c r="BB35" i="84"/>
  <c r="BF34" i="84"/>
  <c r="AP34" i="84"/>
  <c r="AV34" i="84" s="1"/>
  <c r="AB35" i="84"/>
  <c r="AN35" i="84" s="1"/>
  <c r="AP35" i="84" l="1"/>
  <c r="AV35" i="84" s="1"/>
  <c r="AB36" i="84"/>
  <c r="AN36" i="84" s="1"/>
  <c r="BB36" i="84"/>
  <c r="BF35" i="84"/>
  <c r="M37" i="84"/>
  <c r="S36" i="84"/>
  <c r="AF37" i="84"/>
  <c r="AF38" i="84" l="1"/>
  <c r="M38" i="84"/>
  <c r="S37" i="84"/>
  <c r="BF36" i="84"/>
  <c r="BB37" i="84"/>
  <c r="AB37" i="84"/>
  <c r="AN37" i="84" s="1"/>
  <c r="AP36" i="84"/>
  <c r="AV36" i="84" s="1"/>
  <c r="M39" i="84" l="1"/>
  <c r="S38" i="84"/>
  <c r="BF37" i="84"/>
  <c r="BB38" i="84"/>
  <c r="AF39" i="84"/>
  <c r="AP37" i="84"/>
  <c r="AV37" i="84" s="1"/>
  <c r="AB38" i="84"/>
  <c r="AN38" i="84" s="1"/>
  <c r="AP38" i="84" l="1"/>
  <c r="AV38" i="84" s="1"/>
  <c r="AB39" i="84"/>
  <c r="AN39" i="84" s="1"/>
  <c r="AF40" i="84"/>
  <c r="BB39" i="84"/>
  <c r="BF38" i="84"/>
  <c r="S39" i="84"/>
  <c r="M40" i="84"/>
  <c r="BB40" i="84" l="1"/>
  <c r="BF39" i="84"/>
  <c r="AF41" i="84"/>
  <c r="M41" i="84"/>
  <c r="S40" i="84"/>
  <c r="AP39" i="84"/>
  <c r="AV39" i="84" s="1"/>
  <c r="AB40" i="84"/>
  <c r="AN40" i="84" s="1"/>
  <c r="M42" i="84" l="1"/>
  <c r="S41" i="84"/>
  <c r="AB41" i="84"/>
  <c r="AN41" i="84" s="1"/>
  <c r="AP40" i="84"/>
  <c r="AV40" i="84" s="1"/>
  <c r="AF42" i="84"/>
  <c r="BF40" i="84"/>
  <c r="BB41" i="84"/>
  <c r="BF41" i="84" l="1"/>
  <c r="BB42" i="84"/>
  <c r="AF43" i="84"/>
  <c r="AB42" i="84"/>
  <c r="AN42" i="84" s="1"/>
  <c r="AP41" i="84"/>
  <c r="AV41" i="84" s="1"/>
  <c r="M43" i="84"/>
  <c r="S42" i="84"/>
  <c r="M44" i="84" l="1"/>
  <c r="S43" i="84"/>
  <c r="AP42" i="84"/>
  <c r="AV42" i="84" s="1"/>
  <c r="AB43" i="84"/>
  <c r="AN43" i="84" s="1"/>
  <c r="AF44" i="84"/>
  <c r="BB43" i="84"/>
  <c r="BF42" i="84"/>
  <c r="BB44" i="84" l="1"/>
  <c r="BF43" i="84"/>
  <c r="AF45" i="84"/>
  <c r="AP43" i="84"/>
  <c r="AV43" i="84" s="1"/>
  <c r="AB44" i="84"/>
  <c r="AN44" i="84" s="1"/>
  <c r="M45" i="84"/>
  <c r="S44" i="84"/>
  <c r="M46" i="84" l="1"/>
  <c r="S45" i="84"/>
  <c r="AB45" i="84"/>
  <c r="AN45" i="84" s="1"/>
  <c r="AP44" i="84"/>
  <c r="AV44" i="84" s="1"/>
  <c r="AF46" i="84"/>
  <c r="BF44" i="84"/>
  <c r="BB45" i="84"/>
  <c r="BF45" i="84" l="1"/>
  <c r="BB46" i="84"/>
  <c r="AP45" i="84"/>
  <c r="AV45" i="84" s="1"/>
  <c r="AB46" i="84"/>
  <c r="AN46" i="84" s="1"/>
  <c r="AF47" i="84"/>
  <c r="M47" i="84"/>
  <c r="S46" i="84"/>
  <c r="AF48" i="84" l="1"/>
  <c r="AP46" i="84"/>
  <c r="AV46" i="84" s="1"/>
  <c r="AB47" i="84"/>
  <c r="AN47" i="84" s="1"/>
  <c r="M48" i="84"/>
  <c r="S47" i="84"/>
  <c r="BB47" i="84"/>
  <c r="BF46" i="84"/>
  <c r="BB48" i="84" l="1"/>
  <c r="BF47" i="84"/>
  <c r="M49" i="84"/>
  <c r="S48" i="84"/>
  <c r="AP47" i="84"/>
  <c r="AV47" i="84" s="1"/>
  <c r="AB48" i="84"/>
  <c r="AN48" i="84" s="1"/>
  <c r="AF49" i="84"/>
  <c r="AF50" i="84" l="1"/>
  <c r="M50" i="84"/>
  <c r="S49" i="84"/>
  <c r="AB49" i="84"/>
  <c r="AN49" i="84" s="1"/>
  <c r="AP48" i="84"/>
  <c r="AV48" i="84" s="1"/>
  <c r="BF48" i="84"/>
  <c r="BB49" i="84"/>
  <c r="BF49" i="84" l="1"/>
  <c r="BB50" i="84"/>
  <c r="AF51" i="84"/>
  <c r="AP49" i="84"/>
  <c r="AV49" i="84" s="1"/>
  <c r="AB50" i="84"/>
  <c r="AN50" i="84" s="1"/>
  <c r="M51" i="84"/>
  <c r="S50" i="84"/>
  <c r="S51" i="84" l="1"/>
  <c r="M52" i="84"/>
  <c r="AP50" i="84"/>
  <c r="AV50" i="84" s="1"/>
  <c r="AB51" i="84"/>
  <c r="AN51" i="84" s="1"/>
  <c r="AF52" i="84"/>
  <c r="BB51" i="84"/>
  <c r="BF50" i="84"/>
  <c r="AP51" i="84" l="1"/>
  <c r="AV51" i="84" s="1"/>
  <c r="AB52" i="84"/>
  <c r="AN52" i="84" s="1"/>
  <c r="BB52" i="84"/>
  <c r="BF51" i="84"/>
  <c r="AF53" i="84"/>
  <c r="M53" i="84"/>
  <c r="S52" i="84"/>
  <c r="AF54" i="84" l="1"/>
  <c r="BF52" i="84"/>
  <c r="BB53" i="84"/>
  <c r="AB53" i="84"/>
  <c r="AN53" i="84" s="1"/>
  <c r="AP52" i="84"/>
  <c r="AV52" i="84" s="1"/>
  <c r="M54" i="84"/>
  <c r="S53" i="84"/>
  <c r="M55" i="84" l="1"/>
  <c r="S54" i="84"/>
  <c r="AF55" i="84"/>
  <c r="AP53" i="84"/>
  <c r="AV53" i="84" s="1"/>
  <c r="AB54" i="84"/>
  <c r="AN54" i="84" s="1"/>
  <c r="BF53" i="84"/>
  <c r="BB54" i="84"/>
  <c r="BB55" i="84" l="1"/>
  <c r="BF54" i="84"/>
  <c r="AP54" i="84"/>
  <c r="AV54" i="84" s="1"/>
  <c r="AB55" i="84"/>
  <c r="AN55" i="84" s="1"/>
  <c r="AF56" i="84"/>
  <c r="S55" i="84"/>
  <c r="M56" i="84"/>
  <c r="M57" i="84" l="1"/>
  <c r="S56" i="84"/>
  <c r="AP55" i="84"/>
  <c r="AV55" i="84" s="1"/>
  <c r="AB56" i="84"/>
  <c r="AN56" i="84" s="1"/>
  <c r="BB56" i="84"/>
  <c r="BF55" i="84"/>
  <c r="AF57" i="84"/>
  <c r="AB57" i="84" l="1"/>
  <c r="AN57" i="84" s="1"/>
  <c r="AP56" i="84"/>
  <c r="AV56" i="84" s="1"/>
  <c r="BF56" i="84"/>
  <c r="BB57" i="84"/>
  <c r="S57" i="84"/>
  <c r="M60" i="84"/>
  <c r="S60" i="84" l="1"/>
  <c r="G57" i="32" s="1"/>
  <c r="BF57" i="84"/>
  <c r="AF60" i="84"/>
  <c r="AP57" i="84"/>
  <c r="AV57" i="84" s="1"/>
  <c r="AN60" i="84" l="1"/>
  <c r="BF60" i="84"/>
  <c r="BB60" i="84"/>
  <c r="AV60" i="84" l="1"/>
  <c r="AP60" i="84"/>
  <c r="N71" i="5" l="1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J58" i="5"/>
  <c r="J59" i="5"/>
  <c r="J60" i="5" s="1"/>
  <c r="J61" i="5" s="1"/>
  <c r="J62" i="5" s="1"/>
  <c r="J63" i="5" s="1"/>
  <c r="J64" i="5" s="1"/>
  <c r="J65" i="5" s="1"/>
  <c r="J66" i="5" s="1"/>
  <c r="J67" i="5" s="1"/>
  <c r="J68" i="5" s="1"/>
  <c r="J69" i="5" s="1"/>
  <c r="J70" i="5" s="1"/>
  <c r="J71" i="5" s="1"/>
  <c r="J57" i="5"/>
  <c r="H70" i="5"/>
  <c r="H71" i="5"/>
  <c r="I70" i="5"/>
  <c r="I71" i="5" s="1"/>
  <c r="K70" i="5"/>
  <c r="K71" i="5" s="1"/>
  <c r="L70" i="5"/>
  <c r="L71" i="5" s="1"/>
  <c r="V73" i="5"/>
  <c r="V69" i="5"/>
  <c r="V70" i="5" s="1"/>
  <c r="V71" i="5" s="1"/>
  <c r="V72" i="5" s="1"/>
  <c r="M64" i="5"/>
  <c r="M65" i="5" s="1"/>
  <c r="M66" i="5" s="1"/>
  <c r="M67" i="5" s="1"/>
  <c r="M68" i="5" s="1"/>
  <c r="M69" i="5" s="1"/>
  <c r="M70" i="5" s="1"/>
  <c r="M71" i="5" s="1"/>
  <c r="M63" i="5"/>
  <c r="CI71" i="5"/>
  <c r="CK72" i="5"/>
  <c r="CK73" i="5"/>
  <c r="CK74" i="5"/>
  <c r="CK75" i="5"/>
  <c r="CK76" i="5"/>
  <c r="CK77" i="5"/>
  <c r="CK78" i="5"/>
  <c r="CK79" i="5"/>
  <c r="CK80" i="5"/>
  <c r="CK81" i="5"/>
  <c r="CK82" i="5"/>
  <c r="CK83" i="5"/>
  <c r="CK84" i="5"/>
  <c r="CK85" i="5"/>
  <c r="CK86" i="5"/>
  <c r="CK87" i="5"/>
  <c r="CK88" i="5"/>
  <c r="CK89" i="5"/>
  <c r="CK90" i="5"/>
  <c r="CK91" i="5"/>
  <c r="CK92" i="5"/>
  <c r="CK93" i="5"/>
  <c r="CK94" i="5"/>
  <c r="CK95" i="5"/>
  <c r="CK96" i="5"/>
  <c r="CK97" i="5"/>
  <c r="CK98" i="5"/>
  <c r="CK99" i="5"/>
  <c r="CK100" i="5"/>
  <c r="CK101" i="5"/>
  <c r="CK102" i="5"/>
  <c r="CK103" i="5"/>
  <c r="CK104" i="5"/>
  <c r="CK105" i="5"/>
  <c r="CK106" i="5"/>
  <c r="CK107" i="5"/>
  <c r="CK108" i="5"/>
  <c r="CK109" i="5"/>
  <c r="CK110" i="5"/>
  <c r="CK111" i="5"/>
  <c r="CK112" i="5"/>
  <c r="CK113" i="5"/>
  <c r="CK114" i="5"/>
  <c r="CK115" i="5"/>
  <c r="CK116" i="5"/>
  <c r="CK117" i="5"/>
  <c r="CK118" i="5"/>
  <c r="CK119" i="5"/>
  <c r="CK120" i="5"/>
  <c r="CK121" i="5"/>
  <c r="CK122" i="5"/>
  <c r="CK123" i="5"/>
  <c r="CK124" i="5"/>
  <c r="CK125" i="5"/>
  <c r="CK126" i="5"/>
  <c r="CK127" i="5"/>
  <c r="CK128" i="5"/>
  <c r="CK129" i="5"/>
  <c r="CK130" i="5"/>
  <c r="CK131" i="5"/>
  <c r="CK132" i="5"/>
  <c r="CK133" i="5"/>
  <c r="CK134" i="5"/>
  <c r="CK135" i="5"/>
  <c r="CK136" i="5"/>
  <c r="CK137" i="5"/>
  <c r="CK138" i="5"/>
  <c r="CK139" i="5"/>
  <c r="CK140" i="5"/>
  <c r="CK141" i="5"/>
  <c r="CK142" i="5"/>
  <c r="CK143" i="5"/>
  <c r="CK144" i="5"/>
  <c r="CK145" i="5"/>
  <c r="CK146" i="5"/>
  <c r="CK147" i="5"/>
  <c r="CK148" i="5"/>
  <c r="CK149" i="5"/>
  <c r="CK150" i="5"/>
  <c r="CK151" i="5"/>
  <c r="CK152" i="5"/>
  <c r="CK153" i="5"/>
  <c r="CK154" i="5"/>
  <c r="CK155" i="5"/>
  <c r="CK156" i="5"/>
  <c r="CK157" i="5"/>
  <c r="CK158" i="5"/>
  <c r="CK159" i="5"/>
  <c r="CK160" i="5"/>
  <c r="CK161" i="5"/>
  <c r="CK162" i="5"/>
  <c r="CK163" i="5"/>
  <c r="CK164" i="5"/>
  <c r="CK165" i="5"/>
  <c r="CK166" i="5"/>
  <c r="CK167" i="5"/>
  <c r="CK168" i="5"/>
  <c r="CK169" i="5"/>
  <c r="CK170" i="5"/>
  <c r="CK171" i="5"/>
  <c r="CK172" i="5"/>
  <c r="CK173" i="5"/>
  <c r="CK174" i="5"/>
  <c r="CK175" i="5"/>
  <c r="CK176" i="5"/>
  <c r="CK177" i="5"/>
  <c r="CK178" i="5"/>
  <c r="CK179" i="5"/>
  <c r="CK180" i="5"/>
  <c r="CK181" i="5"/>
  <c r="CK182" i="5"/>
  <c r="CK183" i="5"/>
  <c r="CK184" i="5"/>
  <c r="CK185" i="5"/>
  <c r="CK186" i="5"/>
  <c r="CK187" i="5"/>
  <c r="CK188" i="5"/>
  <c r="CK189" i="5"/>
  <c r="CK190" i="5"/>
  <c r="CK191" i="5"/>
  <c r="CK192" i="5"/>
  <c r="CK193" i="5"/>
  <c r="CK194" i="5"/>
  <c r="CK195" i="5"/>
  <c r="CK196" i="5"/>
  <c r="CK197" i="5"/>
  <c r="CK198" i="5"/>
  <c r="CK199" i="5"/>
  <c r="CK200" i="5"/>
  <c r="CK201" i="5"/>
  <c r="CK202" i="5"/>
  <c r="CK203" i="5"/>
  <c r="CK204" i="5"/>
  <c r="CK205" i="5"/>
  <c r="CK206" i="5"/>
  <c r="CK207" i="5"/>
  <c r="CK208" i="5"/>
  <c r="CK209" i="5"/>
  <c r="CK210" i="5"/>
  <c r="CK211" i="5"/>
  <c r="CK212" i="5"/>
  <c r="CK213" i="5"/>
  <c r="CK214" i="5"/>
  <c r="CK215" i="5"/>
  <c r="CK216" i="5"/>
  <c r="CK217" i="5"/>
  <c r="CK218" i="5"/>
  <c r="CK219" i="5"/>
  <c r="CK220" i="5"/>
  <c r="CK221" i="5"/>
  <c r="CK222" i="5"/>
  <c r="CK223" i="5"/>
  <c r="CK224" i="5"/>
  <c r="CK225" i="5"/>
  <c r="CK226" i="5"/>
  <c r="CK227" i="5"/>
  <c r="CK228" i="5"/>
  <c r="CK229" i="5"/>
  <c r="CK230" i="5"/>
  <c r="CK231" i="5"/>
  <c r="CK232" i="5"/>
  <c r="CK233" i="5"/>
  <c r="CK234" i="5"/>
  <c r="CK235" i="5"/>
  <c r="CK236" i="5"/>
  <c r="CK237" i="5"/>
  <c r="CK238" i="5"/>
  <c r="CK239" i="5"/>
  <c r="CK240" i="5"/>
  <c r="CK241" i="5"/>
  <c r="CK242" i="5"/>
  <c r="CK243" i="5"/>
  <c r="CK244" i="5"/>
  <c r="CK245" i="5"/>
  <c r="CK246" i="5"/>
  <c r="CK247" i="5"/>
  <c r="CK248" i="5"/>
  <c r="CK249" i="5"/>
  <c r="CK250" i="5"/>
  <c r="CK251" i="5"/>
  <c r="CK252" i="5"/>
  <c r="CK253" i="5"/>
  <c r="CK254" i="5"/>
  <c r="CK255" i="5"/>
  <c r="CK256" i="5"/>
  <c r="CK257" i="5"/>
  <c r="CK258" i="5"/>
  <c r="CK259" i="5"/>
  <c r="CK260" i="5"/>
  <c r="CK261" i="5"/>
  <c r="CK262" i="5"/>
  <c r="CK263" i="5"/>
  <c r="CK264" i="5"/>
  <c r="CK265" i="5"/>
  <c r="CK266" i="5"/>
  <c r="CK267" i="5"/>
  <c r="CK268" i="5"/>
  <c r="CK269" i="5"/>
  <c r="CK270" i="5"/>
  <c r="CK271" i="5"/>
  <c r="CK272" i="5"/>
  <c r="CK273" i="5"/>
  <c r="CK274" i="5"/>
  <c r="CK275" i="5"/>
  <c r="CK276" i="5"/>
  <c r="CK277" i="5"/>
  <c r="CK278" i="5"/>
  <c r="CK279" i="5"/>
  <c r="CK280" i="5"/>
  <c r="CK281" i="5"/>
  <c r="CK282" i="5"/>
  <c r="CK283" i="5"/>
  <c r="CK284" i="5"/>
  <c r="CK285" i="5"/>
  <c r="CK286" i="5"/>
  <c r="CK287" i="5"/>
  <c r="CK288" i="5"/>
  <c r="CK289" i="5"/>
  <c r="CK290" i="5"/>
  <c r="CK291" i="5"/>
  <c r="CK292" i="5"/>
  <c r="CK293" i="5"/>
  <c r="CK294" i="5"/>
  <c r="CK295" i="5"/>
  <c r="CK296" i="5"/>
  <c r="CK297" i="5"/>
  <c r="CK298" i="5"/>
  <c r="CK299" i="5"/>
  <c r="CK300" i="5"/>
  <c r="CK301" i="5"/>
  <c r="CK302" i="5"/>
  <c r="CK303" i="5"/>
  <c r="CK304" i="5"/>
  <c r="CK305" i="5"/>
  <c r="CK306" i="5"/>
  <c r="CK307" i="5"/>
  <c r="CK308" i="5"/>
  <c r="CK309" i="5"/>
  <c r="CK310" i="5"/>
  <c r="CK311" i="5"/>
  <c r="CK312" i="5"/>
  <c r="CK313" i="5"/>
  <c r="CK314" i="5"/>
  <c r="CK315" i="5"/>
  <c r="CK316" i="5"/>
  <c r="CK317" i="5"/>
  <c r="CK318" i="5"/>
  <c r="CK319" i="5"/>
  <c r="CK320" i="5"/>
  <c r="CK321" i="5"/>
  <c r="CK322" i="5"/>
  <c r="CK323" i="5"/>
  <c r="CK324" i="5"/>
  <c r="CK325" i="5"/>
  <c r="CK326" i="5"/>
  <c r="CK327" i="5"/>
  <c r="CK328" i="5"/>
  <c r="CK329" i="5"/>
  <c r="CK330" i="5"/>
  <c r="CK331" i="5"/>
  <c r="CK332" i="5"/>
  <c r="CK333" i="5"/>
  <c r="CK334" i="5"/>
  <c r="CK335" i="5"/>
  <c r="CK336" i="5"/>
  <c r="CK337" i="5"/>
  <c r="CK338" i="5"/>
  <c r="CK339" i="5"/>
  <c r="CK340" i="5"/>
  <c r="CK341" i="5"/>
  <c r="CK342" i="5"/>
  <c r="CK343" i="5"/>
  <c r="CK344" i="5"/>
  <c r="CK345" i="5"/>
  <c r="CK346" i="5"/>
  <c r="CK347" i="5"/>
  <c r="CK348" i="5"/>
  <c r="CK349" i="5"/>
  <c r="CK350" i="5"/>
  <c r="CK351" i="5"/>
  <c r="CK352" i="5"/>
  <c r="CK353" i="5"/>
  <c r="CK354" i="5"/>
  <c r="CK355" i="5"/>
  <c r="CK356" i="5"/>
  <c r="CK357" i="5"/>
  <c r="CK358" i="5"/>
  <c r="CK359" i="5"/>
  <c r="CK360" i="5"/>
  <c r="CK361" i="5"/>
  <c r="CK362" i="5"/>
  <c r="CK363" i="5"/>
  <c r="CK364" i="5"/>
  <c r="CK365" i="5"/>
  <c r="CK366" i="5"/>
  <c r="CK367" i="5"/>
  <c r="CK368" i="5"/>
  <c r="CK369" i="5"/>
  <c r="CK370" i="5"/>
  <c r="CK371" i="5"/>
  <c r="CK372" i="5"/>
  <c r="CK373" i="5"/>
  <c r="CK374" i="5"/>
  <c r="CK375" i="5"/>
  <c r="CK376" i="5"/>
  <c r="CK377" i="5"/>
  <c r="CK378" i="5"/>
  <c r="CK379" i="5"/>
  <c r="CK380" i="5"/>
  <c r="CK381" i="5"/>
  <c r="CK382" i="5"/>
  <c r="CK383" i="5"/>
  <c r="CK384" i="5"/>
  <c r="CK385" i="5"/>
  <c r="CK386" i="5"/>
  <c r="CK387" i="5"/>
  <c r="CK388" i="5"/>
  <c r="CK389" i="5"/>
  <c r="CK390" i="5"/>
  <c r="CK391" i="5"/>
  <c r="CK392" i="5"/>
  <c r="CK71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K53" i="5"/>
  <c r="CK54" i="5"/>
  <c r="CK55" i="5"/>
  <c r="CK56" i="5"/>
  <c r="CK57" i="5"/>
  <c r="CK58" i="5"/>
  <c r="CK59" i="5"/>
  <c r="CK60" i="5"/>
  <c r="CK61" i="5"/>
  <c r="CK62" i="5"/>
  <c r="CK63" i="5"/>
  <c r="CK64" i="5"/>
  <c r="CK65" i="5"/>
  <c r="CK66" i="5"/>
  <c r="CK67" i="5"/>
  <c r="CK68" i="5"/>
  <c r="CK69" i="5"/>
  <c r="CK70" i="5"/>
  <c r="CI294" i="5"/>
  <c r="CI295" i="5"/>
  <c r="CI296" i="5"/>
  <c r="CI297" i="5"/>
  <c r="CI298" i="5"/>
  <c r="CI299" i="5"/>
  <c r="CI300" i="5"/>
  <c r="CI301" i="5"/>
  <c r="CI302" i="5"/>
  <c r="CI303" i="5"/>
  <c r="CI304" i="5"/>
  <c r="CI305" i="5"/>
  <c r="CI306" i="5"/>
  <c r="CI307" i="5"/>
  <c r="CI308" i="5"/>
  <c r="CI309" i="5"/>
  <c r="CI310" i="5"/>
  <c r="CI311" i="5"/>
  <c r="CI312" i="5"/>
  <c r="CI313" i="5"/>
  <c r="CI314" i="5"/>
  <c r="CI315" i="5"/>
  <c r="CI316" i="5"/>
  <c r="CI317" i="5"/>
  <c r="CI318" i="5"/>
  <c r="CI319" i="5"/>
  <c r="CI320" i="5"/>
  <c r="CI321" i="5"/>
  <c r="CI322" i="5"/>
  <c r="CI323" i="5"/>
  <c r="CI324" i="5"/>
  <c r="CI325" i="5"/>
  <c r="CI326" i="5"/>
  <c r="CI327" i="5"/>
  <c r="CI328" i="5"/>
  <c r="CI329" i="5"/>
  <c r="CI330" i="5"/>
  <c r="CI331" i="5"/>
  <c r="CI332" i="5"/>
  <c r="CI333" i="5"/>
  <c r="CI334" i="5"/>
  <c r="CI335" i="5"/>
  <c r="CI336" i="5"/>
  <c r="CI337" i="5"/>
  <c r="CI338" i="5"/>
  <c r="CI339" i="5"/>
  <c r="CI340" i="5"/>
  <c r="CI341" i="5"/>
  <c r="CI342" i="5"/>
  <c r="CI343" i="5"/>
  <c r="CI344" i="5"/>
  <c r="CI345" i="5"/>
  <c r="CI346" i="5"/>
  <c r="CI347" i="5"/>
  <c r="CI348" i="5"/>
  <c r="CI349" i="5"/>
  <c r="CI350" i="5"/>
  <c r="CI351" i="5"/>
  <c r="CI352" i="5"/>
  <c r="CI353" i="5"/>
  <c r="CI354" i="5"/>
  <c r="CI355" i="5"/>
  <c r="CI356" i="5"/>
  <c r="CI357" i="5"/>
  <c r="CI358" i="5"/>
  <c r="CI359" i="5"/>
  <c r="CI360" i="5"/>
  <c r="CI361" i="5"/>
  <c r="CI362" i="5"/>
  <c r="CI363" i="5"/>
  <c r="CI364" i="5"/>
  <c r="CI365" i="5"/>
  <c r="CI366" i="5"/>
  <c r="CI367" i="5"/>
  <c r="CI368" i="5"/>
  <c r="CI369" i="5"/>
  <c r="CI370" i="5"/>
  <c r="CI371" i="5"/>
  <c r="CI372" i="5"/>
  <c r="CI373" i="5"/>
  <c r="CI374" i="5"/>
  <c r="CI375" i="5"/>
  <c r="CI376" i="5"/>
  <c r="CI377" i="5"/>
  <c r="CI378" i="5"/>
  <c r="CI379" i="5"/>
  <c r="CI380" i="5"/>
  <c r="CI381" i="5"/>
  <c r="CI382" i="5"/>
  <c r="CI383" i="5"/>
  <c r="CI384" i="5"/>
  <c r="CI385" i="5"/>
  <c r="CI386" i="5"/>
  <c r="CI387" i="5"/>
  <c r="CI388" i="5"/>
  <c r="CI389" i="5"/>
  <c r="CI390" i="5"/>
  <c r="CI391" i="5"/>
  <c r="CI392" i="5"/>
  <c r="AG39" i="5" l="1"/>
  <c r="AG40" i="5" s="1"/>
  <c r="AG41" i="5" s="1"/>
  <c r="AG42" i="5" s="1"/>
  <c r="AG43" i="5" s="1"/>
  <c r="AG44" i="5" s="1"/>
  <c r="AG45" i="5" s="1"/>
  <c r="AG46" i="5" s="1"/>
  <c r="AG47" i="5" s="1"/>
  <c r="AG48" i="5" s="1"/>
  <c r="AG49" i="5" s="1"/>
  <c r="AG50" i="5" s="1"/>
  <c r="AG51" i="5" s="1"/>
  <c r="AG52" i="5" s="1"/>
  <c r="AG53" i="5" s="1"/>
  <c r="AG54" i="5" s="1"/>
  <c r="AG55" i="5" s="1"/>
  <c r="AG56" i="5" s="1"/>
  <c r="AG57" i="5" s="1"/>
  <c r="AG58" i="5" s="1"/>
  <c r="AG59" i="5" s="1"/>
  <c r="AG60" i="5" s="1"/>
  <c r="AG61" i="5" s="1"/>
  <c r="AG62" i="5" s="1"/>
  <c r="AG63" i="5" s="1"/>
  <c r="AG64" i="5" s="1"/>
  <c r="AG65" i="5" s="1"/>
  <c r="AG66" i="5" s="1"/>
  <c r="AG67" i="5" s="1"/>
  <c r="AG68" i="5" s="1"/>
  <c r="AG69" i="5" s="1"/>
  <c r="AG70" i="5" s="1"/>
  <c r="AG71" i="5" s="1"/>
  <c r="AG72" i="5" s="1"/>
  <c r="AF39" i="5"/>
  <c r="AF40" i="5" s="1"/>
  <c r="AF41" i="5" s="1"/>
  <c r="AF42" i="5" s="1"/>
  <c r="AF43" i="5" s="1"/>
  <c r="AF44" i="5" s="1"/>
  <c r="AF45" i="5" s="1"/>
  <c r="AF46" i="5" s="1"/>
  <c r="AF47" i="5" s="1"/>
  <c r="AF48" i="5" s="1"/>
  <c r="AF49" i="5" s="1"/>
  <c r="AF50" i="5" s="1"/>
  <c r="AF51" i="5" s="1"/>
  <c r="AF52" i="5" s="1"/>
  <c r="AF53" i="5" s="1"/>
  <c r="AF54" i="5" s="1"/>
  <c r="AF55" i="5" s="1"/>
  <c r="AF56" i="5" s="1"/>
  <c r="AF57" i="5" s="1"/>
  <c r="AF58" i="5" s="1"/>
  <c r="AF59" i="5" s="1"/>
  <c r="AF60" i="5" s="1"/>
  <c r="AF61" i="5" s="1"/>
  <c r="AF62" i="5" s="1"/>
  <c r="AF63" i="5" s="1"/>
  <c r="AF64" i="5" s="1"/>
  <c r="AF65" i="5" s="1"/>
  <c r="AF66" i="5" s="1"/>
  <c r="AF67" i="5" s="1"/>
  <c r="AF68" i="5" s="1"/>
  <c r="AF69" i="5" s="1"/>
  <c r="AF70" i="5" s="1"/>
  <c r="AF71" i="5" s="1"/>
  <c r="AF72" i="5" s="1"/>
  <c r="AI41" i="5" l="1"/>
  <c r="AI42" i="5" s="1"/>
  <c r="AI43" i="5" s="1"/>
  <c r="AI44" i="5" s="1"/>
  <c r="AI45" i="5" s="1"/>
  <c r="AI46" i="5" s="1"/>
  <c r="AI47" i="5" s="1"/>
  <c r="AI48" i="5" s="1"/>
  <c r="AI49" i="5" s="1"/>
  <c r="AI50" i="5" s="1"/>
  <c r="AI51" i="5" s="1"/>
  <c r="AI52" i="5" s="1"/>
  <c r="AI53" i="5" s="1"/>
  <c r="AI54" i="5" s="1"/>
  <c r="AI55" i="5" s="1"/>
  <c r="AI56" i="5" s="1"/>
  <c r="AI57" i="5" s="1"/>
  <c r="AI58" i="5" s="1"/>
  <c r="AI59" i="5" s="1"/>
  <c r="AI60" i="5" s="1"/>
  <c r="AI61" i="5" s="1"/>
  <c r="AI62" i="5" s="1"/>
  <c r="AI63" i="5" s="1"/>
  <c r="AI64" i="5" s="1"/>
  <c r="AI65" i="5" s="1"/>
  <c r="AI66" i="5" s="1"/>
  <c r="AI67" i="5" s="1"/>
  <c r="AI68" i="5" s="1"/>
  <c r="AI69" i="5" s="1"/>
  <c r="AI70" i="5" s="1"/>
  <c r="AI71" i="5" s="1"/>
  <c r="AI72" i="5" s="1"/>
  <c r="AH41" i="5"/>
  <c r="AH42" i="5" s="1"/>
  <c r="AH43" i="5" s="1"/>
  <c r="AH44" i="5" s="1"/>
  <c r="AH45" i="5" s="1"/>
  <c r="AH46" i="5" s="1"/>
  <c r="AH47" i="5" s="1"/>
  <c r="AH48" i="5" s="1"/>
  <c r="AH49" i="5" s="1"/>
  <c r="AH50" i="5" s="1"/>
  <c r="AH51" i="5" s="1"/>
  <c r="AH52" i="5" s="1"/>
  <c r="AH53" i="5" s="1"/>
  <c r="AH54" i="5" s="1"/>
  <c r="AH55" i="5" s="1"/>
  <c r="AH56" i="5" s="1"/>
  <c r="AH57" i="5" s="1"/>
  <c r="AH58" i="5" s="1"/>
  <c r="AH59" i="5" s="1"/>
  <c r="AH60" i="5" s="1"/>
  <c r="AH61" i="5" s="1"/>
  <c r="AH62" i="5" s="1"/>
  <c r="AH63" i="5" s="1"/>
  <c r="AH64" i="5" s="1"/>
  <c r="AH65" i="5" s="1"/>
  <c r="AH66" i="5" s="1"/>
  <c r="AH67" i="5" s="1"/>
  <c r="AH68" i="5" s="1"/>
  <c r="AH69" i="5" s="1"/>
  <c r="AH70" i="5" s="1"/>
  <c r="AH71" i="5" s="1"/>
  <c r="AH72" i="5" s="1"/>
  <c r="AJ11" i="84" l="1"/>
  <c r="AH28" i="84" s="1"/>
  <c r="AJ11" i="89"/>
  <c r="AH28" i="89" s="1"/>
  <c r="AJ11" i="87"/>
  <c r="AH28" i="87" s="1"/>
  <c r="AJ11" i="86"/>
  <c r="AH28" i="86" s="1"/>
  <c r="AJ11" i="85"/>
  <c r="AH28" i="85" s="1"/>
  <c r="AH29" i="84"/>
  <c r="AL28" i="84"/>
  <c r="AD58" i="76"/>
  <c r="O28" i="76"/>
  <c r="S28" i="76" s="1"/>
  <c r="G18" i="76"/>
  <c r="AH29" i="86" l="1"/>
  <c r="AL28" i="86"/>
  <c r="AH29" i="87"/>
  <c r="AL28" i="87"/>
  <c r="AH29" i="89"/>
  <c r="AL28" i="89"/>
  <c r="AH29" i="85"/>
  <c r="AL28" i="85"/>
  <c r="K61" i="76"/>
  <c r="AD61" i="76"/>
  <c r="I61" i="76"/>
  <c r="AT28" i="84"/>
  <c r="AH30" i="84"/>
  <c r="AL29" i="84"/>
  <c r="AT29" i="84" s="1"/>
  <c r="AX29" i="84" s="1"/>
  <c r="U29" i="84" s="1"/>
  <c r="W29" i="84" s="1"/>
  <c r="Y29" i="84" s="1"/>
  <c r="Q61" i="76"/>
  <c r="G61" i="76"/>
  <c r="AT28" i="89" l="1"/>
  <c r="AT28" i="85"/>
  <c r="AT28" i="86"/>
  <c r="AH30" i="85"/>
  <c r="AL29" i="85"/>
  <c r="AT29" i="85" s="1"/>
  <c r="AX29" i="85" s="1"/>
  <c r="U29" i="85" s="1"/>
  <c r="W29" i="85" s="1"/>
  <c r="Y29" i="85" s="1"/>
  <c r="AH30" i="89"/>
  <c r="AL29" i="89"/>
  <c r="AT29" i="89" s="1"/>
  <c r="AX29" i="89" s="1"/>
  <c r="U29" i="89" s="1"/>
  <c r="W29" i="89" s="1"/>
  <c r="Y29" i="89" s="1"/>
  <c r="AT28" i="87"/>
  <c r="AH30" i="87"/>
  <c r="AL29" i="87"/>
  <c r="AT29" i="87" s="1"/>
  <c r="AX29" i="87" s="1"/>
  <c r="U29" i="87" s="1"/>
  <c r="W29" i="87" s="1"/>
  <c r="Y29" i="87" s="1"/>
  <c r="AH30" i="86"/>
  <c r="AL29" i="86"/>
  <c r="AT29" i="86" s="1"/>
  <c r="AX29" i="86" s="1"/>
  <c r="U29" i="86" s="1"/>
  <c r="W29" i="86" s="1"/>
  <c r="Y29" i="86" s="1"/>
  <c r="AH31" i="84"/>
  <c r="AL30" i="84"/>
  <c r="AT30" i="84" s="1"/>
  <c r="AX30" i="84" s="1"/>
  <c r="U30" i="84" s="1"/>
  <c r="W30" i="84" s="1"/>
  <c r="Y30" i="84" s="1"/>
  <c r="AX28" i="84"/>
  <c r="AD57" i="76"/>
  <c r="AD56" i="76"/>
  <c r="AD55" i="76"/>
  <c r="AD54" i="76"/>
  <c r="AD53" i="76"/>
  <c r="AD52" i="76"/>
  <c r="AD51" i="76"/>
  <c r="AD50" i="76"/>
  <c r="AD49" i="76"/>
  <c r="AD48" i="76"/>
  <c r="AD47" i="76"/>
  <c r="AD46" i="76"/>
  <c r="AD45" i="76"/>
  <c r="AD44" i="76"/>
  <c r="AD43" i="76"/>
  <c r="AD42" i="76"/>
  <c r="AD41" i="76"/>
  <c r="AD40" i="76"/>
  <c r="AD39" i="76"/>
  <c r="AD38" i="76"/>
  <c r="AD37" i="76"/>
  <c r="AD36" i="76"/>
  <c r="AD35" i="76"/>
  <c r="AD34" i="76"/>
  <c r="AD33" i="76"/>
  <c r="AD32" i="76"/>
  <c r="AD31" i="76"/>
  <c r="AD30" i="76"/>
  <c r="AD29" i="76"/>
  <c r="AD28" i="76"/>
  <c r="M28" i="76"/>
  <c r="W26" i="76"/>
  <c r="U26" i="76"/>
  <c r="S26" i="76"/>
  <c r="Q26" i="76"/>
  <c r="O26" i="76"/>
  <c r="M26" i="76"/>
  <c r="K26" i="76"/>
  <c r="A3" i="76"/>
  <c r="A2" i="76"/>
  <c r="A1" i="76"/>
  <c r="AH31" i="87" l="1"/>
  <c r="AL30" i="87"/>
  <c r="AT30" i="87" s="1"/>
  <c r="AX30" i="87" s="1"/>
  <c r="U30" i="87" s="1"/>
  <c r="W30" i="87" s="1"/>
  <c r="Y30" i="87" s="1"/>
  <c r="AX28" i="87"/>
  <c r="AH31" i="89"/>
  <c r="AL30" i="89"/>
  <c r="AT30" i="89" s="1"/>
  <c r="AX30" i="89" s="1"/>
  <c r="U30" i="89" s="1"/>
  <c r="W30" i="89" s="1"/>
  <c r="Y30" i="89" s="1"/>
  <c r="AH31" i="86"/>
  <c r="AL30" i="86"/>
  <c r="AT30" i="86" s="1"/>
  <c r="AX30" i="86" s="1"/>
  <c r="U30" i="86" s="1"/>
  <c r="W30" i="86" s="1"/>
  <c r="Y30" i="86" s="1"/>
  <c r="AH31" i="85"/>
  <c r="AL30" i="85"/>
  <c r="AT30" i="85" s="1"/>
  <c r="AX30" i="85" s="1"/>
  <c r="U30" i="85" s="1"/>
  <c r="W30" i="85" s="1"/>
  <c r="Y30" i="85" s="1"/>
  <c r="AX28" i="86"/>
  <c r="AX28" i="85"/>
  <c r="AX28" i="89"/>
  <c r="U28" i="84"/>
  <c r="AH32" i="84"/>
  <c r="AL31" i="84"/>
  <c r="AF11" i="76"/>
  <c r="C61" i="76"/>
  <c r="AH32" i="85" l="1"/>
  <c r="AL31" i="85"/>
  <c r="AT31" i="85" s="1"/>
  <c r="AX31" i="85" s="1"/>
  <c r="U31" i="85" s="1"/>
  <c r="W31" i="85" s="1"/>
  <c r="Y31" i="85" s="1"/>
  <c r="AH32" i="86"/>
  <c r="AL31" i="86"/>
  <c r="U28" i="89"/>
  <c r="AH32" i="89"/>
  <c r="AL31" i="89"/>
  <c r="U28" i="85"/>
  <c r="U28" i="87"/>
  <c r="U28" i="86"/>
  <c r="AH32" i="87"/>
  <c r="AL31" i="87"/>
  <c r="AT31" i="84"/>
  <c r="AH33" i="84"/>
  <c r="AL32" i="84"/>
  <c r="AT32" i="84" s="1"/>
  <c r="AX32" i="84" s="1"/>
  <c r="U32" i="84" s="1"/>
  <c r="W32" i="84" s="1"/>
  <c r="Y32" i="84" s="1"/>
  <c r="W28" i="84"/>
  <c r="AF12" i="76"/>
  <c r="CF17" i="5"/>
  <c r="CF319" i="5"/>
  <c r="CD319" i="5"/>
  <c r="CF318" i="5"/>
  <c r="CD318" i="5"/>
  <c r="CF317" i="5"/>
  <c r="CD317" i="5"/>
  <c r="CF316" i="5"/>
  <c r="CD316" i="5"/>
  <c r="CF315" i="5"/>
  <c r="CD315" i="5"/>
  <c r="CF314" i="5"/>
  <c r="CD314" i="5"/>
  <c r="CF313" i="5"/>
  <c r="CD313" i="5"/>
  <c r="CF312" i="5"/>
  <c r="CD312" i="5"/>
  <c r="CF311" i="5"/>
  <c r="CD311" i="5"/>
  <c r="CF310" i="5"/>
  <c r="CD310" i="5"/>
  <c r="CF309" i="5"/>
  <c r="CD309" i="5"/>
  <c r="CF308" i="5"/>
  <c r="CD308" i="5"/>
  <c r="CF307" i="5"/>
  <c r="CD307" i="5"/>
  <c r="CF306" i="5"/>
  <c r="CD306" i="5"/>
  <c r="CF305" i="5"/>
  <c r="CD305" i="5"/>
  <c r="CF304" i="5"/>
  <c r="CD304" i="5"/>
  <c r="CF303" i="5"/>
  <c r="CD303" i="5"/>
  <c r="CF302" i="5"/>
  <c r="CD302" i="5"/>
  <c r="CF301" i="5"/>
  <c r="CD301" i="5"/>
  <c r="CF300" i="5"/>
  <c r="CD300" i="5"/>
  <c r="CF299" i="5"/>
  <c r="CD299" i="5"/>
  <c r="CF298" i="5"/>
  <c r="CD298" i="5"/>
  <c r="CF297" i="5"/>
  <c r="CD297" i="5"/>
  <c r="CF296" i="5"/>
  <c r="CD296" i="5"/>
  <c r="CF295" i="5"/>
  <c r="CD295" i="5"/>
  <c r="CF294" i="5"/>
  <c r="CD294" i="5"/>
  <c r="CI293" i="5"/>
  <c r="CF293" i="5"/>
  <c r="CD293" i="5"/>
  <c r="CI292" i="5"/>
  <c r="CF292" i="5"/>
  <c r="CD292" i="5"/>
  <c r="CI291" i="5"/>
  <c r="CF291" i="5"/>
  <c r="CD291" i="5"/>
  <c r="CI290" i="5"/>
  <c r="CF290" i="5"/>
  <c r="CD290" i="5"/>
  <c r="CI289" i="5"/>
  <c r="CF289" i="5"/>
  <c r="CD289" i="5"/>
  <c r="CI288" i="5"/>
  <c r="CF288" i="5"/>
  <c r="CD288" i="5"/>
  <c r="CI287" i="5"/>
  <c r="CF287" i="5"/>
  <c r="CD287" i="5"/>
  <c r="CI286" i="5"/>
  <c r="CF286" i="5"/>
  <c r="CD286" i="5"/>
  <c r="CI285" i="5"/>
  <c r="CF285" i="5"/>
  <c r="CD285" i="5"/>
  <c r="CI284" i="5"/>
  <c r="CF284" i="5"/>
  <c r="CD284" i="5"/>
  <c r="CI283" i="5"/>
  <c r="CF283" i="5"/>
  <c r="CD283" i="5"/>
  <c r="CI282" i="5"/>
  <c r="CF282" i="5"/>
  <c r="CD282" i="5"/>
  <c r="CI281" i="5"/>
  <c r="CF281" i="5"/>
  <c r="CD281" i="5"/>
  <c r="CI280" i="5"/>
  <c r="CF280" i="5"/>
  <c r="CD280" i="5"/>
  <c r="CI279" i="5"/>
  <c r="CF279" i="5"/>
  <c r="CD279" i="5"/>
  <c r="CI278" i="5"/>
  <c r="CF278" i="5"/>
  <c r="CD278" i="5"/>
  <c r="CI277" i="5"/>
  <c r="CF277" i="5"/>
  <c r="CD277" i="5"/>
  <c r="CI276" i="5"/>
  <c r="CF276" i="5"/>
  <c r="CD276" i="5"/>
  <c r="CI275" i="5"/>
  <c r="CF275" i="5"/>
  <c r="CD275" i="5"/>
  <c r="CI274" i="5"/>
  <c r="CF274" i="5"/>
  <c r="CD274" i="5"/>
  <c r="CI273" i="5"/>
  <c r="CF273" i="5"/>
  <c r="CD273" i="5"/>
  <c r="CI272" i="5"/>
  <c r="CF272" i="5"/>
  <c r="CD272" i="5"/>
  <c r="CI271" i="5"/>
  <c r="CF271" i="5"/>
  <c r="CD271" i="5"/>
  <c r="CI270" i="5"/>
  <c r="CF270" i="5"/>
  <c r="CD270" i="5"/>
  <c r="CI269" i="5"/>
  <c r="CF269" i="5"/>
  <c r="CD269" i="5"/>
  <c r="CI268" i="5"/>
  <c r="CF268" i="5"/>
  <c r="CD268" i="5"/>
  <c r="CI267" i="5"/>
  <c r="CF267" i="5"/>
  <c r="CD267" i="5"/>
  <c r="CI266" i="5"/>
  <c r="CF266" i="5"/>
  <c r="CD266" i="5"/>
  <c r="CI265" i="5"/>
  <c r="CF265" i="5"/>
  <c r="CD265" i="5"/>
  <c r="CI264" i="5"/>
  <c r="CF264" i="5"/>
  <c r="CD264" i="5"/>
  <c r="CI263" i="5"/>
  <c r="CF263" i="5"/>
  <c r="CD263" i="5"/>
  <c r="CI262" i="5"/>
  <c r="CF262" i="5"/>
  <c r="CD262" i="5"/>
  <c r="CI261" i="5"/>
  <c r="CF261" i="5"/>
  <c r="CD261" i="5"/>
  <c r="CI260" i="5"/>
  <c r="CF260" i="5"/>
  <c r="CD260" i="5"/>
  <c r="CI259" i="5"/>
  <c r="CF259" i="5"/>
  <c r="CD259" i="5"/>
  <c r="CI258" i="5"/>
  <c r="CF258" i="5"/>
  <c r="CD258" i="5"/>
  <c r="CI257" i="5"/>
  <c r="CF257" i="5"/>
  <c r="CD257" i="5"/>
  <c r="CI256" i="5"/>
  <c r="CF256" i="5"/>
  <c r="CD256" i="5"/>
  <c r="CI255" i="5"/>
  <c r="CF255" i="5"/>
  <c r="CD255" i="5"/>
  <c r="CI254" i="5"/>
  <c r="CF254" i="5"/>
  <c r="CD254" i="5"/>
  <c r="CI253" i="5"/>
  <c r="CF253" i="5"/>
  <c r="CD253" i="5"/>
  <c r="CI252" i="5"/>
  <c r="CF252" i="5"/>
  <c r="CD252" i="5"/>
  <c r="CI251" i="5"/>
  <c r="CF251" i="5"/>
  <c r="CD251" i="5"/>
  <c r="CI250" i="5"/>
  <c r="CF250" i="5"/>
  <c r="CD250" i="5"/>
  <c r="CI249" i="5"/>
  <c r="CF249" i="5"/>
  <c r="CD249" i="5"/>
  <c r="CI248" i="5"/>
  <c r="CF248" i="5"/>
  <c r="CD248" i="5"/>
  <c r="CI247" i="5"/>
  <c r="CF247" i="5"/>
  <c r="CD247" i="5"/>
  <c r="CI246" i="5"/>
  <c r="CF246" i="5"/>
  <c r="CD246" i="5"/>
  <c r="CI245" i="5"/>
  <c r="CF245" i="5"/>
  <c r="CD245" i="5"/>
  <c r="CI244" i="5"/>
  <c r="CF244" i="5"/>
  <c r="CD244" i="5"/>
  <c r="CI243" i="5"/>
  <c r="CF243" i="5"/>
  <c r="CD243" i="5"/>
  <c r="CI242" i="5"/>
  <c r="CF242" i="5"/>
  <c r="CD242" i="5"/>
  <c r="CI241" i="5"/>
  <c r="CF241" i="5"/>
  <c r="CD241" i="5"/>
  <c r="CI240" i="5"/>
  <c r="CF240" i="5"/>
  <c r="CD240" i="5"/>
  <c r="CI239" i="5"/>
  <c r="CF239" i="5"/>
  <c r="CD239" i="5"/>
  <c r="CI238" i="5"/>
  <c r="CF238" i="5"/>
  <c r="CD238" i="5"/>
  <c r="CI237" i="5"/>
  <c r="CF237" i="5"/>
  <c r="CD237" i="5"/>
  <c r="CI236" i="5"/>
  <c r="CF236" i="5"/>
  <c r="CD236" i="5"/>
  <c r="CI235" i="5"/>
  <c r="CF235" i="5"/>
  <c r="CD235" i="5"/>
  <c r="CI234" i="5"/>
  <c r="CF234" i="5"/>
  <c r="CD234" i="5"/>
  <c r="CI233" i="5"/>
  <c r="CF233" i="5"/>
  <c r="CD233" i="5"/>
  <c r="CI232" i="5"/>
  <c r="CF232" i="5"/>
  <c r="CD232" i="5"/>
  <c r="CI231" i="5"/>
  <c r="CF231" i="5"/>
  <c r="CD231" i="5"/>
  <c r="CI230" i="5"/>
  <c r="CF230" i="5"/>
  <c r="CD230" i="5"/>
  <c r="CI229" i="5"/>
  <c r="CF229" i="5"/>
  <c r="CD229" i="5"/>
  <c r="CI228" i="5"/>
  <c r="CF228" i="5"/>
  <c r="CD228" i="5"/>
  <c r="CI227" i="5"/>
  <c r="CF227" i="5"/>
  <c r="CD227" i="5"/>
  <c r="CI226" i="5"/>
  <c r="CF226" i="5"/>
  <c r="CD226" i="5"/>
  <c r="CI225" i="5"/>
  <c r="CF225" i="5"/>
  <c r="CD225" i="5"/>
  <c r="CI224" i="5"/>
  <c r="CF224" i="5"/>
  <c r="CD224" i="5"/>
  <c r="CI223" i="5"/>
  <c r="CF223" i="5"/>
  <c r="CD223" i="5"/>
  <c r="CI222" i="5"/>
  <c r="CF222" i="5"/>
  <c r="CD222" i="5"/>
  <c r="CI221" i="5"/>
  <c r="CF221" i="5"/>
  <c r="CD221" i="5"/>
  <c r="CI220" i="5"/>
  <c r="CF220" i="5"/>
  <c r="CD220" i="5"/>
  <c r="CI219" i="5"/>
  <c r="CF219" i="5"/>
  <c r="CD219" i="5"/>
  <c r="CI218" i="5"/>
  <c r="CF218" i="5"/>
  <c r="CD218" i="5"/>
  <c r="CI217" i="5"/>
  <c r="CF217" i="5"/>
  <c r="CD217" i="5"/>
  <c r="CI216" i="5"/>
  <c r="CF216" i="5"/>
  <c r="CD216" i="5"/>
  <c r="CI215" i="5"/>
  <c r="CF215" i="5"/>
  <c r="CD215" i="5"/>
  <c r="CI214" i="5"/>
  <c r="CF214" i="5"/>
  <c r="CD214" i="5"/>
  <c r="CI213" i="5"/>
  <c r="CF213" i="5"/>
  <c r="CD213" i="5"/>
  <c r="CI212" i="5"/>
  <c r="CF212" i="5"/>
  <c r="CD212" i="5"/>
  <c r="CI211" i="5"/>
  <c r="CF211" i="5"/>
  <c r="CD211" i="5"/>
  <c r="CI210" i="5"/>
  <c r="CF210" i="5"/>
  <c r="CD210" i="5"/>
  <c r="CI209" i="5"/>
  <c r="CF209" i="5"/>
  <c r="CD209" i="5"/>
  <c r="CI208" i="5"/>
  <c r="CF208" i="5"/>
  <c r="CD208" i="5"/>
  <c r="CI207" i="5"/>
  <c r="CF207" i="5"/>
  <c r="CD207" i="5"/>
  <c r="CI206" i="5"/>
  <c r="CF206" i="5"/>
  <c r="CD206" i="5"/>
  <c r="CI205" i="5"/>
  <c r="CF205" i="5"/>
  <c r="CD205" i="5"/>
  <c r="CI204" i="5"/>
  <c r="CF204" i="5"/>
  <c r="CD204" i="5"/>
  <c r="CI203" i="5"/>
  <c r="CF203" i="5"/>
  <c r="CD203" i="5"/>
  <c r="CI202" i="5"/>
  <c r="CF202" i="5"/>
  <c r="CD202" i="5"/>
  <c r="CI201" i="5"/>
  <c r="CF201" i="5"/>
  <c r="CD201" i="5"/>
  <c r="CI200" i="5"/>
  <c r="CF200" i="5"/>
  <c r="CD200" i="5"/>
  <c r="CI199" i="5"/>
  <c r="CF199" i="5"/>
  <c r="CD199" i="5"/>
  <c r="CI198" i="5"/>
  <c r="CF198" i="5"/>
  <c r="CD198" i="5"/>
  <c r="CI197" i="5"/>
  <c r="CF197" i="5"/>
  <c r="CD197" i="5"/>
  <c r="CI196" i="5"/>
  <c r="CF196" i="5"/>
  <c r="CD196" i="5"/>
  <c r="CI195" i="5"/>
  <c r="CF195" i="5"/>
  <c r="CD195" i="5"/>
  <c r="CI194" i="5"/>
  <c r="CF194" i="5"/>
  <c r="CD194" i="5"/>
  <c r="CI193" i="5"/>
  <c r="CF193" i="5"/>
  <c r="CD193" i="5"/>
  <c r="CI192" i="5"/>
  <c r="CF192" i="5"/>
  <c r="CD192" i="5"/>
  <c r="CI191" i="5"/>
  <c r="CF191" i="5"/>
  <c r="CD191" i="5"/>
  <c r="CI190" i="5"/>
  <c r="CF190" i="5"/>
  <c r="CD190" i="5"/>
  <c r="CI189" i="5"/>
  <c r="CF189" i="5"/>
  <c r="CD189" i="5"/>
  <c r="CI188" i="5"/>
  <c r="CF188" i="5"/>
  <c r="CD188" i="5"/>
  <c r="CI187" i="5"/>
  <c r="CF187" i="5"/>
  <c r="CD187" i="5"/>
  <c r="CI186" i="5"/>
  <c r="CF186" i="5"/>
  <c r="CD186" i="5"/>
  <c r="CI185" i="5"/>
  <c r="CF185" i="5"/>
  <c r="CD185" i="5"/>
  <c r="CI184" i="5"/>
  <c r="CF184" i="5"/>
  <c r="CD184" i="5"/>
  <c r="CI183" i="5"/>
  <c r="CF183" i="5"/>
  <c r="CD183" i="5"/>
  <c r="CI182" i="5"/>
  <c r="CF182" i="5"/>
  <c r="CD182" i="5"/>
  <c r="CI181" i="5"/>
  <c r="CF181" i="5"/>
  <c r="CD181" i="5"/>
  <c r="CI180" i="5"/>
  <c r="CF180" i="5"/>
  <c r="CD180" i="5"/>
  <c r="CI179" i="5"/>
  <c r="CF179" i="5"/>
  <c r="CD179" i="5"/>
  <c r="CI178" i="5"/>
  <c r="CF178" i="5"/>
  <c r="CD178" i="5"/>
  <c r="CI177" i="5"/>
  <c r="CF177" i="5"/>
  <c r="CD177" i="5"/>
  <c r="CI176" i="5"/>
  <c r="CF176" i="5"/>
  <c r="CD176" i="5"/>
  <c r="CI175" i="5"/>
  <c r="CF175" i="5"/>
  <c r="CD175" i="5"/>
  <c r="CI174" i="5"/>
  <c r="CF174" i="5"/>
  <c r="CD174" i="5"/>
  <c r="CI173" i="5"/>
  <c r="CF173" i="5"/>
  <c r="CD173" i="5"/>
  <c r="CI172" i="5"/>
  <c r="CF172" i="5"/>
  <c r="CD172" i="5"/>
  <c r="CI171" i="5"/>
  <c r="CF171" i="5"/>
  <c r="CD171" i="5"/>
  <c r="CI170" i="5"/>
  <c r="CF170" i="5"/>
  <c r="CD170" i="5"/>
  <c r="CI169" i="5"/>
  <c r="CF169" i="5"/>
  <c r="CD169" i="5"/>
  <c r="CI168" i="5"/>
  <c r="CF168" i="5"/>
  <c r="CD168" i="5"/>
  <c r="CI167" i="5"/>
  <c r="CF167" i="5"/>
  <c r="CD167" i="5"/>
  <c r="CI166" i="5"/>
  <c r="CF166" i="5"/>
  <c r="CD166" i="5"/>
  <c r="CI165" i="5"/>
  <c r="CF165" i="5"/>
  <c r="CD165" i="5"/>
  <c r="CI164" i="5"/>
  <c r="CF164" i="5"/>
  <c r="CD164" i="5"/>
  <c r="CI163" i="5"/>
  <c r="CF163" i="5"/>
  <c r="CD163" i="5"/>
  <c r="CI162" i="5"/>
  <c r="CF162" i="5"/>
  <c r="CD162" i="5"/>
  <c r="CI161" i="5"/>
  <c r="CF161" i="5"/>
  <c r="CD161" i="5"/>
  <c r="CI160" i="5"/>
  <c r="CF160" i="5"/>
  <c r="CD160" i="5"/>
  <c r="CI159" i="5"/>
  <c r="CF159" i="5"/>
  <c r="CD159" i="5"/>
  <c r="CI158" i="5"/>
  <c r="CF158" i="5"/>
  <c r="CD158" i="5"/>
  <c r="CI157" i="5"/>
  <c r="CF157" i="5"/>
  <c r="CD157" i="5"/>
  <c r="CI156" i="5"/>
  <c r="CF156" i="5"/>
  <c r="CD156" i="5"/>
  <c r="CI155" i="5"/>
  <c r="CF155" i="5"/>
  <c r="CD155" i="5"/>
  <c r="CI154" i="5"/>
  <c r="CF154" i="5"/>
  <c r="CD154" i="5"/>
  <c r="CI153" i="5"/>
  <c r="CF153" i="5"/>
  <c r="CD153" i="5"/>
  <c r="CI152" i="5"/>
  <c r="CF152" i="5"/>
  <c r="CD152" i="5"/>
  <c r="CI151" i="5"/>
  <c r="CF151" i="5"/>
  <c r="CD151" i="5"/>
  <c r="CI150" i="5"/>
  <c r="CF150" i="5"/>
  <c r="CD150" i="5"/>
  <c r="CI149" i="5"/>
  <c r="CF149" i="5"/>
  <c r="CD149" i="5"/>
  <c r="CI148" i="5"/>
  <c r="CF148" i="5"/>
  <c r="CD148" i="5"/>
  <c r="CI147" i="5"/>
  <c r="CF147" i="5"/>
  <c r="CD147" i="5"/>
  <c r="CI146" i="5"/>
  <c r="CF146" i="5"/>
  <c r="CD146" i="5"/>
  <c r="CI145" i="5"/>
  <c r="CF145" i="5"/>
  <c r="CD145" i="5"/>
  <c r="CI144" i="5"/>
  <c r="CF144" i="5"/>
  <c r="CD144" i="5"/>
  <c r="CI143" i="5"/>
  <c r="CF143" i="5"/>
  <c r="CD143" i="5"/>
  <c r="CI142" i="5"/>
  <c r="CF142" i="5"/>
  <c r="CD142" i="5"/>
  <c r="CI141" i="5"/>
  <c r="CF141" i="5"/>
  <c r="CD141" i="5"/>
  <c r="CI140" i="5"/>
  <c r="CF140" i="5"/>
  <c r="CD140" i="5"/>
  <c r="CI139" i="5"/>
  <c r="CF139" i="5"/>
  <c r="CD139" i="5"/>
  <c r="CI138" i="5"/>
  <c r="CF138" i="5"/>
  <c r="CD138" i="5"/>
  <c r="CI137" i="5"/>
  <c r="CF137" i="5"/>
  <c r="CD137" i="5"/>
  <c r="CI136" i="5"/>
  <c r="CF136" i="5"/>
  <c r="CD136" i="5"/>
  <c r="CI135" i="5"/>
  <c r="CF135" i="5"/>
  <c r="CD135" i="5"/>
  <c r="CI134" i="5"/>
  <c r="CF134" i="5"/>
  <c r="CD134" i="5"/>
  <c r="CI133" i="5"/>
  <c r="CF133" i="5"/>
  <c r="CD133" i="5"/>
  <c r="CI132" i="5"/>
  <c r="CF132" i="5"/>
  <c r="CD132" i="5"/>
  <c r="CI131" i="5"/>
  <c r="CF131" i="5"/>
  <c r="CD131" i="5"/>
  <c r="CI130" i="5"/>
  <c r="CF130" i="5"/>
  <c r="CD130" i="5"/>
  <c r="CI129" i="5"/>
  <c r="CF129" i="5"/>
  <c r="CD129" i="5"/>
  <c r="CI128" i="5"/>
  <c r="CF128" i="5"/>
  <c r="CD128" i="5"/>
  <c r="CI127" i="5"/>
  <c r="CF127" i="5"/>
  <c r="CD127" i="5"/>
  <c r="CI126" i="5"/>
  <c r="CF126" i="5"/>
  <c r="CD126" i="5"/>
  <c r="CI125" i="5"/>
  <c r="CF125" i="5"/>
  <c r="CD125" i="5"/>
  <c r="CI124" i="5"/>
  <c r="CF124" i="5"/>
  <c r="CD124" i="5"/>
  <c r="CI123" i="5"/>
  <c r="CF123" i="5"/>
  <c r="CD123" i="5"/>
  <c r="CI122" i="5"/>
  <c r="CF122" i="5"/>
  <c r="CD122" i="5"/>
  <c r="CI121" i="5"/>
  <c r="CF121" i="5"/>
  <c r="CD121" i="5"/>
  <c r="CI120" i="5"/>
  <c r="CF120" i="5"/>
  <c r="CD120" i="5"/>
  <c r="CI119" i="5"/>
  <c r="CF119" i="5"/>
  <c r="CD119" i="5"/>
  <c r="CI118" i="5"/>
  <c r="CF118" i="5"/>
  <c r="CD118" i="5"/>
  <c r="CI117" i="5"/>
  <c r="CF117" i="5"/>
  <c r="CD117" i="5"/>
  <c r="CI116" i="5"/>
  <c r="CF116" i="5"/>
  <c r="CD116" i="5"/>
  <c r="CI115" i="5"/>
  <c r="CF115" i="5"/>
  <c r="CD115" i="5"/>
  <c r="CI114" i="5"/>
  <c r="CF114" i="5"/>
  <c r="CD114" i="5"/>
  <c r="CI113" i="5"/>
  <c r="CF113" i="5"/>
  <c r="CD113" i="5"/>
  <c r="CI112" i="5"/>
  <c r="CF112" i="5"/>
  <c r="CD112" i="5"/>
  <c r="CI111" i="5"/>
  <c r="CF111" i="5"/>
  <c r="CD111" i="5"/>
  <c r="CI110" i="5"/>
  <c r="CF110" i="5"/>
  <c r="CD110" i="5"/>
  <c r="CI109" i="5"/>
  <c r="CF109" i="5"/>
  <c r="CD109" i="5"/>
  <c r="CI108" i="5"/>
  <c r="CF108" i="5"/>
  <c r="CD108" i="5"/>
  <c r="CI107" i="5"/>
  <c r="CF107" i="5"/>
  <c r="CD107" i="5"/>
  <c r="CI106" i="5"/>
  <c r="CF106" i="5"/>
  <c r="CD106" i="5"/>
  <c r="CI105" i="5"/>
  <c r="CF105" i="5"/>
  <c r="CD105" i="5"/>
  <c r="CI104" i="5"/>
  <c r="CF104" i="5"/>
  <c r="CD104" i="5"/>
  <c r="CI103" i="5"/>
  <c r="CF103" i="5"/>
  <c r="CD103" i="5"/>
  <c r="CI102" i="5"/>
  <c r="CF102" i="5"/>
  <c r="CD102" i="5"/>
  <c r="CI101" i="5"/>
  <c r="CF101" i="5"/>
  <c r="CD101" i="5"/>
  <c r="CI100" i="5"/>
  <c r="CF100" i="5"/>
  <c r="CD100" i="5"/>
  <c r="CI99" i="5"/>
  <c r="CF99" i="5"/>
  <c r="CD99" i="5"/>
  <c r="CI98" i="5"/>
  <c r="CF98" i="5"/>
  <c r="CD98" i="5"/>
  <c r="CI97" i="5"/>
  <c r="CF97" i="5"/>
  <c r="CD97" i="5"/>
  <c r="CI96" i="5"/>
  <c r="CF96" i="5"/>
  <c r="CD96" i="5"/>
  <c r="CI95" i="5"/>
  <c r="CF95" i="5"/>
  <c r="CD95" i="5"/>
  <c r="CI94" i="5"/>
  <c r="CF94" i="5"/>
  <c r="CD94" i="5"/>
  <c r="CI93" i="5"/>
  <c r="CF93" i="5"/>
  <c r="CD93" i="5"/>
  <c r="CI92" i="5"/>
  <c r="CF92" i="5"/>
  <c r="CD92" i="5"/>
  <c r="CI91" i="5"/>
  <c r="CF91" i="5"/>
  <c r="CD91" i="5"/>
  <c r="CI90" i="5"/>
  <c r="CF90" i="5"/>
  <c r="CD90" i="5"/>
  <c r="CI89" i="5"/>
  <c r="CF89" i="5"/>
  <c r="CD89" i="5"/>
  <c r="CI88" i="5"/>
  <c r="CF88" i="5"/>
  <c r="CD88" i="5"/>
  <c r="CI87" i="5"/>
  <c r="CF87" i="5"/>
  <c r="CD87" i="5"/>
  <c r="CI86" i="5"/>
  <c r="CF86" i="5"/>
  <c r="CD86" i="5"/>
  <c r="CI85" i="5"/>
  <c r="CF85" i="5"/>
  <c r="CD85" i="5"/>
  <c r="CI84" i="5"/>
  <c r="CF84" i="5"/>
  <c r="CD84" i="5"/>
  <c r="CI83" i="5"/>
  <c r="CF83" i="5"/>
  <c r="CD83" i="5"/>
  <c r="CI82" i="5"/>
  <c r="CF82" i="5"/>
  <c r="CD82" i="5"/>
  <c r="CI81" i="5"/>
  <c r="CF81" i="5"/>
  <c r="CD81" i="5"/>
  <c r="CI80" i="5"/>
  <c r="CF80" i="5"/>
  <c r="CD80" i="5"/>
  <c r="CI79" i="5"/>
  <c r="CF79" i="5"/>
  <c r="CD79" i="5"/>
  <c r="CI78" i="5"/>
  <c r="CF78" i="5"/>
  <c r="CD78" i="5"/>
  <c r="CI77" i="5"/>
  <c r="CF77" i="5"/>
  <c r="CD77" i="5"/>
  <c r="CI76" i="5"/>
  <c r="CF76" i="5"/>
  <c r="CD76" i="5"/>
  <c r="CI75" i="5"/>
  <c r="CF75" i="5"/>
  <c r="CD75" i="5"/>
  <c r="CI74" i="5"/>
  <c r="CF74" i="5"/>
  <c r="CD74" i="5"/>
  <c r="CI73" i="5"/>
  <c r="CF73" i="5"/>
  <c r="CD73" i="5"/>
  <c r="CI72" i="5"/>
  <c r="CF72" i="5"/>
  <c r="CD72" i="5"/>
  <c r="CI70" i="5"/>
  <c r="CF70" i="5"/>
  <c r="CD70" i="5"/>
  <c r="CI69" i="5"/>
  <c r="CF69" i="5"/>
  <c r="CD69" i="5"/>
  <c r="CI68" i="5"/>
  <c r="CF68" i="5"/>
  <c r="CD68" i="5"/>
  <c r="CI67" i="5"/>
  <c r="CF67" i="5"/>
  <c r="CD67" i="5"/>
  <c r="CI66" i="5"/>
  <c r="CF66" i="5"/>
  <c r="CD66" i="5"/>
  <c r="CI65" i="5"/>
  <c r="CF65" i="5"/>
  <c r="CD65" i="5"/>
  <c r="CI64" i="5"/>
  <c r="CF64" i="5"/>
  <c r="CD64" i="5"/>
  <c r="CI63" i="5"/>
  <c r="CF63" i="5"/>
  <c r="CD63" i="5"/>
  <c r="CI62" i="5"/>
  <c r="CF62" i="5"/>
  <c r="CD62" i="5"/>
  <c r="CI61" i="5"/>
  <c r="CF61" i="5"/>
  <c r="CD61" i="5"/>
  <c r="CI60" i="5"/>
  <c r="CF60" i="5"/>
  <c r="CD60" i="5"/>
  <c r="CI59" i="5"/>
  <c r="CF59" i="5"/>
  <c r="CD59" i="5"/>
  <c r="CI58" i="5"/>
  <c r="CF58" i="5"/>
  <c r="CD58" i="5"/>
  <c r="CI57" i="5"/>
  <c r="CF57" i="5"/>
  <c r="CD57" i="5"/>
  <c r="CI56" i="5"/>
  <c r="CF56" i="5"/>
  <c r="CD56" i="5"/>
  <c r="CI55" i="5"/>
  <c r="CF55" i="5"/>
  <c r="CD55" i="5"/>
  <c r="CI54" i="5"/>
  <c r="CF54" i="5"/>
  <c r="CD54" i="5"/>
  <c r="CI53" i="5"/>
  <c r="CF53" i="5"/>
  <c r="CD53" i="5"/>
  <c r="CI52" i="5"/>
  <c r="CF52" i="5"/>
  <c r="CD52" i="5"/>
  <c r="CI51" i="5"/>
  <c r="CF51" i="5"/>
  <c r="CD51" i="5"/>
  <c r="CI50" i="5"/>
  <c r="CF50" i="5"/>
  <c r="CD50" i="5"/>
  <c r="CI49" i="5"/>
  <c r="CF49" i="5"/>
  <c r="CD49" i="5"/>
  <c r="CI48" i="5"/>
  <c r="CF48" i="5"/>
  <c r="CD48" i="5"/>
  <c r="CI47" i="5"/>
  <c r="CF47" i="5"/>
  <c r="CD47" i="5"/>
  <c r="CI46" i="5"/>
  <c r="CF46" i="5"/>
  <c r="CD46" i="5"/>
  <c r="CI45" i="5"/>
  <c r="CF45" i="5"/>
  <c r="CD45" i="5"/>
  <c r="CI44" i="5"/>
  <c r="CF44" i="5"/>
  <c r="CD44" i="5"/>
  <c r="CI43" i="5"/>
  <c r="CF43" i="5"/>
  <c r="CD43" i="5"/>
  <c r="CI42" i="5"/>
  <c r="CF42" i="5"/>
  <c r="CD42" i="5"/>
  <c r="CI41" i="5"/>
  <c r="CF41" i="5"/>
  <c r="CD41" i="5"/>
  <c r="CI40" i="5"/>
  <c r="CF40" i="5"/>
  <c r="CD40" i="5"/>
  <c r="CI39" i="5"/>
  <c r="CF39" i="5"/>
  <c r="CD39" i="5"/>
  <c r="CI38" i="5"/>
  <c r="CF38" i="5"/>
  <c r="CD38" i="5"/>
  <c r="CI37" i="5"/>
  <c r="CF37" i="5"/>
  <c r="CD37" i="5"/>
  <c r="CI36" i="5"/>
  <c r="CF36" i="5"/>
  <c r="CD36" i="5"/>
  <c r="CI35" i="5"/>
  <c r="CF35" i="5"/>
  <c r="CD35" i="5"/>
  <c r="CI34" i="5"/>
  <c r="CF34" i="5"/>
  <c r="CD34" i="5"/>
  <c r="CI33" i="5"/>
  <c r="CF33" i="5"/>
  <c r="CD33" i="5"/>
  <c r="CI32" i="5"/>
  <c r="CF32" i="5"/>
  <c r="CD32" i="5"/>
  <c r="CI31" i="5"/>
  <c r="CF31" i="5"/>
  <c r="CD31" i="5"/>
  <c r="CI30" i="5"/>
  <c r="CF30" i="5"/>
  <c r="CD30" i="5"/>
  <c r="CI29" i="5"/>
  <c r="CF29" i="5"/>
  <c r="CD29" i="5"/>
  <c r="CI28" i="5"/>
  <c r="CF28" i="5"/>
  <c r="CD28" i="5"/>
  <c r="CI27" i="5"/>
  <c r="CF27" i="5"/>
  <c r="CD27" i="5"/>
  <c r="CI26" i="5"/>
  <c r="CF26" i="5"/>
  <c r="CD26" i="5"/>
  <c r="CI25" i="5"/>
  <c r="CF25" i="5"/>
  <c r="CD25" i="5"/>
  <c r="CI24" i="5"/>
  <c r="CF24" i="5"/>
  <c r="CD24" i="5"/>
  <c r="CI23" i="5"/>
  <c r="CF23" i="5"/>
  <c r="CD23" i="5"/>
  <c r="CI22" i="5"/>
  <c r="CF22" i="5"/>
  <c r="CD22" i="5"/>
  <c r="CI21" i="5"/>
  <c r="CF21" i="5"/>
  <c r="CD21" i="5"/>
  <c r="CI20" i="5"/>
  <c r="CF20" i="5"/>
  <c r="CD20" i="5"/>
  <c r="CI19" i="5"/>
  <c r="CF19" i="5"/>
  <c r="CD19" i="5"/>
  <c r="CI18" i="5"/>
  <c r="CF18" i="5"/>
  <c r="CD18" i="5"/>
  <c r="CK17" i="5"/>
  <c r="CI17" i="5"/>
  <c r="CD17" i="5"/>
  <c r="W28" i="87" l="1"/>
  <c r="W28" i="85"/>
  <c r="AT31" i="89"/>
  <c r="AH33" i="89"/>
  <c r="AL32" i="89"/>
  <c r="AT32" i="89" s="1"/>
  <c r="AX32" i="89" s="1"/>
  <c r="U32" i="89" s="1"/>
  <c r="W32" i="89" s="1"/>
  <c r="Y32" i="89" s="1"/>
  <c r="W28" i="89"/>
  <c r="AT31" i="86"/>
  <c r="AH33" i="86"/>
  <c r="AL32" i="86"/>
  <c r="AT32" i="86" s="1"/>
  <c r="AX32" i="86" s="1"/>
  <c r="U32" i="86" s="1"/>
  <c r="W32" i="86" s="1"/>
  <c r="Y32" i="86" s="1"/>
  <c r="AT31" i="87"/>
  <c r="AH33" i="87"/>
  <c r="AL32" i="87"/>
  <c r="AT32" i="87" s="1"/>
  <c r="AX32" i="87" s="1"/>
  <c r="U32" i="87" s="1"/>
  <c r="W32" i="87" s="1"/>
  <c r="Y32" i="87" s="1"/>
  <c r="AH33" i="85"/>
  <c r="AL32" i="85"/>
  <c r="W28" i="86"/>
  <c r="Y28" i="84"/>
  <c r="AH34" i="84"/>
  <c r="AL33" i="84"/>
  <c r="AT33" i="84" s="1"/>
  <c r="AX33" i="84" s="1"/>
  <c r="U33" i="84" s="1"/>
  <c r="W33" i="84" s="1"/>
  <c r="Y33" i="84" s="1"/>
  <c r="AX31" i="84"/>
  <c r="E28" i="76"/>
  <c r="E57" i="76"/>
  <c r="E41" i="76"/>
  <c r="E46" i="76"/>
  <c r="E30" i="76"/>
  <c r="E45" i="76"/>
  <c r="E29" i="76"/>
  <c r="M29" i="76" s="1"/>
  <c r="E44" i="76"/>
  <c r="E42" i="76"/>
  <c r="E39" i="76"/>
  <c r="E38" i="76"/>
  <c r="E56" i="76"/>
  <c r="E40" i="76"/>
  <c r="E53" i="76"/>
  <c r="E54" i="76"/>
  <c r="E55" i="76"/>
  <c r="E35" i="76"/>
  <c r="E49" i="76"/>
  <c r="E33" i="76"/>
  <c r="E43" i="76"/>
  <c r="E58" i="76"/>
  <c r="E37" i="76"/>
  <c r="E52" i="76"/>
  <c r="E36" i="76"/>
  <c r="E51" i="76"/>
  <c r="E34" i="76"/>
  <c r="E48" i="76"/>
  <c r="E32" i="76"/>
  <c r="E50" i="76"/>
  <c r="E47" i="76"/>
  <c r="E31" i="76"/>
  <c r="AH34" i="86" l="1"/>
  <c r="AL33" i="86"/>
  <c r="AT33" i="86" s="1"/>
  <c r="AX33" i="86" s="1"/>
  <c r="U33" i="86" s="1"/>
  <c r="W33" i="86" s="1"/>
  <c r="Y33" i="86" s="1"/>
  <c r="Y28" i="86"/>
  <c r="AX31" i="89"/>
  <c r="AX31" i="86"/>
  <c r="Y28" i="89"/>
  <c r="AT32" i="85"/>
  <c r="AH34" i="89"/>
  <c r="AL33" i="89"/>
  <c r="AH34" i="85"/>
  <c r="AL33" i="85"/>
  <c r="AT33" i="85" s="1"/>
  <c r="AX33" i="85" s="1"/>
  <c r="U33" i="85" s="1"/>
  <c r="W33" i="85" s="1"/>
  <c r="Y33" i="85" s="1"/>
  <c r="AH34" i="87"/>
  <c r="AL33" i="87"/>
  <c r="Y28" i="85"/>
  <c r="AX31" i="87"/>
  <c r="Y28" i="87"/>
  <c r="U31" i="84"/>
  <c r="AH35" i="84"/>
  <c r="AL34" i="84"/>
  <c r="M30" i="76"/>
  <c r="M31" i="76" s="1"/>
  <c r="M32" i="76" s="1"/>
  <c r="M33" i="76" s="1"/>
  <c r="M34" i="76" s="1"/>
  <c r="M35" i="76" s="1"/>
  <c r="M36" i="76" s="1"/>
  <c r="M37" i="76" s="1"/>
  <c r="M38" i="76" s="1"/>
  <c r="M39" i="76" s="1"/>
  <c r="M40" i="76" s="1"/>
  <c r="M41" i="76" s="1"/>
  <c r="M42" i="76" s="1"/>
  <c r="M43" i="76" s="1"/>
  <c r="M44" i="76" s="1"/>
  <c r="M45" i="76" s="1"/>
  <c r="M46" i="76" s="1"/>
  <c r="M47" i="76" s="1"/>
  <c r="M48" i="76" s="1"/>
  <c r="M49" i="76" s="1"/>
  <c r="M50" i="76" s="1"/>
  <c r="M51" i="76" s="1"/>
  <c r="M52" i="76" s="1"/>
  <c r="M53" i="76" s="1"/>
  <c r="M54" i="76" s="1"/>
  <c r="M55" i="76" s="1"/>
  <c r="M56" i="76" s="1"/>
  <c r="M57" i="76" s="1"/>
  <c r="O29" i="76"/>
  <c r="AR28" i="76"/>
  <c r="BD28" i="76"/>
  <c r="BB28" i="76"/>
  <c r="AH28" i="76"/>
  <c r="AJ28" i="76"/>
  <c r="AF28" i="76"/>
  <c r="AH35" i="89" l="1"/>
  <c r="AL34" i="89"/>
  <c r="AT34" i="89" s="1"/>
  <c r="AX34" i="89" s="1"/>
  <c r="U34" i="89" s="1"/>
  <c r="W34" i="89" s="1"/>
  <c r="Y34" i="89" s="1"/>
  <c r="AT33" i="89"/>
  <c r="AX32" i="85"/>
  <c r="AH35" i="85"/>
  <c r="AL34" i="85"/>
  <c r="AT33" i="87"/>
  <c r="U31" i="86"/>
  <c r="U31" i="87"/>
  <c r="U31" i="89"/>
  <c r="AH35" i="87"/>
  <c r="AL34" i="87"/>
  <c r="AT34" i="87" s="1"/>
  <c r="AX34" i="87" s="1"/>
  <c r="U34" i="87" s="1"/>
  <c r="W34" i="87" s="1"/>
  <c r="Y34" i="87" s="1"/>
  <c r="AH35" i="86"/>
  <c r="AL34" i="86"/>
  <c r="M61" i="76"/>
  <c r="AT34" i="84"/>
  <c r="AH36" i="84"/>
  <c r="AL35" i="84"/>
  <c r="AT35" i="84" s="1"/>
  <c r="AX35" i="84" s="1"/>
  <c r="U35" i="84" s="1"/>
  <c r="W35" i="84" s="1"/>
  <c r="Y35" i="84" s="1"/>
  <c r="W31" i="84"/>
  <c r="BB29" i="76"/>
  <c r="BF28" i="76"/>
  <c r="BD29" i="76"/>
  <c r="BD30" i="76" s="1"/>
  <c r="BD31" i="76" s="1"/>
  <c r="BD32" i="76" s="1"/>
  <c r="BD33" i="76" s="1"/>
  <c r="BD34" i="76" s="1"/>
  <c r="BD35" i="76" s="1"/>
  <c r="BD36" i="76" s="1"/>
  <c r="BD37" i="76" s="1"/>
  <c r="BD38" i="76" s="1"/>
  <c r="BD39" i="76" s="1"/>
  <c r="BD40" i="76" s="1"/>
  <c r="BD41" i="76" s="1"/>
  <c r="BD42" i="76" s="1"/>
  <c r="BD43" i="76" s="1"/>
  <c r="BD44" i="76" s="1"/>
  <c r="BD45" i="76" s="1"/>
  <c r="BD46" i="76" s="1"/>
  <c r="BD47" i="76" s="1"/>
  <c r="BD48" i="76" s="1"/>
  <c r="BD49" i="76" s="1"/>
  <c r="BD50" i="76" s="1"/>
  <c r="BD51" i="76" s="1"/>
  <c r="BD52" i="76" s="1"/>
  <c r="BD53" i="76" s="1"/>
  <c r="BD54" i="76" s="1"/>
  <c r="BD55" i="76" s="1"/>
  <c r="BD56" i="76" s="1"/>
  <c r="BD57" i="76" s="1"/>
  <c r="BD58" i="76" s="1"/>
  <c r="AR29" i="76"/>
  <c r="AR30" i="76" s="1"/>
  <c r="AR31" i="76" s="1"/>
  <c r="AR32" i="76" s="1"/>
  <c r="AR33" i="76" s="1"/>
  <c r="AR34" i="76" s="1"/>
  <c r="AR35" i="76" s="1"/>
  <c r="AR36" i="76" s="1"/>
  <c r="AR37" i="76" s="1"/>
  <c r="AR38" i="76" s="1"/>
  <c r="AR39" i="76" s="1"/>
  <c r="AR40" i="76" s="1"/>
  <c r="AR41" i="76" s="1"/>
  <c r="AR42" i="76" s="1"/>
  <c r="AR43" i="76" s="1"/>
  <c r="AR44" i="76" s="1"/>
  <c r="AR45" i="76" s="1"/>
  <c r="AR46" i="76" s="1"/>
  <c r="AR47" i="76" s="1"/>
  <c r="AR48" i="76" s="1"/>
  <c r="AR49" i="76" s="1"/>
  <c r="AR50" i="76" s="1"/>
  <c r="AR51" i="76" s="1"/>
  <c r="AR52" i="76" s="1"/>
  <c r="AR53" i="76" s="1"/>
  <c r="AR54" i="76" s="1"/>
  <c r="AR55" i="76" s="1"/>
  <c r="AR56" i="76" s="1"/>
  <c r="AR57" i="76" s="1"/>
  <c r="AR58" i="76" s="1"/>
  <c r="O30" i="76"/>
  <c r="AF29" i="76"/>
  <c r="AL28" i="76"/>
  <c r="AJ29" i="76"/>
  <c r="AJ30" i="76" s="1"/>
  <c r="AJ31" i="76" s="1"/>
  <c r="AJ32" i="76" s="1"/>
  <c r="AJ33" i="76" s="1"/>
  <c r="AJ34" i="76" s="1"/>
  <c r="AJ35" i="76" s="1"/>
  <c r="AJ36" i="76" s="1"/>
  <c r="AJ37" i="76" s="1"/>
  <c r="AJ38" i="76" s="1"/>
  <c r="AJ39" i="76" s="1"/>
  <c r="AJ40" i="76" s="1"/>
  <c r="AJ41" i="76" s="1"/>
  <c r="AJ42" i="76" s="1"/>
  <c r="AJ43" i="76" s="1"/>
  <c r="AJ44" i="76" s="1"/>
  <c r="AJ45" i="76" s="1"/>
  <c r="AJ46" i="76" s="1"/>
  <c r="AJ47" i="76" s="1"/>
  <c r="AJ48" i="76" s="1"/>
  <c r="AJ49" i="76" s="1"/>
  <c r="AJ50" i="76" s="1"/>
  <c r="AJ51" i="76" s="1"/>
  <c r="AJ52" i="76" s="1"/>
  <c r="AJ53" i="76" s="1"/>
  <c r="AJ54" i="76" s="1"/>
  <c r="AJ55" i="76" s="1"/>
  <c r="AJ56" i="76" s="1"/>
  <c r="AJ57" i="76" s="1"/>
  <c r="AJ58" i="76" s="1"/>
  <c r="AH29" i="76"/>
  <c r="AH30" i="76" s="1"/>
  <c r="AH31" i="76" s="1"/>
  <c r="AH32" i="76" s="1"/>
  <c r="AH33" i="76" s="1"/>
  <c r="AH34" i="76" s="1"/>
  <c r="AH35" i="76" s="1"/>
  <c r="AH36" i="76" s="1"/>
  <c r="AH37" i="76" s="1"/>
  <c r="AH38" i="76" s="1"/>
  <c r="AH39" i="76" s="1"/>
  <c r="AH40" i="76" s="1"/>
  <c r="AH41" i="76" s="1"/>
  <c r="AH42" i="76" s="1"/>
  <c r="AH43" i="76" s="1"/>
  <c r="AH44" i="76" s="1"/>
  <c r="AH45" i="76" s="1"/>
  <c r="AH46" i="76" s="1"/>
  <c r="AH47" i="76" s="1"/>
  <c r="AH48" i="76" s="1"/>
  <c r="AH49" i="76" s="1"/>
  <c r="AH50" i="76" s="1"/>
  <c r="AH51" i="76" s="1"/>
  <c r="AH52" i="76" s="1"/>
  <c r="AH53" i="76" s="1"/>
  <c r="AH54" i="76" s="1"/>
  <c r="AH55" i="76" s="1"/>
  <c r="AH56" i="76" s="1"/>
  <c r="AH57" i="76" s="1"/>
  <c r="AH58" i="76" s="1"/>
  <c r="S29" i="76"/>
  <c r="AH36" i="85" l="1"/>
  <c r="AL35" i="85"/>
  <c r="AT35" i="85" s="1"/>
  <c r="AX35" i="85" s="1"/>
  <c r="U35" i="85" s="1"/>
  <c r="W35" i="85" s="1"/>
  <c r="Y35" i="85" s="1"/>
  <c r="W31" i="86"/>
  <c r="AX33" i="87"/>
  <c r="AT34" i="85"/>
  <c r="U32" i="85"/>
  <c r="AX33" i="89"/>
  <c r="W31" i="87"/>
  <c r="AT34" i="86"/>
  <c r="AH36" i="86"/>
  <c r="AL35" i="86"/>
  <c r="AT35" i="86" s="1"/>
  <c r="AX35" i="86" s="1"/>
  <c r="U35" i="86" s="1"/>
  <c r="W35" i="86" s="1"/>
  <c r="Y35" i="86" s="1"/>
  <c r="AH36" i="87"/>
  <c r="AL35" i="87"/>
  <c r="W31" i="89"/>
  <c r="AH36" i="89"/>
  <c r="AL35" i="89"/>
  <c r="Y31" i="84"/>
  <c r="AH37" i="84"/>
  <c r="AL36" i="84"/>
  <c r="AT36" i="84" s="1"/>
  <c r="AX36" i="84" s="1"/>
  <c r="U36" i="84" s="1"/>
  <c r="W36" i="84" s="1"/>
  <c r="Y36" i="84" s="1"/>
  <c r="AX34" i="84"/>
  <c r="BD61" i="76"/>
  <c r="AR61" i="76"/>
  <c r="AJ61" i="76"/>
  <c r="AH61" i="76"/>
  <c r="AT28" i="76"/>
  <c r="AL29" i="76"/>
  <c r="AF30" i="76"/>
  <c r="BB30" i="76"/>
  <c r="BF29" i="76"/>
  <c r="O31" i="76"/>
  <c r="S30" i="76"/>
  <c r="U33" i="89" l="1"/>
  <c r="AX34" i="85"/>
  <c r="AH37" i="89"/>
  <c r="AL36" i="89"/>
  <c r="AT36" i="89" s="1"/>
  <c r="AX36" i="89" s="1"/>
  <c r="U36" i="89" s="1"/>
  <c r="W36" i="89" s="1"/>
  <c r="Y36" i="89" s="1"/>
  <c r="W32" i="85"/>
  <c r="AT35" i="89"/>
  <c r="Y31" i="89"/>
  <c r="U33" i="87"/>
  <c r="Y31" i="87"/>
  <c r="AH37" i="87"/>
  <c r="AL36" i="87"/>
  <c r="AT36" i="87" s="1"/>
  <c r="AX36" i="87" s="1"/>
  <c r="U36" i="87" s="1"/>
  <c r="W36" i="87" s="1"/>
  <c r="Y36" i="87" s="1"/>
  <c r="Y31" i="86"/>
  <c r="AX34" i="86"/>
  <c r="AT35" i="87"/>
  <c r="AH37" i="86"/>
  <c r="AL36" i="86"/>
  <c r="AT36" i="86" s="1"/>
  <c r="AX36" i="86" s="1"/>
  <c r="U36" i="86" s="1"/>
  <c r="W36" i="86" s="1"/>
  <c r="Y36" i="86" s="1"/>
  <c r="AH37" i="85"/>
  <c r="AL36" i="85"/>
  <c r="AT36" i="85" s="1"/>
  <c r="AX36" i="85" s="1"/>
  <c r="U36" i="85" s="1"/>
  <c r="W36" i="85" s="1"/>
  <c r="Y36" i="85" s="1"/>
  <c r="U34" i="84"/>
  <c r="AH38" i="84"/>
  <c r="AL37" i="84"/>
  <c r="AT37" i="84" s="1"/>
  <c r="AT29" i="76"/>
  <c r="AL30" i="76"/>
  <c r="AF31" i="76"/>
  <c r="BF30" i="76"/>
  <c r="BB31" i="76"/>
  <c r="O32" i="76"/>
  <c r="AH38" i="85" l="1"/>
  <c r="AL37" i="85"/>
  <c r="AT37" i="85" s="1"/>
  <c r="AX37" i="85" s="1"/>
  <c r="U37" i="85" s="1"/>
  <c r="W37" i="85" s="1"/>
  <c r="Y37" i="85" s="1"/>
  <c r="W33" i="87"/>
  <c r="AX35" i="87"/>
  <c r="AH38" i="86"/>
  <c r="AL37" i="86"/>
  <c r="AT37" i="86" s="1"/>
  <c r="AX37" i="86" s="1"/>
  <c r="U37" i="86" s="1"/>
  <c r="W37" i="86" s="1"/>
  <c r="Y37" i="86" s="1"/>
  <c r="U34" i="86"/>
  <c r="U34" i="85"/>
  <c r="AH38" i="87"/>
  <c r="AL37" i="87"/>
  <c r="AT37" i="87" s="1"/>
  <c r="AX37" i="87" s="1"/>
  <c r="U37" i="87" s="1"/>
  <c r="W37" i="87" s="1"/>
  <c r="Y37" i="87" s="1"/>
  <c r="AX35" i="89"/>
  <c r="Y32" i="85"/>
  <c r="AH38" i="89"/>
  <c r="AL37" i="89"/>
  <c r="AT37" i="89" s="1"/>
  <c r="AX37" i="89" s="1"/>
  <c r="U37" i="89" s="1"/>
  <c r="W37" i="89" s="1"/>
  <c r="Y37" i="89" s="1"/>
  <c r="W33" i="89"/>
  <c r="AX37" i="84"/>
  <c r="AH39" i="84"/>
  <c r="AL38" i="84"/>
  <c r="AT38" i="84" s="1"/>
  <c r="AX38" i="84" s="1"/>
  <c r="U38" i="84" s="1"/>
  <c r="W38" i="84" s="1"/>
  <c r="Y38" i="84" s="1"/>
  <c r="W34" i="84"/>
  <c r="AF32" i="76"/>
  <c r="AL31" i="76"/>
  <c r="BB32" i="76"/>
  <c r="BF31" i="76"/>
  <c r="AT30" i="76"/>
  <c r="O33" i="76"/>
  <c r="S31" i="76"/>
  <c r="S32" i="76"/>
  <c r="P14" i="4"/>
  <c r="J14" i="4"/>
  <c r="P27" i="4"/>
  <c r="D40" i="4"/>
  <c r="H40" i="4"/>
  <c r="J40" i="4"/>
  <c r="L40" i="4"/>
  <c r="M40" i="4"/>
  <c r="N40" i="4"/>
  <c r="O40" i="4"/>
  <c r="P40" i="4"/>
  <c r="J51" i="23"/>
  <c r="E78" i="23"/>
  <c r="J76" i="23"/>
  <c r="J75" i="23"/>
  <c r="J74" i="23"/>
  <c r="J73" i="23"/>
  <c r="J72" i="23"/>
  <c r="E69" i="23"/>
  <c r="J67" i="23"/>
  <c r="J66" i="23"/>
  <c r="J65" i="23"/>
  <c r="J64" i="23"/>
  <c r="J63" i="23"/>
  <c r="J62" i="23"/>
  <c r="J61" i="23"/>
  <c r="J60" i="23"/>
  <c r="J59" i="23"/>
  <c r="J58" i="23"/>
  <c r="J57" i="23"/>
  <c r="J56" i="23"/>
  <c r="J55" i="23"/>
  <c r="E52" i="23"/>
  <c r="J50" i="23"/>
  <c r="J13" i="23"/>
  <c r="E80" i="23" l="1"/>
  <c r="W34" i="85"/>
  <c r="Y33" i="89"/>
  <c r="AH39" i="87"/>
  <c r="AL38" i="87"/>
  <c r="AT38" i="87" s="1"/>
  <c r="AX38" i="87" s="1"/>
  <c r="U38" i="87" s="1"/>
  <c r="W38" i="87" s="1"/>
  <c r="Y38" i="87" s="1"/>
  <c r="AH39" i="89"/>
  <c r="AL38" i="89"/>
  <c r="AT38" i="89" s="1"/>
  <c r="AX38" i="89" s="1"/>
  <c r="U38" i="89" s="1"/>
  <c r="W38" i="89" s="1"/>
  <c r="Y38" i="89" s="1"/>
  <c r="U35" i="87"/>
  <c r="AH39" i="85"/>
  <c r="AL38" i="85"/>
  <c r="AT38" i="85" s="1"/>
  <c r="AX38" i="85" s="1"/>
  <c r="W34" i="86"/>
  <c r="AH39" i="86"/>
  <c r="AL38" i="86"/>
  <c r="AT38" i="86" s="1"/>
  <c r="AX38" i="86" s="1"/>
  <c r="Y33" i="87"/>
  <c r="U35" i="89"/>
  <c r="Y34" i="84"/>
  <c r="AH40" i="84"/>
  <c r="AL39" i="84"/>
  <c r="AT39" i="84" s="1"/>
  <c r="AX39" i="84" s="1"/>
  <c r="U39" i="84" s="1"/>
  <c r="W39" i="84" s="1"/>
  <c r="Y39" i="84" s="1"/>
  <c r="U37" i="84"/>
  <c r="AT31" i="76"/>
  <c r="O34" i="76"/>
  <c r="BF32" i="76"/>
  <c r="BB33" i="76"/>
  <c r="AL32" i="76"/>
  <c r="AF33" i="76"/>
  <c r="S33" i="76"/>
  <c r="J78" i="23"/>
  <c r="J52" i="23"/>
  <c r="J69" i="23"/>
  <c r="Y34" i="86" l="1"/>
  <c r="AH40" i="89"/>
  <c r="AL39" i="89"/>
  <c r="AT39" i="89" s="1"/>
  <c r="AX39" i="89" s="1"/>
  <c r="U39" i="89" s="1"/>
  <c r="W39" i="89" s="1"/>
  <c r="Y39" i="89" s="1"/>
  <c r="AH40" i="87"/>
  <c r="AL39" i="87"/>
  <c r="AT39" i="87" s="1"/>
  <c r="AX39" i="87" s="1"/>
  <c r="U38" i="85"/>
  <c r="AH40" i="85"/>
  <c r="AL39" i="85"/>
  <c r="AT39" i="85" s="1"/>
  <c r="AX39" i="85" s="1"/>
  <c r="U39" i="85" s="1"/>
  <c r="W39" i="85" s="1"/>
  <c r="Y39" i="85" s="1"/>
  <c r="W35" i="87"/>
  <c r="W35" i="89"/>
  <c r="U38" i="86"/>
  <c r="AH40" i="86"/>
  <c r="AL39" i="86"/>
  <c r="AT39" i="86" s="1"/>
  <c r="AX39" i="86" s="1"/>
  <c r="U39" i="86" s="1"/>
  <c r="W39" i="86" s="1"/>
  <c r="Y39" i="86" s="1"/>
  <c r="Y34" i="85"/>
  <c r="W37" i="84"/>
  <c r="AH41" i="84"/>
  <c r="AL40" i="84"/>
  <c r="AT40" i="84" s="1"/>
  <c r="AX40" i="84" s="1"/>
  <c r="AT32" i="76"/>
  <c r="AF34" i="76"/>
  <c r="AL33" i="76"/>
  <c r="BF33" i="76"/>
  <c r="BB34" i="76"/>
  <c r="O35" i="76"/>
  <c r="S34" i="76"/>
  <c r="Y35" i="89" l="1"/>
  <c r="Y35" i="87"/>
  <c r="W38" i="85"/>
  <c r="AH41" i="89"/>
  <c r="AL40" i="89"/>
  <c r="AT40" i="89" s="1"/>
  <c r="AX40" i="89" s="1"/>
  <c r="U40" i="89" s="1"/>
  <c r="U39" i="87"/>
  <c r="AH41" i="85"/>
  <c r="AL40" i="85"/>
  <c r="AT40" i="85" s="1"/>
  <c r="AX40" i="85" s="1"/>
  <c r="U40" i="85" s="1"/>
  <c r="W40" i="85" s="1"/>
  <c r="Y40" i="85" s="1"/>
  <c r="AH41" i="87"/>
  <c r="AL40" i="87"/>
  <c r="AT40" i="87" s="1"/>
  <c r="AX40" i="87" s="1"/>
  <c r="U40" i="87" s="1"/>
  <c r="W40" i="87" s="1"/>
  <c r="Y40" i="87" s="1"/>
  <c r="AH41" i="86"/>
  <c r="AL40" i="86"/>
  <c r="AT40" i="86" s="1"/>
  <c r="AX40" i="86" s="1"/>
  <c r="U40" i="86" s="1"/>
  <c r="W40" i="86" s="1"/>
  <c r="Y40" i="86" s="1"/>
  <c r="W38" i="86"/>
  <c r="U40" i="84"/>
  <c r="AH42" i="84"/>
  <c r="AL41" i="84"/>
  <c r="AT41" i="84" s="1"/>
  <c r="AX41" i="84" s="1"/>
  <c r="U41" i="84" s="1"/>
  <c r="W41" i="84" s="1"/>
  <c r="Y41" i="84" s="1"/>
  <c r="Y37" i="84"/>
  <c r="AT33" i="76"/>
  <c r="AF35" i="76"/>
  <c r="AL34" i="76"/>
  <c r="BB35" i="76"/>
  <c r="BF34" i="76"/>
  <c r="O36" i="76"/>
  <c r="S35" i="76"/>
  <c r="AH42" i="87" l="1"/>
  <c r="AL41" i="87"/>
  <c r="AT41" i="87" s="1"/>
  <c r="AX41" i="87" s="1"/>
  <c r="U41" i="87" s="1"/>
  <c r="W41" i="87" s="1"/>
  <c r="Y41" i="87" s="1"/>
  <c r="W39" i="87"/>
  <c r="W40" i="89"/>
  <c r="Y38" i="85"/>
  <c r="AH42" i="86"/>
  <c r="AL41" i="86"/>
  <c r="AT41" i="86" s="1"/>
  <c r="AX41" i="86" s="1"/>
  <c r="U41" i="86" s="1"/>
  <c r="AH42" i="85"/>
  <c r="AL41" i="85"/>
  <c r="AT41" i="85" s="1"/>
  <c r="AX41" i="85" s="1"/>
  <c r="U41" i="85" s="1"/>
  <c r="W41" i="85" s="1"/>
  <c r="Y41" i="85" s="1"/>
  <c r="AH42" i="89"/>
  <c r="AL41" i="89"/>
  <c r="AT41" i="89" s="1"/>
  <c r="AX41" i="89" s="1"/>
  <c r="U41" i="89" s="1"/>
  <c r="W41" i="89" s="1"/>
  <c r="Y41" i="89" s="1"/>
  <c r="Y38" i="86"/>
  <c r="AH43" i="84"/>
  <c r="AL42" i="84"/>
  <c r="AT42" i="84" s="1"/>
  <c r="AX42" i="84" s="1"/>
  <c r="U42" i="84" s="1"/>
  <c r="W42" i="84" s="1"/>
  <c r="Y42" i="84" s="1"/>
  <c r="W40" i="84"/>
  <c r="O37" i="76"/>
  <c r="AT34" i="76"/>
  <c r="AF36" i="76"/>
  <c r="AL35" i="76"/>
  <c r="BB36" i="76"/>
  <c r="BF35" i="76"/>
  <c r="S36" i="76"/>
  <c r="AH43" i="85" l="1"/>
  <c r="AL42" i="85"/>
  <c r="AT42" i="85" s="1"/>
  <c r="AX42" i="85" s="1"/>
  <c r="U42" i="85" s="1"/>
  <c r="W42" i="85" s="1"/>
  <c r="Y42" i="85" s="1"/>
  <c r="AH43" i="86"/>
  <c r="AL42" i="86"/>
  <c r="AT42" i="86" s="1"/>
  <c r="AX42" i="86" s="1"/>
  <c r="U42" i="86" s="1"/>
  <c r="W42" i="86" s="1"/>
  <c r="Y42" i="86" s="1"/>
  <c r="Y39" i="87"/>
  <c r="Y40" i="89"/>
  <c r="AH43" i="89"/>
  <c r="AL42" i="89"/>
  <c r="AT42" i="89" s="1"/>
  <c r="AX42" i="89" s="1"/>
  <c r="U42" i="89" s="1"/>
  <c r="W42" i="89" s="1"/>
  <c r="Y42" i="89" s="1"/>
  <c r="W41" i="86"/>
  <c r="AH43" i="87"/>
  <c r="AL42" i="87"/>
  <c r="AT42" i="87" s="1"/>
  <c r="AX42" i="87" s="1"/>
  <c r="U42" i="87" s="1"/>
  <c r="W42" i="87" s="1"/>
  <c r="Y42" i="87" s="1"/>
  <c r="Y40" i="84"/>
  <c r="AH44" i="84"/>
  <c r="AL43" i="84"/>
  <c r="AT43" i="84" s="1"/>
  <c r="AX43" i="84" s="1"/>
  <c r="U43" i="84" s="1"/>
  <c r="W43" i="84" s="1"/>
  <c r="Y43" i="84" s="1"/>
  <c r="AT35" i="76"/>
  <c r="BF36" i="76"/>
  <c r="BB37" i="76"/>
  <c r="AF37" i="76"/>
  <c r="AL36" i="76"/>
  <c r="O38" i="76"/>
  <c r="S37" i="76"/>
  <c r="AH44" i="87" l="1"/>
  <c r="AL43" i="87"/>
  <c r="AT43" i="87" s="1"/>
  <c r="AX43" i="87" s="1"/>
  <c r="U43" i="87" s="1"/>
  <c r="W43" i="87" s="1"/>
  <c r="Y43" i="87" s="1"/>
  <c r="AH44" i="89"/>
  <c r="AL43" i="89"/>
  <c r="AT43" i="89" s="1"/>
  <c r="AX43" i="89" s="1"/>
  <c r="U43" i="89" s="1"/>
  <c r="W43" i="89" s="1"/>
  <c r="Y43" i="89" s="1"/>
  <c r="AH44" i="86"/>
  <c r="AL43" i="86"/>
  <c r="AT43" i="86" s="1"/>
  <c r="AX43" i="86" s="1"/>
  <c r="U43" i="86" s="1"/>
  <c r="W43" i="86" s="1"/>
  <c r="Y43" i="86" s="1"/>
  <c r="Y41" i="86"/>
  <c r="AH44" i="85"/>
  <c r="AL43" i="85"/>
  <c r="AT43" i="85" s="1"/>
  <c r="AX43" i="85" s="1"/>
  <c r="U43" i="85" s="1"/>
  <c r="W43" i="85" s="1"/>
  <c r="Y43" i="85" s="1"/>
  <c r="AH45" i="84"/>
  <c r="AL44" i="84"/>
  <c r="AT44" i="84" s="1"/>
  <c r="AX44" i="84" s="1"/>
  <c r="U44" i="84" s="1"/>
  <c r="W44" i="84" s="1"/>
  <c r="Y44" i="84" s="1"/>
  <c r="BB38" i="76"/>
  <c r="BF37" i="76"/>
  <c r="O39" i="76"/>
  <c r="AT36" i="76"/>
  <c r="AL37" i="76"/>
  <c r="AT37" i="76" s="1"/>
  <c r="AF38" i="76"/>
  <c r="S38" i="76"/>
  <c r="AH45" i="85" l="1"/>
  <c r="AL44" i="85"/>
  <c r="AT44" i="85" s="1"/>
  <c r="AX44" i="85" s="1"/>
  <c r="U44" i="85" s="1"/>
  <c r="W44" i="85" s="1"/>
  <c r="Y44" i="85" s="1"/>
  <c r="AH45" i="86"/>
  <c r="AL44" i="86"/>
  <c r="AT44" i="86" s="1"/>
  <c r="AX44" i="86" s="1"/>
  <c r="U44" i="86" s="1"/>
  <c r="W44" i="86" s="1"/>
  <c r="Y44" i="86" s="1"/>
  <c r="AH45" i="89"/>
  <c r="AL44" i="89"/>
  <c r="AT44" i="89" s="1"/>
  <c r="AX44" i="89" s="1"/>
  <c r="U44" i="89" s="1"/>
  <c r="W44" i="89" s="1"/>
  <c r="Y44" i="89" s="1"/>
  <c r="AH45" i="87"/>
  <c r="AL44" i="87"/>
  <c r="AT44" i="87" s="1"/>
  <c r="AX44" i="87" s="1"/>
  <c r="U44" i="87" s="1"/>
  <c r="W44" i="87" s="1"/>
  <c r="Y44" i="87" s="1"/>
  <c r="AH46" i="84"/>
  <c r="AL45" i="84"/>
  <c r="AT45" i="84" s="1"/>
  <c r="AX45" i="84" s="1"/>
  <c r="U45" i="84" s="1"/>
  <c r="W45" i="84" s="1"/>
  <c r="Y45" i="84" s="1"/>
  <c r="O40" i="76"/>
  <c r="BF38" i="76"/>
  <c r="BB39" i="76"/>
  <c r="AL38" i="76"/>
  <c r="AF39" i="76"/>
  <c r="S39" i="76"/>
  <c r="AH46" i="89" l="1"/>
  <c r="AL45" i="89"/>
  <c r="AT45" i="89" s="1"/>
  <c r="AX45" i="89" s="1"/>
  <c r="U45" i="89" s="1"/>
  <c r="W45" i="89" s="1"/>
  <c r="Y45" i="89" s="1"/>
  <c r="AH46" i="87"/>
  <c r="AL45" i="87"/>
  <c r="AT45" i="87" s="1"/>
  <c r="AX45" i="87" s="1"/>
  <c r="U45" i="87" s="1"/>
  <c r="W45" i="87" s="1"/>
  <c r="Y45" i="87" s="1"/>
  <c r="AH46" i="86"/>
  <c r="AL45" i="86"/>
  <c r="AT45" i="86" s="1"/>
  <c r="AX45" i="86" s="1"/>
  <c r="U45" i="86" s="1"/>
  <c r="W45" i="86" s="1"/>
  <c r="Y45" i="86" s="1"/>
  <c r="AH46" i="85"/>
  <c r="AL45" i="85"/>
  <c r="AT45" i="85" s="1"/>
  <c r="AX45" i="85" s="1"/>
  <c r="U45" i="85" s="1"/>
  <c r="W45" i="85" s="1"/>
  <c r="Y45" i="85" s="1"/>
  <c r="AH47" i="84"/>
  <c r="AL46" i="84"/>
  <c r="AT46" i="84" s="1"/>
  <c r="AX46" i="84" s="1"/>
  <c r="U46" i="84" s="1"/>
  <c r="W46" i="84" s="1"/>
  <c r="Y46" i="84" s="1"/>
  <c r="O41" i="76"/>
  <c r="BB40" i="76"/>
  <c r="BF39" i="76"/>
  <c r="AL39" i="76"/>
  <c r="AF40" i="76"/>
  <c r="AT38" i="76"/>
  <c r="S40" i="76"/>
  <c r="AH47" i="85" l="1"/>
  <c r="AL46" i="85"/>
  <c r="AT46" i="85" s="1"/>
  <c r="AX46" i="85" s="1"/>
  <c r="U46" i="85" s="1"/>
  <c r="W46" i="85" s="1"/>
  <c r="Y46" i="85" s="1"/>
  <c r="AH47" i="86"/>
  <c r="AL46" i="86"/>
  <c r="AT46" i="86" s="1"/>
  <c r="AX46" i="86" s="1"/>
  <c r="U46" i="86" s="1"/>
  <c r="W46" i="86" s="1"/>
  <c r="Y46" i="86" s="1"/>
  <c r="AH47" i="87"/>
  <c r="AL46" i="87"/>
  <c r="AT46" i="87" s="1"/>
  <c r="AX46" i="87" s="1"/>
  <c r="U46" i="87" s="1"/>
  <c r="W46" i="87" s="1"/>
  <c r="Y46" i="87" s="1"/>
  <c r="AH47" i="89"/>
  <c r="AL46" i="89"/>
  <c r="AT46" i="89" s="1"/>
  <c r="AX46" i="89" s="1"/>
  <c r="U46" i="89" s="1"/>
  <c r="W46" i="89" s="1"/>
  <c r="Y46" i="89" s="1"/>
  <c r="AH48" i="84"/>
  <c r="AL47" i="84"/>
  <c r="AT47" i="84" s="1"/>
  <c r="AX47" i="84" s="1"/>
  <c r="U47" i="84" s="1"/>
  <c r="W47" i="84" s="1"/>
  <c r="Y47" i="84" s="1"/>
  <c r="AT39" i="76"/>
  <c r="O42" i="76"/>
  <c r="AF41" i="76"/>
  <c r="AL40" i="76"/>
  <c r="BF40" i="76"/>
  <c r="BB41" i="76"/>
  <c r="S41" i="76"/>
  <c r="AH48" i="89" l="1"/>
  <c r="AL47" i="89"/>
  <c r="AT47" i="89" s="1"/>
  <c r="AX47" i="89" s="1"/>
  <c r="U47" i="89" s="1"/>
  <c r="W47" i="89" s="1"/>
  <c r="Y47" i="89" s="1"/>
  <c r="AH48" i="87"/>
  <c r="AL47" i="87"/>
  <c r="AT47" i="87" s="1"/>
  <c r="AX47" i="87" s="1"/>
  <c r="U47" i="87" s="1"/>
  <c r="W47" i="87" s="1"/>
  <c r="Y47" i="87" s="1"/>
  <c r="AH48" i="86"/>
  <c r="AL47" i="86"/>
  <c r="AT47" i="86" s="1"/>
  <c r="AX47" i="86" s="1"/>
  <c r="U47" i="86" s="1"/>
  <c r="W47" i="86" s="1"/>
  <c r="Y47" i="86" s="1"/>
  <c r="AH48" i="85"/>
  <c r="AL47" i="85"/>
  <c r="AT47" i="85" s="1"/>
  <c r="AX47" i="85" s="1"/>
  <c r="U47" i="85" s="1"/>
  <c r="W47" i="85" s="1"/>
  <c r="Y47" i="85" s="1"/>
  <c r="AH49" i="84"/>
  <c r="AL48" i="84"/>
  <c r="AT48" i="84" s="1"/>
  <c r="AX48" i="84" s="1"/>
  <c r="U48" i="84" s="1"/>
  <c r="W48" i="84" s="1"/>
  <c r="Y48" i="84" s="1"/>
  <c r="BF41" i="76"/>
  <c r="BB42" i="76"/>
  <c r="O43" i="76"/>
  <c r="AT40" i="76"/>
  <c r="AF42" i="76"/>
  <c r="AL41" i="76"/>
  <c r="S42" i="76"/>
  <c r="AH49" i="85" l="1"/>
  <c r="AL48" i="85"/>
  <c r="AT48" i="85" s="1"/>
  <c r="AX48" i="85" s="1"/>
  <c r="U48" i="85" s="1"/>
  <c r="W48" i="85" s="1"/>
  <c r="Y48" i="85" s="1"/>
  <c r="AH49" i="86"/>
  <c r="AL48" i="86"/>
  <c r="AT48" i="86" s="1"/>
  <c r="AX48" i="86" s="1"/>
  <c r="U48" i="86" s="1"/>
  <c r="W48" i="86" s="1"/>
  <c r="Y48" i="86" s="1"/>
  <c r="AH49" i="87"/>
  <c r="AL48" i="87"/>
  <c r="AT48" i="87" s="1"/>
  <c r="AX48" i="87" s="1"/>
  <c r="U48" i="87" s="1"/>
  <c r="W48" i="87" s="1"/>
  <c r="Y48" i="87" s="1"/>
  <c r="AH49" i="89"/>
  <c r="AL48" i="89"/>
  <c r="AT48" i="89" s="1"/>
  <c r="AX48" i="89" s="1"/>
  <c r="U48" i="89" s="1"/>
  <c r="W48" i="89" s="1"/>
  <c r="Y48" i="89" s="1"/>
  <c r="AH50" i="84"/>
  <c r="AL49" i="84"/>
  <c r="AT49" i="84" s="1"/>
  <c r="AX49" i="84" s="1"/>
  <c r="U49" i="84" s="1"/>
  <c r="W49" i="84" s="1"/>
  <c r="Y49" i="84" s="1"/>
  <c r="AT41" i="76"/>
  <c r="O44" i="76"/>
  <c r="AL42" i="76"/>
  <c r="AF43" i="76"/>
  <c r="BF42" i="76"/>
  <c r="BB43" i="76"/>
  <c r="S43" i="76"/>
  <c r="AH50" i="89" l="1"/>
  <c r="AL49" i="89"/>
  <c r="AT49" i="89" s="1"/>
  <c r="AX49" i="89" s="1"/>
  <c r="U49" i="89" s="1"/>
  <c r="W49" i="89" s="1"/>
  <c r="Y49" i="89" s="1"/>
  <c r="AH50" i="87"/>
  <c r="AL49" i="87"/>
  <c r="AT49" i="87" s="1"/>
  <c r="AX49" i="87" s="1"/>
  <c r="U49" i="87" s="1"/>
  <c r="W49" i="87" s="1"/>
  <c r="Y49" i="87" s="1"/>
  <c r="AH50" i="86"/>
  <c r="AL49" i="86"/>
  <c r="AT49" i="86" s="1"/>
  <c r="AX49" i="86" s="1"/>
  <c r="U49" i="86" s="1"/>
  <c r="W49" i="86" s="1"/>
  <c r="Y49" i="86" s="1"/>
  <c r="AH50" i="85"/>
  <c r="AL49" i="85"/>
  <c r="AT49" i="85" s="1"/>
  <c r="AX49" i="85" s="1"/>
  <c r="U49" i="85" s="1"/>
  <c r="W49" i="85" s="1"/>
  <c r="Y49" i="85" s="1"/>
  <c r="AH51" i="84"/>
  <c r="AL50" i="84"/>
  <c r="AT50" i="84" s="1"/>
  <c r="AX50" i="84" s="1"/>
  <c r="U50" i="84" s="1"/>
  <c r="W50" i="84" s="1"/>
  <c r="Y50" i="84" s="1"/>
  <c r="AT42" i="76"/>
  <c r="AL43" i="76"/>
  <c r="AF44" i="76"/>
  <c r="O45" i="76"/>
  <c r="BB44" i="76"/>
  <c r="BF43" i="76"/>
  <c r="S44" i="76"/>
  <c r="AH51" i="85" l="1"/>
  <c r="AL50" i="85"/>
  <c r="AT50" i="85" s="1"/>
  <c r="AX50" i="85" s="1"/>
  <c r="U50" i="85" s="1"/>
  <c r="W50" i="85" s="1"/>
  <c r="Y50" i="85" s="1"/>
  <c r="AH51" i="86"/>
  <c r="AL50" i="86"/>
  <c r="AT50" i="86" s="1"/>
  <c r="AX50" i="86" s="1"/>
  <c r="U50" i="86" s="1"/>
  <c r="W50" i="86" s="1"/>
  <c r="Y50" i="86" s="1"/>
  <c r="AH51" i="87"/>
  <c r="AL50" i="87"/>
  <c r="AT50" i="87" s="1"/>
  <c r="AX50" i="87" s="1"/>
  <c r="U50" i="87" s="1"/>
  <c r="W50" i="87" s="1"/>
  <c r="Y50" i="87" s="1"/>
  <c r="AH51" i="89"/>
  <c r="AL50" i="89"/>
  <c r="AT50" i="89" s="1"/>
  <c r="AX50" i="89" s="1"/>
  <c r="U50" i="89" s="1"/>
  <c r="W50" i="89" s="1"/>
  <c r="Y50" i="89" s="1"/>
  <c r="AH52" i="84"/>
  <c r="AL51" i="84"/>
  <c r="AT51" i="84" s="1"/>
  <c r="AX51" i="84" s="1"/>
  <c r="U51" i="84" s="1"/>
  <c r="W51" i="84" s="1"/>
  <c r="Y51" i="84" s="1"/>
  <c r="AL44" i="76"/>
  <c r="AF45" i="76"/>
  <c r="AT43" i="76"/>
  <c r="O46" i="76"/>
  <c r="BB45" i="76"/>
  <c r="BF44" i="76"/>
  <c r="S45" i="76"/>
  <c r="AH52" i="89" l="1"/>
  <c r="AL51" i="89"/>
  <c r="AT51" i="89" s="1"/>
  <c r="AX51" i="89" s="1"/>
  <c r="U51" i="89" s="1"/>
  <c r="W51" i="89" s="1"/>
  <c r="Y51" i="89" s="1"/>
  <c r="AH52" i="87"/>
  <c r="AL51" i="87"/>
  <c r="AT51" i="87" s="1"/>
  <c r="AX51" i="87" s="1"/>
  <c r="U51" i="87" s="1"/>
  <c r="W51" i="87" s="1"/>
  <c r="Y51" i="87" s="1"/>
  <c r="AH52" i="86"/>
  <c r="AL51" i="86"/>
  <c r="AT51" i="86" s="1"/>
  <c r="AX51" i="86" s="1"/>
  <c r="U51" i="86" s="1"/>
  <c r="W51" i="86" s="1"/>
  <c r="Y51" i="86" s="1"/>
  <c r="AH52" i="85"/>
  <c r="AL51" i="85"/>
  <c r="AT51" i="85" s="1"/>
  <c r="AX51" i="85" s="1"/>
  <c r="U51" i="85" s="1"/>
  <c r="W51" i="85" s="1"/>
  <c r="Y51" i="85" s="1"/>
  <c r="AH53" i="84"/>
  <c r="AL52" i="84"/>
  <c r="AT52" i="84" s="1"/>
  <c r="AX52" i="84" s="1"/>
  <c r="U52" i="84" s="1"/>
  <c r="W52" i="84" s="1"/>
  <c r="Y52" i="84" s="1"/>
  <c r="O47" i="76"/>
  <c r="AF46" i="76"/>
  <c r="AL45" i="76"/>
  <c r="AT44" i="76"/>
  <c r="BB46" i="76"/>
  <c r="BF45" i="76"/>
  <c r="S46" i="76"/>
  <c r="AH53" i="85" l="1"/>
  <c r="AL52" i="85"/>
  <c r="AT52" i="85" s="1"/>
  <c r="AX52" i="85" s="1"/>
  <c r="U52" i="85" s="1"/>
  <c r="W52" i="85" s="1"/>
  <c r="Y52" i="85" s="1"/>
  <c r="AH53" i="86"/>
  <c r="AL52" i="86"/>
  <c r="AT52" i="86" s="1"/>
  <c r="AX52" i="86" s="1"/>
  <c r="U52" i="86" s="1"/>
  <c r="W52" i="86" s="1"/>
  <c r="Y52" i="86" s="1"/>
  <c r="AH53" i="87"/>
  <c r="AL52" i="87"/>
  <c r="AT52" i="87" s="1"/>
  <c r="AX52" i="87" s="1"/>
  <c r="U52" i="87" s="1"/>
  <c r="W52" i="87" s="1"/>
  <c r="Y52" i="87" s="1"/>
  <c r="AL52" i="89"/>
  <c r="AH55" i="89"/>
  <c r="AH54" i="84"/>
  <c r="AL53" i="84"/>
  <c r="AT53" i="84" s="1"/>
  <c r="AX53" i="84" s="1"/>
  <c r="U53" i="84" s="1"/>
  <c r="W53" i="84" s="1"/>
  <c r="Y53" i="84" s="1"/>
  <c r="AT45" i="76"/>
  <c r="O48" i="76"/>
  <c r="AL46" i="76"/>
  <c r="AF47" i="76"/>
  <c r="BB47" i="76"/>
  <c r="BF46" i="76"/>
  <c r="S47" i="76"/>
  <c r="AT52" i="89" l="1"/>
  <c r="AL55" i="89"/>
  <c r="AH54" i="87"/>
  <c r="AL53" i="87"/>
  <c r="AT53" i="87" s="1"/>
  <c r="AX53" i="87" s="1"/>
  <c r="U53" i="87" s="1"/>
  <c r="W53" i="87" s="1"/>
  <c r="Y53" i="87" s="1"/>
  <c r="AH54" i="86"/>
  <c r="AL53" i="86"/>
  <c r="AT53" i="86" s="1"/>
  <c r="AX53" i="86" s="1"/>
  <c r="U53" i="86" s="1"/>
  <c r="W53" i="86" s="1"/>
  <c r="Y53" i="86" s="1"/>
  <c r="AH54" i="85"/>
  <c r="AL53" i="85"/>
  <c r="AT53" i="85" s="1"/>
  <c r="AX53" i="85" s="1"/>
  <c r="U53" i="85" s="1"/>
  <c r="W53" i="85" s="1"/>
  <c r="Y53" i="85" s="1"/>
  <c r="AH55" i="84"/>
  <c r="AL54" i="84"/>
  <c r="AT54" i="84" s="1"/>
  <c r="AX54" i="84" s="1"/>
  <c r="U54" i="84" s="1"/>
  <c r="W54" i="84" s="1"/>
  <c r="Y54" i="84" s="1"/>
  <c r="BB48" i="76"/>
  <c r="BF47" i="76"/>
  <c r="AT46" i="76"/>
  <c r="AF48" i="76"/>
  <c r="AL47" i="76"/>
  <c r="O49" i="76"/>
  <c r="S48" i="76"/>
  <c r="AH55" i="85" l="1"/>
  <c r="AL54" i="85"/>
  <c r="AT54" i="85" s="1"/>
  <c r="AX54" i="85" s="1"/>
  <c r="U54" i="85" s="1"/>
  <c r="W54" i="85" s="1"/>
  <c r="Y54" i="85" s="1"/>
  <c r="AH55" i="86"/>
  <c r="AL54" i="86"/>
  <c r="AT54" i="86" s="1"/>
  <c r="AX54" i="86" s="1"/>
  <c r="U54" i="86" s="1"/>
  <c r="W54" i="86" s="1"/>
  <c r="Y54" i="86" s="1"/>
  <c r="AH55" i="87"/>
  <c r="AL54" i="87"/>
  <c r="AT54" i="87" s="1"/>
  <c r="AX54" i="87" s="1"/>
  <c r="U54" i="87" s="1"/>
  <c r="W54" i="87" s="1"/>
  <c r="Y54" i="87" s="1"/>
  <c r="AX52" i="89"/>
  <c r="AT55" i="89"/>
  <c r="AH56" i="84"/>
  <c r="AL55" i="84"/>
  <c r="AT55" i="84" s="1"/>
  <c r="AX55" i="84" s="1"/>
  <c r="U55" i="84" s="1"/>
  <c r="W55" i="84" s="1"/>
  <c r="Y55" i="84" s="1"/>
  <c r="O50" i="76"/>
  <c r="AT47" i="76"/>
  <c r="BB49" i="76"/>
  <c r="BF48" i="76"/>
  <c r="AF49" i="76"/>
  <c r="AL48" i="76"/>
  <c r="S49" i="76"/>
  <c r="U52" i="89" l="1"/>
  <c r="AX55" i="89"/>
  <c r="AH56" i="87"/>
  <c r="AL55" i="87"/>
  <c r="AT55" i="87" s="1"/>
  <c r="AX55" i="87" s="1"/>
  <c r="U55" i="87" s="1"/>
  <c r="W55" i="87" s="1"/>
  <c r="Y55" i="87" s="1"/>
  <c r="AH56" i="86"/>
  <c r="AL55" i="86"/>
  <c r="AT55" i="86" s="1"/>
  <c r="AX55" i="86" s="1"/>
  <c r="U55" i="86" s="1"/>
  <c r="W55" i="86" s="1"/>
  <c r="Y55" i="86" s="1"/>
  <c r="AH56" i="85"/>
  <c r="AL55" i="85"/>
  <c r="AT55" i="85" s="1"/>
  <c r="AX55" i="85" s="1"/>
  <c r="U55" i="85" s="1"/>
  <c r="W55" i="85" s="1"/>
  <c r="Y55" i="85" s="1"/>
  <c r="AH57" i="84"/>
  <c r="AL56" i="84"/>
  <c r="AT56" i="84" s="1"/>
  <c r="AX56" i="84" s="1"/>
  <c r="U56" i="84" s="1"/>
  <c r="W56" i="84" s="1"/>
  <c r="Y56" i="84" s="1"/>
  <c r="BB50" i="76"/>
  <c r="BF49" i="76"/>
  <c r="AT48" i="76"/>
  <c r="O51" i="76"/>
  <c r="AF50" i="76"/>
  <c r="AL49" i="76"/>
  <c r="AT49" i="76" s="1"/>
  <c r="S50" i="76"/>
  <c r="AH57" i="86" l="1"/>
  <c r="AL56" i="86"/>
  <c r="AT56" i="86" s="1"/>
  <c r="AX56" i="86" s="1"/>
  <c r="U56" i="86" s="1"/>
  <c r="W56" i="86" s="1"/>
  <c r="Y56" i="86" s="1"/>
  <c r="AH57" i="87"/>
  <c r="AL56" i="87"/>
  <c r="AT56" i="87" s="1"/>
  <c r="AX56" i="87" s="1"/>
  <c r="U56" i="87" s="1"/>
  <c r="W56" i="87" s="1"/>
  <c r="Y56" i="87" s="1"/>
  <c r="AH57" i="85"/>
  <c r="AL56" i="85"/>
  <c r="AT56" i="85" s="1"/>
  <c r="AX56" i="85" s="1"/>
  <c r="U56" i="85" s="1"/>
  <c r="W56" i="85" s="1"/>
  <c r="Y56" i="85" s="1"/>
  <c r="W52" i="89"/>
  <c r="U55" i="89"/>
  <c r="I61" i="32" s="1"/>
  <c r="AL57" i="84"/>
  <c r="AT57" i="84" s="1"/>
  <c r="AX57" i="84" s="1"/>
  <c r="U57" i="84" s="1"/>
  <c r="W57" i="84" s="1"/>
  <c r="Y57" i="84" s="1"/>
  <c r="AF51" i="76"/>
  <c r="AL50" i="76"/>
  <c r="O52" i="76"/>
  <c r="BF50" i="76"/>
  <c r="BB51" i="76"/>
  <c r="S51" i="76"/>
  <c r="AL57" i="85" l="1"/>
  <c r="AH60" i="85"/>
  <c r="Y52" i="89"/>
  <c r="Y55" i="89" s="1"/>
  <c r="M61" i="32" s="1"/>
  <c r="W55" i="89"/>
  <c r="K61" i="32" s="1"/>
  <c r="AL57" i="87"/>
  <c r="AH60" i="87"/>
  <c r="AL57" i="86"/>
  <c r="AH60" i="86"/>
  <c r="AH60" i="84"/>
  <c r="BF51" i="76"/>
  <c r="BB52" i="76"/>
  <c r="O53" i="76"/>
  <c r="AT50" i="76"/>
  <c r="AF52" i="76"/>
  <c r="AL51" i="76"/>
  <c r="AT51" i="76" s="1"/>
  <c r="S52" i="76"/>
  <c r="H14" i="23" l="1"/>
  <c r="J14" i="23" s="1"/>
  <c r="S14" i="23"/>
  <c r="U14" i="23" s="1"/>
  <c r="AT57" i="86"/>
  <c r="AL60" i="86"/>
  <c r="AT57" i="87"/>
  <c r="AL60" i="87"/>
  <c r="AT57" i="85"/>
  <c r="AL60" i="85"/>
  <c r="AL60" i="84"/>
  <c r="O54" i="76"/>
  <c r="BB53" i="76"/>
  <c r="BF52" i="76"/>
  <c r="AF53" i="76"/>
  <c r="AL52" i="76"/>
  <c r="AT52" i="76" s="1"/>
  <c r="S53" i="76"/>
  <c r="AX57" i="85" l="1"/>
  <c r="AT60" i="85"/>
  <c r="AX57" i="87"/>
  <c r="AT60" i="87"/>
  <c r="AX57" i="86"/>
  <c r="AT60" i="86"/>
  <c r="AT60" i="84"/>
  <c r="AF54" i="76"/>
  <c r="AL53" i="76"/>
  <c r="BF53" i="76"/>
  <c r="BB54" i="76"/>
  <c r="O55" i="76"/>
  <c r="S54" i="76"/>
  <c r="U57" i="86" l="1"/>
  <c r="AX60" i="86"/>
  <c r="U57" i="87"/>
  <c r="AX60" i="87"/>
  <c r="U57" i="85"/>
  <c r="AX60" i="85"/>
  <c r="AX60" i="84"/>
  <c r="AL54" i="76"/>
  <c r="AF55" i="76"/>
  <c r="AT53" i="76"/>
  <c r="O56" i="76"/>
  <c r="BB55" i="76"/>
  <c r="BF54" i="76"/>
  <c r="S55" i="76"/>
  <c r="W57" i="85" l="1"/>
  <c r="U60" i="85"/>
  <c r="W57" i="87"/>
  <c r="U60" i="87"/>
  <c r="I60" i="32" s="1"/>
  <c r="W57" i="86"/>
  <c r="U60" i="86"/>
  <c r="U60" i="84"/>
  <c r="I57" i="32" s="1"/>
  <c r="BB56" i="76"/>
  <c r="BF55" i="76"/>
  <c r="AT54" i="76"/>
  <c r="AL55" i="76"/>
  <c r="AF56" i="76"/>
  <c r="O57" i="76"/>
  <c r="S56" i="76"/>
  <c r="I58" i="32" l="1"/>
  <c r="I59" i="32"/>
  <c r="Y57" i="86"/>
  <c r="Y60" i="86" s="1"/>
  <c r="W60" i="86"/>
  <c r="Y57" i="87"/>
  <c r="Y60" i="87" s="1"/>
  <c r="M60" i="32" s="1"/>
  <c r="W60" i="87"/>
  <c r="K60" i="32" s="1"/>
  <c r="Y57" i="85"/>
  <c r="Y60" i="85" s="1"/>
  <c r="W60" i="85"/>
  <c r="Y60" i="84"/>
  <c r="M57" i="32" s="1"/>
  <c r="W60" i="84"/>
  <c r="K57" i="32" s="1"/>
  <c r="BF56" i="76"/>
  <c r="BB57" i="76"/>
  <c r="O58" i="76"/>
  <c r="O61" i="76" s="1"/>
  <c r="AL56" i="76"/>
  <c r="AF57" i="76"/>
  <c r="AT55" i="76"/>
  <c r="S38" i="23" l="1"/>
  <c r="U38" i="23" s="1"/>
  <c r="H38" i="23"/>
  <c r="J38" i="23" s="1"/>
  <c r="H22" i="23"/>
  <c r="J22" i="23" s="1"/>
  <c r="S22" i="23"/>
  <c r="U22" i="23" s="1"/>
  <c r="M59" i="32"/>
  <c r="M58" i="32"/>
  <c r="K58" i="32"/>
  <c r="K59" i="32"/>
  <c r="S58" i="76"/>
  <c r="AF58" i="76"/>
  <c r="AL57" i="76"/>
  <c r="BB58" i="76"/>
  <c r="BF57" i="76"/>
  <c r="AT56" i="76"/>
  <c r="S57" i="76"/>
  <c r="H23" i="23" l="1"/>
  <c r="J23" i="23" s="1"/>
  <c r="S23" i="23"/>
  <c r="U23" i="23" s="1"/>
  <c r="H24" i="23"/>
  <c r="J24" i="23" s="1"/>
  <c r="S24" i="23"/>
  <c r="U24" i="23" s="1"/>
  <c r="S61" i="76"/>
  <c r="G56" i="32" s="1"/>
  <c r="BF58" i="76"/>
  <c r="BB61" i="76"/>
  <c r="BF61" i="76"/>
  <c r="AL58" i="76"/>
  <c r="AL61" i="76" s="1"/>
  <c r="AF61" i="76"/>
  <c r="AT57" i="76"/>
  <c r="AT58" i="76"/>
  <c r="AT61" i="76" l="1"/>
  <c r="I28" i="31"/>
  <c r="S28" i="75" l="1"/>
  <c r="S59" i="75"/>
  <c r="AD38" i="75"/>
  <c r="AD39" i="75"/>
  <c r="AD40" i="75"/>
  <c r="AD41" i="75"/>
  <c r="AD42" i="75"/>
  <c r="AD43" i="75"/>
  <c r="AD44" i="75"/>
  <c r="AD45" i="75"/>
  <c r="AD46" i="75"/>
  <c r="AD47" i="75"/>
  <c r="AD48" i="75"/>
  <c r="AD49" i="75"/>
  <c r="AD50" i="75"/>
  <c r="AD51" i="75"/>
  <c r="AD52" i="75"/>
  <c r="AD53" i="75"/>
  <c r="AD54" i="75"/>
  <c r="AD55" i="75"/>
  <c r="AD56" i="75"/>
  <c r="AD57" i="75"/>
  <c r="M29" i="75"/>
  <c r="M30" i="75"/>
  <c r="M31" i="75"/>
  <c r="M32" i="75"/>
  <c r="M33" i="75"/>
  <c r="M34" i="75"/>
  <c r="M35" i="75"/>
  <c r="M36" i="75"/>
  <c r="M37" i="75"/>
  <c r="M38" i="75"/>
  <c r="M39" i="75"/>
  <c r="M40" i="75"/>
  <c r="M41" i="75"/>
  <c r="M42" i="75"/>
  <c r="M43" i="75"/>
  <c r="M44" i="75"/>
  <c r="M45" i="75"/>
  <c r="M46" i="75"/>
  <c r="M47" i="75"/>
  <c r="M48" i="75"/>
  <c r="M49" i="75"/>
  <c r="M50" i="75"/>
  <c r="M51" i="75"/>
  <c r="M52" i="75"/>
  <c r="M53" i="75"/>
  <c r="M54" i="75"/>
  <c r="M55" i="75"/>
  <c r="M56" i="75"/>
  <c r="M57" i="75"/>
  <c r="K29" i="75"/>
  <c r="K30" i="75"/>
  <c r="K31" i="75"/>
  <c r="K32" i="75"/>
  <c r="K33" i="75"/>
  <c r="K34" i="75"/>
  <c r="K35" i="75"/>
  <c r="K36" i="75"/>
  <c r="K37" i="75"/>
  <c r="K38" i="75"/>
  <c r="K39" i="75"/>
  <c r="K40" i="75"/>
  <c r="K41" i="75"/>
  <c r="K42" i="75"/>
  <c r="K43" i="75"/>
  <c r="K44" i="75"/>
  <c r="K45" i="75"/>
  <c r="K46" i="75"/>
  <c r="K47" i="75"/>
  <c r="K48" i="75"/>
  <c r="K49" i="75"/>
  <c r="K50" i="75"/>
  <c r="K51" i="75"/>
  <c r="K52" i="75"/>
  <c r="K53" i="75"/>
  <c r="K54" i="75"/>
  <c r="K55" i="75"/>
  <c r="K56" i="75"/>
  <c r="K57" i="75"/>
  <c r="E29" i="75"/>
  <c r="E30" i="75"/>
  <c r="E31" i="75"/>
  <c r="E32" i="75"/>
  <c r="E33" i="75"/>
  <c r="E34" i="75"/>
  <c r="E35" i="75"/>
  <c r="E36" i="75"/>
  <c r="E37" i="75"/>
  <c r="E38" i="75"/>
  <c r="E39" i="75"/>
  <c r="E40" i="75"/>
  <c r="E41" i="75"/>
  <c r="E42" i="75"/>
  <c r="E43" i="75"/>
  <c r="E44" i="75"/>
  <c r="E45" i="75"/>
  <c r="E46" i="75"/>
  <c r="E47" i="75"/>
  <c r="E48" i="75"/>
  <c r="E49" i="75"/>
  <c r="E50" i="75"/>
  <c r="E51" i="75"/>
  <c r="E52" i="75"/>
  <c r="E53" i="75"/>
  <c r="E54" i="75"/>
  <c r="E55" i="75"/>
  <c r="E56" i="75"/>
  <c r="E57" i="75"/>
  <c r="Q59" i="75" l="1"/>
  <c r="O59" i="75"/>
  <c r="G18" i="69" l="1"/>
  <c r="AP30" i="5" l="1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29" i="5"/>
  <c r="AO29" i="5"/>
  <c r="AO30" i="5"/>
  <c r="Q37" i="65" s="1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Q37" i="74" l="1"/>
  <c r="Q37" i="62"/>
  <c r="Q37" i="60"/>
  <c r="Q37" i="61"/>
  <c r="Q36" i="65"/>
  <c r="Q37" i="63"/>
  <c r="AO19" i="5"/>
  <c r="AO20" i="5"/>
  <c r="AO21" i="5"/>
  <c r="AO22" i="5"/>
  <c r="AO23" i="5"/>
  <c r="AO24" i="5"/>
  <c r="AO25" i="5"/>
  <c r="AO26" i="5"/>
  <c r="AO27" i="5"/>
  <c r="AO28" i="5"/>
  <c r="AO18" i="5"/>
  <c r="Q35" i="63" l="1"/>
  <c r="Q35" i="62"/>
  <c r="Q35" i="74"/>
  <c r="Q34" i="65"/>
  <c r="Q35" i="61"/>
  <c r="Q35" i="60"/>
  <c r="Q34" i="62"/>
  <c r="Q34" i="63"/>
  <c r="Q33" i="65"/>
  <c r="Q34" i="61"/>
  <c r="Q34" i="60"/>
  <c r="Q34" i="74"/>
  <c r="Q36" i="63"/>
  <c r="Q36" i="74"/>
  <c r="Q36" i="60"/>
  <c r="Q35" i="65"/>
  <c r="Q36" i="61"/>
  <c r="Q36" i="62"/>
  <c r="Q28" i="74"/>
  <c r="Q28" i="62"/>
  <c r="Q28" i="63"/>
  <c r="Q28" i="61"/>
  <c r="Q28" i="60"/>
  <c r="Q33" i="60"/>
  <c r="Q32" i="65"/>
  <c r="Q33" i="62"/>
  <c r="Q33" i="61"/>
  <c r="Q33" i="63"/>
  <c r="Q33" i="74"/>
  <c r="Q32" i="62"/>
  <c r="Q32" i="60"/>
  <c r="Q32" i="63"/>
  <c r="Q31" i="65"/>
  <c r="Q32" i="74"/>
  <c r="Q32" i="61"/>
  <c r="Q31" i="61"/>
  <c r="Q31" i="60"/>
  <c r="Q31" i="62"/>
  <c r="Q31" i="74"/>
  <c r="Q30" i="65"/>
  <c r="Q31" i="63"/>
  <c r="Q30" i="61"/>
  <c r="Q30" i="62"/>
  <c r="Q29" i="65"/>
  <c r="Q30" i="60"/>
  <c r="Q30" i="74"/>
  <c r="Q30" i="63"/>
  <c r="Q29" i="74"/>
  <c r="Q29" i="62"/>
  <c r="Q29" i="60"/>
  <c r="Q29" i="63"/>
  <c r="Q29" i="61"/>
  <c r="Q28" i="65"/>
  <c r="S66" i="19"/>
  <c r="AF11" i="57"/>
  <c r="K28" i="61"/>
  <c r="M28" i="30"/>
  <c r="K28" i="60"/>
  <c r="K28" i="62"/>
  <c r="K28" i="65"/>
  <c r="M28" i="74"/>
  <c r="C59" i="75" l="1"/>
  <c r="I28" i="74"/>
  <c r="M28" i="75" l="1"/>
  <c r="K28" i="75"/>
  <c r="E28" i="75"/>
  <c r="W26" i="75"/>
  <c r="U26" i="75"/>
  <c r="S26" i="75"/>
  <c r="Q26" i="75"/>
  <c r="O26" i="75"/>
  <c r="M26" i="75"/>
  <c r="K26" i="75"/>
  <c r="AF16" i="75"/>
  <c r="BD15" i="75"/>
  <c r="BD14" i="75"/>
  <c r="A3" i="75"/>
  <c r="A2" i="75"/>
  <c r="A1" i="75"/>
  <c r="C28" i="75" l="1"/>
  <c r="C29" i="75" s="1"/>
  <c r="C30" i="75" s="1"/>
  <c r="C31" i="75" s="1"/>
  <c r="C32" i="75" s="1"/>
  <c r="C33" i="75" s="1"/>
  <c r="C34" i="75" s="1"/>
  <c r="C35" i="75" s="1"/>
  <c r="C36" i="75" s="1"/>
  <c r="C37" i="75" s="1"/>
  <c r="C38" i="75" s="1"/>
  <c r="C39" i="75" s="1"/>
  <c r="C40" i="75" s="1"/>
  <c r="C41" i="75" s="1"/>
  <c r="C42" i="75" s="1"/>
  <c r="C43" i="75" s="1"/>
  <c r="C44" i="75" s="1"/>
  <c r="C45" i="75" s="1"/>
  <c r="C46" i="75" s="1"/>
  <c r="C47" i="75" s="1"/>
  <c r="C48" i="75" s="1"/>
  <c r="C49" i="75" s="1"/>
  <c r="C50" i="75" s="1"/>
  <c r="C51" i="75" s="1"/>
  <c r="C52" i="75" s="1"/>
  <c r="C53" i="75" s="1"/>
  <c r="C54" i="75" s="1"/>
  <c r="C55" i="75" s="1"/>
  <c r="C56" i="75" s="1"/>
  <c r="C57" i="75" s="1"/>
  <c r="BB28" i="75"/>
  <c r="I28" i="75" l="1"/>
  <c r="I29" i="75" s="1"/>
  <c r="I30" i="75" s="1"/>
  <c r="I31" i="75" s="1"/>
  <c r="I32" i="75" s="1"/>
  <c r="I33" i="75" s="1"/>
  <c r="I34" i="75" s="1"/>
  <c r="I35" i="75" s="1"/>
  <c r="I36" i="75" s="1"/>
  <c r="I37" i="75" s="1"/>
  <c r="I38" i="75" s="1"/>
  <c r="I39" i="75" s="1"/>
  <c r="I40" i="75" s="1"/>
  <c r="I41" i="75" s="1"/>
  <c r="I42" i="75" s="1"/>
  <c r="I43" i="75" s="1"/>
  <c r="I44" i="75" s="1"/>
  <c r="I45" i="75" s="1"/>
  <c r="I46" i="75" s="1"/>
  <c r="I47" i="75" s="1"/>
  <c r="I48" i="75" s="1"/>
  <c r="I49" i="75" s="1"/>
  <c r="I50" i="75" s="1"/>
  <c r="I51" i="75" s="1"/>
  <c r="I52" i="75" s="1"/>
  <c r="I53" i="75" s="1"/>
  <c r="I54" i="75" s="1"/>
  <c r="I55" i="75" s="1"/>
  <c r="I56" i="75" s="1"/>
  <c r="I57" i="75" s="1"/>
  <c r="AZ28" i="75"/>
  <c r="AZ29" i="75" s="1"/>
  <c r="AZ30" i="75" s="1"/>
  <c r="AZ31" i="75" s="1"/>
  <c r="AZ32" i="75" s="1"/>
  <c r="AZ33" i="75" s="1"/>
  <c r="AZ34" i="75" s="1"/>
  <c r="AZ35" i="75" s="1"/>
  <c r="AZ36" i="75" s="1"/>
  <c r="AZ37" i="75" s="1"/>
  <c r="AZ38" i="75" s="1"/>
  <c r="AZ39" i="75" s="1"/>
  <c r="AZ40" i="75" s="1"/>
  <c r="AZ41" i="75" s="1"/>
  <c r="AZ42" i="75" s="1"/>
  <c r="AZ43" i="75" s="1"/>
  <c r="AZ44" i="75" s="1"/>
  <c r="AZ45" i="75" s="1"/>
  <c r="AZ46" i="75" s="1"/>
  <c r="AZ47" i="75" s="1"/>
  <c r="AZ48" i="75" s="1"/>
  <c r="AZ49" i="75" s="1"/>
  <c r="AZ50" i="75" s="1"/>
  <c r="AZ51" i="75" s="1"/>
  <c r="AZ52" i="75" s="1"/>
  <c r="AZ53" i="75" s="1"/>
  <c r="AZ54" i="75" s="1"/>
  <c r="AZ55" i="75" s="1"/>
  <c r="AZ56" i="75" s="1"/>
  <c r="AZ57" i="75" s="1"/>
  <c r="G11" i="32"/>
  <c r="AB28" i="75"/>
  <c r="AB29" i="75" s="1"/>
  <c r="BB29" i="75"/>
  <c r="BB30" i="75" s="1"/>
  <c r="AB30" i="75" l="1"/>
  <c r="BB31" i="75"/>
  <c r="I59" i="75" l="1"/>
  <c r="K59" i="75"/>
  <c r="M59" i="75"/>
  <c r="BB32" i="75"/>
  <c r="AB31" i="75"/>
  <c r="AB32" i="75" l="1"/>
  <c r="BB33" i="75"/>
  <c r="AB33" i="75" l="1"/>
  <c r="BB34" i="75"/>
  <c r="AB34" i="75" l="1"/>
  <c r="BB35" i="75"/>
  <c r="AB35" i="75" l="1"/>
  <c r="BB36" i="75"/>
  <c r="AB36" i="75" l="1"/>
  <c r="BB37" i="75"/>
  <c r="BB38" i="75" s="1"/>
  <c r="BB39" i="75" l="1"/>
  <c r="AB37" i="75"/>
  <c r="AB38" i="75" s="1"/>
  <c r="AB39" i="75" s="1"/>
  <c r="AB40" i="75" s="1"/>
  <c r="AB41" i="75" s="1"/>
  <c r="AB42" i="75" s="1"/>
  <c r="AB43" i="75" s="1"/>
  <c r="AB44" i="75" s="1"/>
  <c r="AB45" i="75" s="1"/>
  <c r="AB46" i="75" s="1"/>
  <c r="AB47" i="75" s="1"/>
  <c r="AB48" i="75" s="1"/>
  <c r="AB49" i="75" s="1"/>
  <c r="AB50" i="75" s="1"/>
  <c r="AB51" i="75" s="1"/>
  <c r="AB52" i="75" s="1"/>
  <c r="AB53" i="75" s="1"/>
  <c r="AB54" i="75" s="1"/>
  <c r="AB55" i="75" s="1"/>
  <c r="AB56" i="75" s="1"/>
  <c r="AB57" i="75" s="1"/>
  <c r="BB40" i="75" l="1"/>
  <c r="BB41" i="75" l="1"/>
  <c r="BB42" i="75" l="1"/>
  <c r="AD37" i="75"/>
  <c r="AD33" i="75"/>
  <c r="AD29" i="75"/>
  <c r="AD36" i="75"/>
  <c r="AD32" i="75"/>
  <c r="AD28" i="75"/>
  <c r="AD35" i="75"/>
  <c r="AD31" i="75"/>
  <c r="AD34" i="75"/>
  <c r="BB43" i="75" l="1"/>
  <c r="AD30" i="75"/>
  <c r="G59" i="75"/>
  <c r="AD59" i="75"/>
  <c r="BB44" i="75" l="1"/>
  <c r="BB45" i="75" l="1"/>
  <c r="BB46" i="75" l="1"/>
  <c r="P47" i="23"/>
  <c r="P52" i="23"/>
  <c r="P69" i="23"/>
  <c r="P78" i="23"/>
  <c r="P80" i="23" l="1"/>
  <c r="BB47" i="75"/>
  <c r="S61" i="23"/>
  <c r="U61" i="23" s="1"/>
  <c r="S62" i="23"/>
  <c r="U62" i="23" s="1"/>
  <c r="K30" i="48"/>
  <c r="K31" i="48"/>
  <c r="K32" i="48" s="1"/>
  <c r="K33" i="48" s="1"/>
  <c r="K34" i="48" s="1"/>
  <c r="K35" i="48" s="1"/>
  <c r="K36" i="48" s="1"/>
  <c r="K37" i="48" s="1"/>
  <c r="K38" i="48" s="1"/>
  <c r="K39" i="48" s="1"/>
  <c r="K40" i="48" s="1"/>
  <c r="K41" i="48" s="1"/>
  <c r="K42" i="48" s="1"/>
  <c r="K43" i="48" s="1"/>
  <c r="K44" i="48" s="1"/>
  <c r="K45" i="48" s="1"/>
  <c r="K46" i="48" s="1"/>
  <c r="K47" i="48" s="1"/>
  <c r="K29" i="48"/>
  <c r="BB48" i="75" l="1"/>
  <c r="BB49" i="75" l="1"/>
  <c r="S50" i="23"/>
  <c r="U50" i="23" s="1"/>
  <c r="U60" i="23"/>
  <c r="BB50" i="75" l="1"/>
  <c r="AD68" i="74"/>
  <c r="AD67" i="74"/>
  <c r="AD66" i="74"/>
  <c r="AD65" i="74"/>
  <c r="AD64" i="74"/>
  <c r="AD63" i="74"/>
  <c r="AD62" i="74"/>
  <c r="AD61" i="74"/>
  <c r="AD60" i="74"/>
  <c r="AD59" i="74"/>
  <c r="AD58" i="74"/>
  <c r="AD57" i="74"/>
  <c r="AD56" i="74"/>
  <c r="AD55" i="74"/>
  <c r="AD54" i="74"/>
  <c r="AD53" i="74"/>
  <c r="AD52" i="74"/>
  <c r="AD51" i="74"/>
  <c r="AD50" i="74"/>
  <c r="AD49" i="74"/>
  <c r="AD48" i="74"/>
  <c r="AD47" i="74"/>
  <c r="AD46" i="74"/>
  <c r="AD45" i="74"/>
  <c r="AD44" i="74"/>
  <c r="AD43" i="74"/>
  <c r="AD42" i="74"/>
  <c r="AD41" i="74"/>
  <c r="AD40" i="74"/>
  <c r="AD39" i="74"/>
  <c r="AD38" i="74"/>
  <c r="AD37" i="74"/>
  <c r="E37" i="74"/>
  <c r="AD36" i="74"/>
  <c r="E36" i="74"/>
  <c r="AD35" i="74"/>
  <c r="E35" i="74"/>
  <c r="AD34" i="74"/>
  <c r="E34" i="74"/>
  <c r="AD33" i="74"/>
  <c r="E33" i="74"/>
  <c r="AD32" i="74"/>
  <c r="E32" i="74"/>
  <c r="AD31" i="74"/>
  <c r="E31" i="74"/>
  <c r="AD30" i="74"/>
  <c r="E30" i="74"/>
  <c r="AD29" i="74"/>
  <c r="E29" i="74"/>
  <c r="AF29" i="74" s="1"/>
  <c r="C29" i="74"/>
  <c r="C30" i="74" s="1"/>
  <c r="C31" i="74" s="1"/>
  <c r="C32" i="74" s="1"/>
  <c r="C33" i="74" s="1"/>
  <c r="C34" i="74" s="1"/>
  <c r="C35" i="74" s="1"/>
  <c r="C36" i="74" s="1"/>
  <c r="C37" i="74" s="1"/>
  <c r="C38" i="74" s="1"/>
  <c r="C39" i="74" s="1"/>
  <c r="C40" i="74" s="1"/>
  <c r="C41" i="74" s="1"/>
  <c r="C42" i="74" s="1"/>
  <c r="C43" i="74" s="1"/>
  <c r="C44" i="74" s="1"/>
  <c r="C45" i="74" s="1"/>
  <c r="C46" i="74" s="1"/>
  <c r="C47" i="74" s="1"/>
  <c r="C48" i="74" s="1"/>
  <c r="C49" i="74" s="1"/>
  <c r="C50" i="74" s="1"/>
  <c r="C51" i="74" s="1"/>
  <c r="C52" i="74" s="1"/>
  <c r="C53" i="74" s="1"/>
  <c r="C54" i="74" s="1"/>
  <c r="C55" i="74" s="1"/>
  <c r="C56" i="74" s="1"/>
  <c r="C57" i="74" s="1"/>
  <c r="C58" i="74" s="1"/>
  <c r="C59" i="74" s="1"/>
  <c r="C60" i="74" s="1"/>
  <c r="C61" i="74" s="1"/>
  <c r="C62" i="74" s="1"/>
  <c r="C63" i="74" s="1"/>
  <c r="C64" i="74" s="1"/>
  <c r="C65" i="74" s="1"/>
  <c r="C66" i="74" s="1"/>
  <c r="C67" i="74" s="1"/>
  <c r="C68" i="74" s="1"/>
  <c r="AZ28" i="74"/>
  <c r="AZ29" i="74" s="1"/>
  <c r="AZ30" i="74" s="1"/>
  <c r="AZ31" i="74" s="1"/>
  <c r="AZ32" i="74" s="1"/>
  <c r="AZ33" i="74" s="1"/>
  <c r="AZ34" i="74" s="1"/>
  <c r="AZ35" i="74" s="1"/>
  <c r="AZ36" i="74" s="1"/>
  <c r="AZ37" i="74" s="1"/>
  <c r="AZ38" i="74" s="1"/>
  <c r="AZ39" i="74" s="1"/>
  <c r="AZ40" i="74" s="1"/>
  <c r="AZ41" i="74" s="1"/>
  <c r="AZ42" i="74" s="1"/>
  <c r="AZ43" i="74" s="1"/>
  <c r="AZ44" i="74" s="1"/>
  <c r="AZ45" i="74" s="1"/>
  <c r="AZ46" i="74" s="1"/>
  <c r="AZ47" i="74" s="1"/>
  <c r="AZ48" i="74" s="1"/>
  <c r="AZ49" i="74" s="1"/>
  <c r="AZ50" i="74" s="1"/>
  <c r="AZ51" i="74" s="1"/>
  <c r="AZ52" i="74" s="1"/>
  <c r="AZ53" i="74" s="1"/>
  <c r="AZ54" i="74" s="1"/>
  <c r="AZ55" i="74" s="1"/>
  <c r="AZ56" i="74" s="1"/>
  <c r="AZ57" i="74" s="1"/>
  <c r="AZ58" i="74" s="1"/>
  <c r="AZ59" i="74" s="1"/>
  <c r="AZ60" i="74" s="1"/>
  <c r="AZ61" i="74" s="1"/>
  <c r="AZ62" i="74" s="1"/>
  <c r="AZ63" i="74" s="1"/>
  <c r="AZ64" i="74" s="1"/>
  <c r="AZ65" i="74" s="1"/>
  <c r="AZ66" i="74" s="1"/>
  <c r="AZ67" i="74" s="1"/>
  <c r="AZ68" i="74" s="1"/>
  <c r="AD28" i="74"/>
  <c r="AB28" i="74"/>
  <c r="AB29" i="74" s="1"/>
  <c r="AB30" i="74" s="1"/>
  <c r="K28" i="74"/>
  <c r="E28" i="74"/>
  <c r="W26" i="74"/>
  <c r="U26" i="74"/>
  <c r="S26" i="74"/>
  <c r="Q26" i="74"/>
  <c r="O26" i="74"/>
  <c r="M26" i="74"/>
  <c r="K26" i="74"/>
  <c r="I19" i="74"/>
  <c r="G19" i="74"/>
  <c r="BI16" i="74"/>
  <c r="BK15" i="74"/>
  <c r="AR15" i="74"/>
  <c r="BK14" i="74"/>
  <c r="AF11" i="74"/>
  <c r="AL28" i="74" s="1"/>
  <c r="BB51" i="75" l="1"/>
  <c r="BD29" i="74"/>
  <c r="BD30" i="74" s="1"/>
  <c r="BD31" i="74" s="1"/>
  <c r="BD32" i="74" s="1"/>
  <c r="BD33" i="74" s="1"/>
  <c r="BD34" i="74" s="1"/>
  <c r="BD35" i="74" s="1"/>
  <c r="BD36" i="74" s="1"/>
  <c r="BD37" i="74" s="1"/>
  <c r="BD38" i="74" s="1"/>
  <c r="BB29" i="74"/>
  <c r="M29" i="74"/>
  <c r="M30" i="74" s="1"/>
  <c r="M31" i="74" s="1"/>
  <c r="M32" i="74" s="1"/>
  <c r="M33" i="74" s="1"/>
  <c r="M34" i="74" s="1"/>
  <c r="M35" i="74" s="1"/>
  <c r="M36" i="74" s="1"/>
  <c r="M37" i="74" s="1"/>
  <c r="M38" i="74" s="1"/>
  <c r="S38" i="74" s="1"/>
  <c r="K29" i="74"/>
  <c r="K30" i="74" s="1"/>
  <c r="K31" i="74" s="1"/>
  <c r="K32" i="74" s="1"/>
  <c r="K33" i="74" s="1"/>
  <c r="K34" i="74" s="1"/>
  <c r="K35" i="74" s="1"/>
  <c r="K36" i="74" s="1"/>
  <c r="K37" i="74" s="1"/>
  <c r="AH29" i="74"/>
  <c r="AH30" i="74" s="1"/>
  <c r="AH31" i="74" s="1"/>
  <c r="AH32" i="74" s="1"/>
  <c r="AH33" i="74" s="1"/>
  <c r="AH34" i="74" s="1"/>
  <c r="AH35" i="74" s="1"/>
  <c r="AH36" i="74" s="1"/>
  <c r="AH37" i="74" s="1"/>
  <c r="BD11" i="74"/>
  <c r="BF28" i="74" s="1"/>
  <c r="AT28" i="74" s="1"/>
  <c r="AF12" i="74"/>
  <c r="AF30" i="74"/>
  <c r="AB31" i="74"/>
  <c r="I29" i="74"/>
  <c r="S28" i="74"/>
  <c r="BF29" i="74"/>
  <c r="BB30" i="74"/>
  <c r="AJ29" i="74"/>
  <c r="AJ30" i="74" s="1"/>
  <c r="AJ31" i="74" s="1"/>
  <c r="AJ32" i="74" s="1"/>
  <c r="AJ33" i="74" s="1"/>
  <c r="AJ34" i="74" s="1"/>
  <c r="AJ35" i="74" s="1"/>
  <c r="AJ36" i="74" s="1"/>
  <c r="AJ37" i="74" s="1"/>
  <c r="AR29" i="74"/>
  <c r="AR30" i="74" s="1"/>
  <c r="AR31" i="74" s="1"/>
  <c r="AR32" i="74" s="1"/>
  <c r="AR33" i="74" s="1"/>
  <c r="AR34" i="74" s="1"/>
  <c r="AR35" i="74" s="1"/>
  <c r="AR36" i="74" s="1"/>
  <c r="AR37" i="74" s="1"/>
  <c r="BB52" i="75" l="1"/>
  <c r="BB31" i="74"/>
  <c r="BF30" i="74"/>
  <c r="S29" i="74"/>
  <c r="I30" i="74"/>
  <c r="AB32" i="74"/>
  <c r="AF31" i="74"/>
  <c r="AL30" i="74"/>
  <c r="AL29" i="74"/>
  <c r="BB53" i="75" l="1"/>
  <c r="AT30" i="74"/>
  <c r="AT29" i="74"/>
  <c r="AF32" i="74"/>
  <c r="AL31" i="74"/>
  <c r="AB33" i="74"/>
  <c r="BF31" i="74"/>
  <c r="BB32" i="74"/>
  <c r="S30" i="74"/>
  <c r="I31" i="74"/>
  <c r="BB54" i="75" l="1"/>
  <c r="I32" i="74"/>
  <c r="S31" i="74"/>
  <c r="AL32" i="74"/>
  <c r="AF33" i="74"/>
  <c r="AB34" i="74"/>
  <c r="BB33" i="74"/>
  <c r="BF32" i="74"/>
  <c r="AT31" i="74"/>
  <c r="BB55" i="75" l="1"/>
  <c r="AT32" i="74"/>
  <c r="I33" i="74"/>
  <c r="S32" i="74"/>
  <c r="AL33" i="74"/>
  <c r="AF34" i="74"/>
  <c r="BF33" i="74"/>
  <c r="BB34" i="74"/>
  <c r="AB35" i="74"/>
  <c r="BB56" i="75" l="1"/>
  <c r="AT33" i="74"/>
  <c r="AB36" i="74"/>
  <c r="BF34" i="74"/>
  <c r="BB35" i="74"/>
  <c r="AF35" i="74"/>
  <c r="AL34" i="74"/>
  <c r="S33" i="74"/>
  <c r="I34" i="74"/>
  <c r="BB57" i="75" l="1"/>
  <c r="S34" i="74"/>
  <c r="I35" i="74"/>
  <c r="AT34" i="74"/>
  <c r="BF35" i="74"/>
  <c r="BB36" i="74"/>
  <c r="AL35" i="74"/>
  <c r="AF36" i="74"/>
  <c r="AB37" i="74"/>
  <c r="BB59" i="75" l="1"/>
  <c r="AT35" i="74"/>
  <c r="I36" i="74"/>
  <c r="I37" i="74" s="1"/>
  <c r="S35" i="74"/>
  <c r="AB38" i="74"/>
  <c r="AF37" i="74"/>
  <c r="AL37" i="74" s="1"/>
  <c r="AL36" i="74"/>
  <c r="BF36" i="74"/>
  <c r="BB37" i="74"/>
  <c r="AB39" i="74" l="1"/>
  <c r="S36" i="74"/>
  <c r="BF37" i="74"/>
  <c r="AT37" i="74" s="1"/>
  <c r="BB38" i="74"/>
  <c r="AT36" i="74"/>
  <c r="BF38" i="74" l="1"/>
  <c r="AB40" i="74"/>
  <c r="S37" i="74"/>
  <c r="AB41" i="74" l="1"/>
  <c r="AB42" i="74" l="1"/>
  <c r="AB43" i="74" l="1"/>
  <c r="AB44" i="74" l="1"/>
  <c r="AB45" i="74" l="1"/>
  <c r="AB46" i="74" l="1"/>
  <c r="AB47" i="74" l="1"/>
  <c r="AB48" i="74" l="1"/>
  <c r="AB49" i="74" l="1"/>
  <c r="AB50" i="74" l="1"/>
  <c r="AB51" i="74" l="1"/>
  <c r="AB52" i="74" l="1"/>
  <c r="AB53" i="74" l="1"/>
  <c r="AB54" i="74" l="1"/>
  <c r="AB55" i="74" l="1"/>
  <c r="AB56" i="74" l="1"/>
  <c r="AB57" i="74" l="1"/>
  <c r="AB58" i="74" l="1"/>
  <c r="AB59" i="74" l="1"/>
  <c r="AB60" i="74" l="1"/>
  <c r="AB61" i="74" l="1"/>
  <c r="AB62" i="74" l="1"/>
  <c r="AB63" i="74" l="1"/>
  <c r="AB64" i="74" l="1"/>
  <c r="AB65" i="74" l="1"/>
  <c r="AB66" i="74" l="1"/>
  <c r="AB67" i="74" l="1"/>
  <c r="AB68" i="74" l="1"/>
  <c r="G52" i="73" l="1"/>
  <c r="C28" i="73"/>
  <c r="Q52" i="73"/>
  <c r="C52" i="73"/>
  <c r="G48" i="73"/>
  <c r="AD48" i="73" s="1"/>
  <c r="G47" i="73"/>
  <c r="AD47" i="73" s="1"/>
  <c r="G46" i="73"/>
  <c r="AD46" i="73" s="1"/>
  <c r="G45" i="73"/>
  <c r="AD45" i="73" s="1"/>
  <c r="G44" i="73"/>
  <c r="AD44" i="73" s="1"/>
  <c r="G43" i="73"/>
  <c r="AD43" i="73" s="1"/>
  <c r="G42" i="73"/>
  <c r="AD42" i="73" s="1"/>
  <c r="G41" i="73"/>
  <c r="AD41" i="73" s="1"/>
  <c r="G40" i="73"/>
  <c r="AD40" i="73" s="1"/>
  <c r="G39" i="73"/>
  <c r="AD39" i="73" s="1"/>
  <c r="G38" i="73"/>
  <c r="AD38" i="73" s="1"/>
  <c r="G37" i="73"/>
  <c r="AD37" i="73" s="1"/>
  <c r="G36" i="73"/>
  <c r="AD36" i="73" s="1"/>
  <c r="G35" i="73"/>
  <c r="AD35" i="73" s="1"/>
  <c r="G34" i="73"/>
  <c r="AD34" i="73" s="1"/>
  <c r="G33" i="73"/>
  <c r="AD33" i="73" s="1"/>
  <c r="G32" i="73"/>
  <c r="AD32" i="73" s="1"/>
  <c r="G31" i="73"/>
  <c r="AD31" i="73" s="1"/>
  <c r="G30" i="73"/>
  <c r="AD30" i="73" s="1"/>
  <c r="G29" i="73"/>
  <c r="AD28" i="73"/>
  <c r="M28" i="73"/>
  <c r="E28" i="73"/>
  <c r="E29" i="73" s="1"/>
  <c r="E30" i="73" s="1"/>
  <c r="E31" i="73" s="1"/>
  <c r="E32" i="73" s="1"/>
  <c r="C29" i="73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W26" i="73"/>
  <c r="U26" i="73"/>
  <c r="S26" i="73"/>
  <c r="Q26" i="73"/>
  <c r="O26" i="73"/>
  <c r="M26" i="73"/>
  <c r="K26" i="73"/>
  <c r="AF16" i="73"/>
  <c r="BD15" i="73"/>
  <c r="I28" i="73"/>
  <c r="BD14" i="73"/>
  <c r="BB31" i="73" s="1"/>
  <c r="A3" i="73"/>
  <c r="A2" i="73"/>
  <c r="A1" i="73"/>
  <c r="K29" i="73" l="1"/>
  <c r="I29" i="73"/>
  <c r="I30" i="73" s="1"/>
  <c r="I31" i="73" s="1"/>
  <c r="I32" i="73" s="1"/>
  <c r="E33" i="73"/>
  <c r="E34" i="73" s="1"/>
  <c r="E35" i="73" s="1"/>
  <c r="E36" i="73" s="1"/>
  <c r="E37" i="73" s="1"/>
  <c r="E38" i="73" s="1"/>
  <c r="E39" i="73" s="1"/>
  <c r="E40" i="73" s="1"/>
  <c r="E41" i="73" s="1"/>
  <c r="E42" i="73" s="1"/>
  <c r="E43" i="73" s="1"/>
  <c r="E44" i="73" s="1"/>
  <c r="E45" i="73" s="1"/>
  <c r="E46" i="73" s="1"/>
  <c r="E47" i="73" s="1"/>
  <c r="E48" i="73" s="1"/>
  <c r="AD29" i="73"/>
  <c r="BB32" i="73"/>
  <c r="K30" i="73"/>
  <c r="BB30" i="73"/>
  <c r="AB28" i="73"/>
  <c r="AB29" i="73" s="1"/>
  <c r="AB30" i="73" s="1"/>
  <c r="AB31" i="73" s="1"/>
  <c r="AB32" i="73" s="1"/>
  <c r="AZ28" i="73"/>
  <c r="AZ29" i="73" s="1"/>
  <c r="AZ30" i="73" s="1"/>
  <c r="AZ31" i="73" s="1"/>
  <c r="AZ32" i="73" s="1"/>
  <c r="AZ33" i="73" s="1"/>
  <c r="AZ34" i="73" s="1"/>
  <c r="AZ35" i="73" s="1"/>
  <c r="AZ36" i="73" s="1"/>
  <c r="AZ37" i="73" s="1"/>
  <c r="AZ38" i="73" s="1"/>
  <c r="AZ39" i="73" s="1"/>
  <c r="AZ40" i="73" s="1"/>
  <c r="AZ41" i="73" s="1"/>
  <c r="AZ42" i="73" s="1"/>
  <c r="AZ43" i="73" s="1"/>
  <c r="AZ44" i="73" s="1"/>
  <c r="AZ45" i="73" s="1"/>
  <c r="AZ46" i="73" s="1"/>
  <c r="AZ47" i="73" s="1"/>
  <c r="AZ48" i="73" s="1"/>
  <c r="AD52" i="73"/>
  <c r="M29" i="73"/>
  <c r="M30" i="73" s="1"/>
  <c r="M31" i="73" s="1"/>
  <c r="M32" i="73" s="1"/>
  <c r="K31" i="73" l="1"/>
  <c r="BB29" i="73"/>
  <c r="BB33" i="73"/>
  <c r="I33" i="73"/>
  <c r="I34" i="73" s="1"/>
  <c r="I35" i="73" s="1"/>
  <c r="I36" i="73" s="1"/>
  <c r="I37" i="73" s="1"/>
  <c r="I38" i="73" s="1"/>
  <c r="I39" i="73" s="1"/>
  <c r="I40" i="73" s="1"/>
  <c r="I41" i="73" s="1"/>
  <c r="I42" i="73" s="1"/>
  <c r="I43" i="73" s="1"/>
  <c r="I44" i="73" s="1"/>
  <c r="I45" i="73" s="1"/>
  <c r="I46" i="73" s="1"/>
  <c r="I47" i="73" s="1"/>
  <c r="I48" i="73" s="1"/>
  <c r="AB33" i="73"/>
  <c r="M33" i="73"/>
  <c r="M34" i="73" s="1"/>
  <c r="M35" i="73" s="1"/>
  <c r="M36" i="73" s="1"/>
  <c r="M37" i="73" s="1"/>
  <c r="M38" i="73" s="1"/>
  <c r="M39" i="73" s="1"/>
  <c r="M40" i="73" s="1"/>
  <c r="M41" i="73" s="1"/>
  <c r="M42" i="73" s="1"/>
  <c r="M43" i="73" s="1"/>
  <c r="M44" i="73" s="1"/>
  <c r="M45" i="73" s="1"/>
  <c r="M46" i="73" s="1"/>
  <c r="M47" i="73" s="1"/>
  <c r="M48" i="73" s="1"/>
  <c r="M52" i="73" l="1"/>
  <c r="K32" i="73"/>
  <c r="I52" i="73"/>
  <c r="AB34" i="73"/>
  <c r="BB28" i="73"/>
  <c r="BB34" i="73"/>
  <c r="K33" i="73" l="1"/>
  <c r="BB35" i="73"/>
  <c r="AB35" i="73"/>
  <c r="K34" i="73" l="1"/>
  <c r="AB36" i="73"/>
  <c r="BB36" i="73"/>
  <c r="K35" i="73" l="1"/>
  <c r="BB37" i="73"/>
  <c r="AB37" i="73"/>
  <c r="K36" i="73" l="1"/>
  <c r="AB38" i="73"/>
  <c r="BB38" i="73"/>
  <c r="K37" i="73" l="1"/>
  <c r="AB39" i="73"/>
  <c r="BB39" i="73"/>
  <c r="K38" i="73" l="1"/>
  <c r="BB40" i="73"/>
  <c r="AB40" i="73"/>
  <c r="K39" i="73" l="1"/>
  <c r="AB41" i="73"/>
  <c r="BB41" i="73"/>
  <c r="K40" i="73" l="1"/>
  <c r="AB42" i="73"/>
  <c r="BB42" i="73"/>
  <c r="K41" i="73" l="1"/>
  <c r="BB43" i="73"/>
  <c r="AB43" i="73"/>
  <c r="K42" i="73" l="1"/>
  <c r="BB44" i="73"/>
  <c r="AB44" i="73"/>
  <c r="K43" i="73" l="1"/>
  <c r="AB45" i="73"/>
  <c r="BB45" i="73"/>
  <c r="K44" i="73" l="1"/>
  <c r="AB46" i="73"/>
  <c r="BB46" i="73"/>
  <c r="K45" i="73" l="1"/>
  <c r="BB47" i="73"/>
  <c r="AB47" i="73"/>
  <c r="K46" i="73" l="1"/>
  <c r="AB48" i="73"/>
  <c r="BB48" i="73"/>
  <c r="K47" i="73" l="1"/>
  <c r="K48" i="73" l="1"/>
  <c r="BB52" i="73"/>
  <c r="K52" i="73" l="1"/>
  <c r="O30" i="72"/>
  <c r="G18" i="72"/>
  <c r="G19" i="72"/>
  <c r="G48" i="72"/>
  <c r="AD48" i="72" s="1"/>
  <c r="G47" i="72"/>
  <c r="AD47" i="72" s="1"/>
  <c r="G46" i="72"/>
  <c r="AD46" i="72" s="1"/>
  <c r="G45" i="72"/>
  <c r="AD45" i="72" s="1"/>
  <c r="G44" i="72"/>
  <c r="AD44" i="72" s="1"/>
  <c r="G43" i="72"/>
  <c r="AD43" i="72" s="1"/>
  <c r="G42" i="72"/>
  <c r="AD42" i="72" s="1"/>
  <c r="G41" i="72"/>
  <c r="AD41" i="72" s="1"/>
  <c r="G40" i="72"/>
  <c r="AD40" i="72" s="1"/>
  <c r="G39" i="72"/>
  <c r="AD39" i="72" s="1"/>
  <c r="G38" i="72"/>
  <c r="AD38" i="72" s="1"/>
  <c r="G37" i="72"/>
  <c r="AD37" i="72" s="1"/>
  <c r="G36" i="72"/>
  <c r="AD36" i="72" s="1"/>
  <c r="G35" i="72"/>
  <c r="AD35" i="72" s="1"/>
  <c r="G34" i="72"/>
  <c r="AD34" i="72" s="1"/>
  <c r="G33" i="72"/>
  <c r="AD33" i="72" s="1"/>
  <c r="G32" i="72"/>
  <c r="AD32" i="72" s="1"/>
  <c r="G31" i="72"/>
  <c r="AD31" i="72" s="1"/>
  <c r="G30" i="72"/>
  <c r="AD30" i="72" s="1"/>
  <c r="G29" i="72"/>
  <c r="AD28" i="72"/>
  <c r="M28" i="72"/>
  <c r="C28" i="72"/>
  <c r="C29" i="72" s="1"/>
  <c r="C30" i="72" s="1"/>
  <c r="W26" i="72"/>
  <c r="U26" i="72"/>
  <c r="S26" i="72"/>
  <c r="Q26" i="72"/>
  <c r="O26" i="72"/>
  <c r="M26" i="72"/>
  <c r="K26" i="72"/>
  <c r="AF16" i="72"/>
  <c r="BD15" i="72"/>
  <c r="I28" i="72"/>
  <c r="BD14" i="72"/>
  <c r="A3" i="72"/>
  <c r="A2" i="72"/>
  <c r="A1" i="72"/>
  <c r="E28" i="72" l="1"/>
  <c r="BB28" i="72" s="1"/>
  <c r="K50" i="72"/>
  <c r="Q50" i="72"/>
  <c r="C50" i="72"/>
  <c r="G50" i="72"/>
  <c r="C31" i="72"/>
  <c r="E30" i="72"/>
  <c r="E29" i="72"/>
  <c r="AD29" i="72"/>
  <c r="AB28" i="72"/>
  <c r="AZ28" i="72"/>
  <c r="AZ29" i="72" s="1"/>
  <c r="AZ30" i="72" s="1"/>
  <c r="AZ31" i="72" s="1"/>
  <c r="AZ32" i="72" s="1"/>
  <c r="AZ33" i="72" s="1"/>
  <c r="AZ34" i="72" s="1"/>
  <c r="AZ35" i="72" s="1"/>
  <c r="AZ36" i="72" s="1"/>
  <c r="AZ37" i="72" s="1"/>
  <c r="AZ38" i="72" s="1"/>
  <c r="AZ39" i="72" s="1"/>
  <c r="AZ40" i="72" s="1"/>
  <c r="AZ41" i="72" s="1"/>
  <c r="AZ42" i="72" s="1"/>
  <c r="AZ43" i="72" s="1"/>
  <c r="AZ44" i="72" s="1"/>
  <c r="AZ45" i="72" s="1"/>
  <c r="AZ46" i="72" s="1"/>
  <c r="AZ47" i="72" s="1"/>
  <c r="AZ48" i="72" s="1"/>
  <c r="O29" i="70"/>
  <c r="O30" i="70"/>
  <c r="O31" i="70"/>
  <c r="O32" i="70"/>
  <c r="O33" i="70"/>
  <c r="O34" i="70"/>
  <c r="O35" i="70"/>
  <c r="O36" i="70"/>
  <c r="O37" i="70"/>
  <c r="O38" i="70"/>
  <c r="O39" i="70"/>
  <c r="O40" i="70"/>
  <c r="O41" i="70"/>
  <c r="O42" i="70"/>
  <c r="O43" i="70"/>
  <c r="O44" i="70"/>
  <c r="O45" i="70"/>
  <c r="O46" i="70"/>
  <c r="O47" i="70"/>
  <c r="O48" i="70"/>
  <c r="O49" i="70"/>
  <c r="O50" i="70"/>
  <c r="O51" i="70"/>
  <c r="O52" i="70"/>
  <c r="O53" i="70"/>
  <c r="O54" i="70"/>
  <c r="O55" i="70"/>
  <c r="O56" i="70"/>
  <c r="O57" i="70"/>
  <c r="O28" i="70"/>
  <c r="M29" i="70"/>
  <c r="M30" i="70"/>
  <c r="M31" i="70"/>
  <c r="M32" i="70"/>
  <c r="M33" i="70"/>
  <c r="M34" i="70"/>
  <c r="M35" i="70"/>
  <c r="M36" i="70"/>
  <c r="M37" i="70"/>
  <c r="M38" i="70"/>
  <c r="M39" i="70"/>
  <c r="M40" i="70"/>
  <c r="M41" i="70"/>
  <c r="M42" i="70"/>
  <c r="M43" i="70"/>
  <c r="M44" i="70"/>
  <c r="M45" i="70"/>
  <c r="M46" i="70"/>
  <c r="M47" i="70"/>
  <c r="M48" i="70"/>
  <c r="M49" i="70"/>
  <c r="M50" i="70"/>
  <c r="M51" i="70"/>
  <c r="M52" i="70"/>
  <c r="M53" i="70"/>
  <c r="M54" i="70"/>
  <c r="M55" i="70"/>
  <c r="M56" i="70"/>
  <c r="AD36" i="70"/>
  <c r="AD37" i="70"/>
  <c r="AD38" i="70"/>
  <c r="AD39" i="70"/>
  <c r="AD40" i="70"/>
  <c r="AD41" i="70"/>
  <c r="AD42" i="70"/>
  <c r="AD43" i="70"/>
  <c r="AD44" i="70"/>
  <c r="AD45" i="70"/>
  <c r="AD46" i="70"/>
  <c r="AD47" i="70"/>
  <c r="AD48" i="70"/>
  <c r="AD49" i="70"/>
  <c r="AD50" i="70"/>
  <c r="AD51" i="70"/>
  <c r="AD52" i="70"/>
  <c r="AD53" i="70"/>
  <c r="AD54" i="70"/>
  <c r="AD55" i="70"/>
  <c r="AD56" i="70"/>
  <c r="AD57" i="70"/>
  <c r="AD50" i="72" l="1"/>
  <c r="BB29" i="72"/>
  <c r="BB30" i="72" s="1"/>
  <c r="E31" i="72"/>
  <c r="C32" i="72"/>
  <c r="AB29" i="72"/>
  <c r="M29" i="72"/>
  <c r="I29" i="72"/>
  <c r="AD35" i="70"/>
  <c r="AD34" i="70"/>
  <c r="AD33" i="70"/>
  <c r="AD32" i="70"/>
  <c r="AD31" i="70"/>
  <c r="AD30" i="70"/>
  <c r="AD29" i="70"/>
  <c r="AD28" i="70"/>
  <c r="M28" i="70"/>
  <c r="C28" i="70"/>
  <c r="C29" i="70" s="1"/>
  <c r="C30" i="70" s="1"/>
  <c r="C31" i="70" s="1"/>
  <c r="C32" i="70" s="1"/>
  <c r="C33" i="70" s="1"/>
  <c r="C34" i="70" s="1"/>
  <c r="C35" i="70" s="1"/>
  <c r="C36" i="70" s="1"/>
  <c r="C37" i="70" s="1"/>
  <c r="C38" i="70" s="1"/>
  <c r="C39" i="70" s="1"/>
  <c r="C40" i="70" s="1"/>
  <c r="C41" i="70" s="1"/>
  <c r="C42" i="70" s="1"/>
  <c r="C43" i="70" s="1"/>
  <c r="C44" i="70" s="1"/>
  <c r="C45" i="70" s="1"/>
  <c r="C46" i="70" s="1"/>
  <c r="C47" i="70" s="1"/>
  <c r="C48" i="70" s="1"/>
  <c r="C49" i="70" s="1"/>
  <c r="C50" i="70" s="1"/>
  <c r="C51" i="70" s="1"/>
  <c r="C52" i="70" s="1"/>
  <c r="C53" i="70" s="1"/>
  <c r="C54" i="70" s="1"/>
  <c r="C55" i="70" s="1"/>
  <c r="C56" i="70" s="1"/>
  <c r="C57" i="70" s="1"/>
  <c r="W26" i="70"/>
  <c r="U26" i="70"/>
  <c r="S26" i="70"/>
  <c r="Q26" i="70"/>
  <c r="O26" i="70"/>
  <c r="M26" i="70"/>
  <c r="K26" i="70"/>
  <c r="G19" i="70"/>
  <c r="BD15" i="70"/>
  <c r="AF15" i="70"/>
  <c r="BD14" i="70"/>
  <c r="A3" i="70"/>
  <c r="A2" i="70"/>
  <c r="A1" i="70"/>
  <c r="Q64" i="69"/>
  <c r="AD48" i="69"/>
  <c r="AD49" i="69"/>
  <c r="AD50" i="69"/>
  <c r="AD51" i="69"/>
  <c r="AD52" i="69"/>
  <c r="AD53" i="69"/>
  <c r="M53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42" i="69"/>
  <c r="M43" i="69"/>
  <c r="M44" i="69"/>
  <c r="M45" i="69"/>
  <c r="M46" i="69"/>
  <c r="M47" i="69"/>
  <c r="M48" i="69"/>
  <c r="M49" i="69"/>
  <c r="M50" i="69"/>
  <c r="M51" i="69"/>
  <c r="M52" i="69"/>
  <c r="C29" i="69"/>
  <c r="AD47" i="69"/>
  <c r="BB31" i="72" l="1"/>
  <c r="I30" i="72"/>
  <c r="AB30" i="72"/>
  <c r="C33" i="72"/>
  <c r="E32" i="72"/>
  <c r="M30" i="72"/>
  <c r="M31" i="72" s="1"/>
  <c r="C30" i="69"/>
  <c r="AB28" i="70"/>
  <c r="AZ28" i="70"/>
  <c r="AZ29" i="70" s="1"/>
  <c r="AZ30" i="70" s="1"/>
  <c r="AZ31" i="70" s="1"/>
  <c r="AZ32" i="70" s="1"/>
  <c r="AZ33" i="70" s="1"/>
  <c r="AZ34" i="70" s="1"/>
  <c r="AZ35" i="70" s="1"/>
  <c r="AZ36" i="70" s="1"/>
  <c r="AZ37" i="70" s="1"/>
  <c r="AZ38" i="70" s="1"/>
  <c r="AZ39" i="70" s="1"/>
  <c r="AZ40" i="70" s="1"/>
  <c r="AZ41" i="70" s="1"/>
  <c r="AZ42" i="70" s="1"/>
  <c r="AZ43" i="70" s="1"/>
  <c r="AZ44" i="70" s="1"/>
  <c r="AZ45" i="70" s="1"/>
  <c r="AZ46" i="70" s="1"/>
  <c r="AZ47" i="70" s="1"/>
  <c r="AZ48" i="70" s="1"/>
  <c r="AZ49" i="70" s="1"/>
  <c r="AZ50" i="70" s="1"/>
  <c r="AZ51" i="70" s="1"/>
  <c r="AZ52" i="70" s="1"/>
  <c r="AZ53" i="70" s="1"/>
  <c r="AZ54" i="70" s="1"/>
  <c r="AZ55" i="70" s="1"/>
  <c r="AZ56" i="70" s="1"/>
  <c r="AZ57" i="70" s="1"/>
  <c r="I31" i="72" l="1"/>
  <c r="I32" i="72" s="1"/>
  <c r="S30" i="72"/>
  <c r="M32" i="72"/>
  <c r="C34" i="72"/>
  <c r="E33" i="72"/>
  <c r="BB32" i="72"/>
  <c r="AB31" i="72"/>
  <c r="C31" i="69"/>
  <c r="AB29" i="70"/>
  <c r="BB33" i="72" l="1"/>
  <c r="C35" i="72"/>
  <c r="E34" i="72"/>
  <c r="I33" i="72"/>
  <c r="M33" i="72"/>
  <c r="AB32" i="72"/>
  <c r="AB30" i="70"/>
  <c r="C32" i="69"/>
  <c r="I34" i="72" l="1"/>
  <c r="E35" i="72"/>
  <c r="C36" i="72"/>
  <c r="BB34" i="72"/>
  <c r="AB33" i="72"/>
  <c r="M34" i="72"/>
  <c r="AB31" i="70"/>
  <c r="C33" i="69"/>
  <c r="M35" i="72" l="1"/>
  <c r="I35" i="72"/>
  <c r="AB34" i="72"/>
  <c r="C37" i="72"/>
  <c r="E36" i="72"/>
  <c r="BB35" i="72"/>
  <c r="AB32" i="70"/>
  <c r="C34" i="69"/>
  <c r="M36" i="72" l="1"/>
  <c r="C38" i="72"/>
  <c r="E37" i="72"/>
  <c r="AB35" i="72"/>
  <c r="BB36" i="72"/>
  <c r="I36" i="72"/>
  <c r="C35" i="69"/>
  <c r="AB33" i="70"/>
  <c r="I37" i="72" l="1"/>
  <c r="AB36" i="72"/>
  <c r="M37" i="72"/>
  <c r="BB37" i="72"/>
  <c r="C39" i="72"/>
  <c r="E38" i="72"/>
  <c r="C36" i="69"/>
  <c r="AB34" i="70"/>
  <c r="I38" i="72" l="1"/>
  <c r="AB37" i="72"/>
  <c r="BB38" i="72"/>
  <c r="M38" i="72"/>
  <c r="E39" i="72"/>
  <c r="C40" i="72"/>
  <c r="AB35" i="70"/>
  <c r="AB36" i="70" s="1"/>
  <c r="C37" i="69"/>
  <c r="M39" i="72" l="1"/>
  <c r="BB39" i="72"/>
  <c r="I39" i="72"/>
  <c r="C41" i="72"/>
  <c r="E40" i="72"/>
  <c r="AB38" i="72"/>
  <c r="AB37" i="70"/>
  <c r="C38" i="69"/>
  <c r="AB39" i="72" l="1"/>
  <c r="M40" i="72"/>
  <c r="BB40" i="72"/>
  <c r="C42" i="72"/>
  <c r="E42" i="72" s="1"/>
  <c r="E41" i="72"/>
  <c r="I40" i="72"/>
  <c r="AB38" i="70"/>
  <c r="C39" i="69"/>
  <c r="C43" i="72" l="1"/>
  <c r="E43" i="72" s="1"/>
  <c r="AB40" i="72"/>
  <c r="BB41" i="72"/>
  <c r="M41" i="72"/>
  <c r="I41" i="72"/>
  <c r="AB39" i="70"/>
  <c r="C40" i="69"/>
  <c r="M42" i="72" l="1"/>
  <c r="I42" i="72"/>
  <c r="C44" i="72"/>
  <c r="E44" i="72" s="1"/>
  <c r="BB42" i="72"/>
  <c r="BB43" i="72" s="1"/>
  <c r="AB41" i="72"/>
  <c r="AB40" i="70"/>
  <c r="C41" i="69"/>
  <c r="M43" i="72" l="1"/>
  <c r="M44" i="72" s="1"/>
  <c r="I50" i="72"/>
  <c r="I43" i="72"/>
  <c r="C45" i="72"/>
  <c r="E45" i="72" s="1"/>
  <c r="AB42" i="72"/>
  <c r="AB41" i="70"/>
  <c r="C42" i="69"/>
  <c r="I44" i="72" l="1"/>
  <c r="M50" i="72"/>
  <c r="BB44" i="72"/>
  <c r="AB43" i="72"/>
  <c r="C46" i="72"/>
  <c r="AB42" i="70"/>
  <c r="C43" i="69"/>
  <c r="I45" i="72" l="1"/>
  <c r="E46" i="72"/>
  <c r="C47" i="72"/>
  <c r="M45" i="72"/>
  <c r="BB45" i="72"/>
  <c r="AB44" i="72"/>
  <c r="AB43" i="70"/>
  <c r="C44" i="69"/>
  <c r="M46" i="72" l="1"/>
  <c r="I46" i="72"/>
  <c r="C48" i="72"/>
  <c r="E48" i="72" s="1"/>
  <c r="E47" i="72"/>
  <c r="AB45" i="72"/>
  <c r="BB46" i="72"/>
  <c r="AB44" i="70"/>
  <c r="C45" i="69"/>
  <c r="M47" i="72" l="1"/>
  <c r="M48" i="72" s="1"/>
  <c r="I47" i="72"/>
  <c r="BB47" i="72"/>
  <c r="AB46" i="72"/>
  <c r="AB45" i="70"/>
  <c r="C46" i="69"/>
  <c r="I48" i="72" l="1"/>
  <c r="AB47" i="72"/>
  <c r="BB48" i="72"/>
  <c r="AB46" i="70"/>
  <c r="C47" i="69"/>
  <c r="BB50" i="72" l="1"/>
  <c r="AB48" i="72"/>
  <c r="AB47" i="70"/>
  <c r="C48" i="69"/>
  <c r="AB48" i="70" l="1"/>
  <c r="C49" i="69"/>
  <c r="AB49" i="70" l="1"/>
  <c r="C50" i="69"/>
  <c r="AB50" i="70" l="1"/>
  <c r="C51" i="69"/>
  <c r="AB51" i="70" l="1"/>
  <c r="C52" i="69"/>
  <c r="AB52" i="70" l="1"/>
  <c r="C53" i="69"/>
  <c r="AB53" i="70" l="1"/>
  <c r="AD46" i="69"/>
  <c r="AD45" i="69"/>
  <c r="AD44" i="69"/>
  <c r="AD43" i="69"/>
  <c r="AD42" i="69"/>
  <c r="AD41" i="69"/>
  <c r="AD40" i="69"/>
  <c r="AD39" i="69"/>
  <c r="AD38" i="69"/>
  <c r="AD37" i="69"/>
  <c r="AD36" i="69"/>
  <c r="AD35" i="69"/>
  <c r="AD34" i="69"/>
  <c r="AD33" i="69"/>
  <c r="AD32" i="69"/>
  <c r="AD31" i="69"/>
  <c r="AD30" i="69"/>
  <c r="AD29" i="69"/>
  <c r="AD28" i="69"/>
  <c r="M28" i="69"/>
  <c r="C28" i="69"/>
  <c r="W26" i="69"/>
  <c r="U26" i="69"/>
  <c r="S26" i="69"/>
  <c r="Q26" i="69"/>
  <c r="O26" i="69"/>
  <c r="M26" i="69"/>
  <c r="K26" i="69"/>
  <c r="G19" i="69"/>
  <c r="AF16" i="69"/>
  <c r="BD15" i="69"/>
  <c r="BD14" i="69"/>
  <c r="A3" i="69"/>
  <c r="A2" i="69"/>
  <c r="A1" i="69"/>
  <c r="AB54" i="70" l="1"/>
  <c r="AB28" i="69"/>
  <c r="AZ28" i="69"/>
  <c r="AZ29" i="69" s="1"/>
  <c r="AZ30" i="69" s="1"/>
  <c r="AZ31" i="69" s="1"/>
  <c r="AZ32" i="69" s="1"/>
  <c r="AZ33" i="69" s="1"/>
  <c r="AZ34" i="69" s="1"/>
  <c r="AZ35" i="69" s="1"/>
  <c r="AZ36" i="69" s="1"/>
  <c r="AZ37" i="69" s="1"/>
  <c r="AZ38" i="69" s="1"/>
  <c r="AZ39" i="69" s="1"/>
  <c r="AZ40" i="69" s="1"/>
  <c r="AZ41" i="69" s="1"/>
  <c r="AZ42" i="69" s="1"/>
  <c r="AZ43" i="69" s="1"/>
  <c r="AZ44" i="69" s="1"/>
  <c r="AZ45" i="69" s="1"/>
  <c r="AZ46" i="69" s="1"/>
  <c r="AZ47" i="69" s="1"/>
  <c r="AZ48" i="69" s="1"/>
  <c r="AZ49" i="69" s="1"/>
  <c r="AZ50" i="69" s="1"/>
  <c r="AZ51" i="69" s="1"/>
  <c r="AZ52" i="69" s="1"/>
  <c r="AZ53" i="69" s="1"/>
  <c r="C64" i="69"/>
  <c r="AD64" i="69"/>
  <c r="K64" i="69"/>
  <c r="G64" i="69"/>
  <c r="O64" i="69"/>
  <c r="AB55" i="70" l="1"/>
  <c r="AB29" i="69"/>
  <c r="AB30" i="69" s="1"/>
  <c r="AB56" i="70" l="1"/>
  <c r="AB31" i="69"/>
  <c r="AB57" i="70" l="1"/>
  <c r="AB32" i="69"/>
  <c r="AB33" i="69" l="1"/>
  <c r="AB34" i="69" l="1"/>
  <c r="AB35" i="69" l="1"/>
  <c r="AB36" i="69" l="1"/>
  <c r="AB37" i="69" l="1"/>
  <c r="AB38" i="69" l="1"/>
  <c r="AB39" i="69" l="1"/>
  <c r="AB40" i="69" l="1"/>
  <c r="AB41" i="69" l="1"/>
  <c r="AB42" i="69" l="1"/>
  <c r="AB43" i="69" l="1"/>
  <c r="AB44" i="69" l="1"/>
  <c r="AB45" i="69" l="1"/>
  <c r="AB46" i="69" l="1"/>
  <c r="AB47" i="69" s="1"/>
  <c r="AB48" i="69" l="1"/>
  <c r="AB49" i="69" l="1"/>
  <c r="AB50" i="69" l="1"/>
  <c r="M64" i="69"/>
  <c r="AB51" i="69" l="1"/>
  <c r="AB52" i="69" l="1"/>
  <c r="AB53" i="69" l="1"/>
  <c r="O57" i="68" l="1"/>
  <c r="O56" i="68"/>
  <c r="O55" i="68"/>
  <c r="O54" i="68"/>
  <c r="O53" i="68"/>
  <c r="O52" i="68"/>
  <c r="O51" i="68"/>
  <c r="O50" i="68"/>
  <c r="O49" i="68"/>
  <c r="O48" i="68"/>
  <c r="O47" i="68"/>
  <c r="O46" i="68"/>
  <c r="O45" i="68"/>
  <c r="O44" i="68"/>
  <c r="O43" i="68"/>
  <c r="O42" i="68"/>
  <c r="O41" i="68"/>
  <c r="O40" i="68"/>
  <c r="O39" i="68"/>
  <c r="O38" i="68"/>
  <c r="O37" i="68"/>
  <c r="O36" i="68"/>
  <c r="O35" i="68"/>
  <c r="O34" i="68"/>
  <c r="O33" i="68"/>
  <c r="O32" i="68"/>
  <c r="O31" i="68"/>
  <c r="O30" i="68"/>
  <c r="AZ29" i="68"/>
  <c r="AZ30" i="68" s="1"/>
  <c r="AZ31" i="68" s="1"/>
  <c r="AZ32" i="68" s="1"/>
  <c r="AZ33" i="68" s="1"/>
  <c r="AZ34" i="68" s="1"/>
  <c r="AZ35" i="68" s="1"/>
  <c r="AZ36" i="68" s="1"/>
  <c r="AZ37" i="68" s="1"/>
  <c r="AZ38" i="68" s="1"/>
  <c r="AZ39" i="68" s="1"/>
  <c r="AZ40" i="68" s="1"/>
  <c r="AZ41" i="68" s="1"/>
  <c r="AZ42" i="68" s="1"/>
  <c r="AZ43" i="68" s="1"/>
  <c r="AZ44" i="68" s="1"/>
  <c r="AZ45" i="68" s="1"/>
  <c r="AZ46" i="68" s="1"/>
  <c r="AZ47" i="68" s="1"/>
  <c r="AZ48" i="68" s="1"/>
  <c r="AZ49" i="68" s="1"/>
  <c r="AZ50" i="68" s="1"/>
  <c r="AZ51" i="68" s="1"/>
  <c r="AZ52" i="68" s="1"/>
  <c r="AZ53" i="68" s="1"/>
  <c r="AZ54" i="68" s="1"/>
  <c r="AZ55" i="68" s="1"/>
  <c r="AZ56" i="68" s="1"/>
  <c r="AZ57" i="68" s="1"/>
  <c r="O29" i="68"/>
  <c r="C29" i="68"/>
  <c r="C30" i="68" s="1"/>
  <c r="C31" i="68" s="1"/>
  <c r="C32" i="68" s="1"/>
  <c r="C33" i="68" s="1"/>
  <c r="C34" i="68" s="1"/>
  <c r="C35" i="68" s="1"/>
  <c r="C36" i="68" s="1"/>
  <c r="C37" i="68" s="1"/>
  <c r="C38" i="68" s="1"/>
  <c r="C39" i="68" s="1"/>
  <c r="C40" i="68" s="1"/>
  <c r="C41" i="68" s="1"/>
  <c r="C42" i="68" s="1"/>
  <c r="C43" i="68" s="1"/>
  <c r="C44" i="68" s="1"/>
  <c r="C45" i="68" s="1"/>
  <c r="C46" i="68" s="1"/>
  <c r="C47" i="68" s="1"/>
  <c r="C48" i="68" s="1"/>
  <c r="C49" i="68" s="1"/>
  <c r="C50" i="68" s="1"/>
  <c r="C51" i="68" s="1"/>
  <c r="C52" i="68" s="1"/>
  <c r="C53" i="68" s="1"/>
  <c r="C54" i="68" s="1"/>
  <c r="C55" i="68" s="1"/>
  <c r="C56" i="68" s="1"/>
  <c r="C57" i="68" s="1"/>
  <c r="AZ28" i="68"/>
  <c r="AB28" i="68"/>
  <c r="AB29" i="68" s="1"/>
  <c r="O28" i="68"/>
  <c r="M28" i="68"/>
  <c r="W26" i="68"/>
  <c r="U26" i="68"/>
  <c r="S26" i="68"/>
  <c r="Q26" i="68"/>
  <c r="O26" i="68"/>
  <c r="M26" i="68"/>
  <c r="K26" i="68"/>
  <c r="G19" i="68"/>
  <c r="AF16" i="68"/>
  <c r="BD15" i="68"/>
  <c r="BD14" i="68"/>
  <c r="A3" i="68"/>
  <c r="A2" i="68"/>
  <c r="A1" i="68"/>
  <c r="AD28" i="68"/>
  <c r="AD29" i="68"/>
  <c r="AD30" i="68"/>
  <c r="AD31" i="68"/>
  <c r="AD34" i="68"/>
  <c r="AD35" i="68"/>
  <c r="AD38" i="68"/>
  <c r="AD39" i="68"/>
  <c r="AD42" i="68"/>
  <c r="AD43" i="68"/>
  <c r="AD46" i="68"/>
  <c r="AD47" i="68"/>
  <c r="AD50" i="68"/>
  <c r="AD51" i="68"/>
  <c r="AD54" i="68"/>
  <c r="AD55" i="68"/>
  <c r="AD57" i="68" l="1"/>
  <c r="AD53" i="68"/>
  <c r="AD49" i="68"/>
  <c r="AD45" i="68"/>
  <c r="AD41" i="68"/>
  <c r="AD37" i="68"/>
  <c r="AD33" i="68"/>
  <c r="AD56" i="68"/>
  <c r="AD52" i="68"/>
  <c r="AD48" i="68"/>
  <c r="AD44" i="68"/>
  <c r="AD40" i="68"/>
  <c r="AD36" i="68"/>
  <c r="AD32" i="68"/>
  <c r="AB30" i="68"/>
  <c r="AB31" i="68" l="1"/>
  <c r="AB32" i="68" l="1"/>
  <c r="AB33" i="68" l="1"/>
  <c r="AB34" i="68" l="1"/>
  <c r="AB35" i="68" l="1"/>
  <c r="AB36" i="68" l="1"/>
  <c r="AB37" i="68" l="1"/>
  <c r="AB38" i="68" l="1"/>
  <c r="AB39" i="68" l="1"/>
  <c r="AB40" i="68" l="1"/>
  <c r="AB41" i="68" l="1"/>
  <c r="AB42" i="68" l="1"/>
  <c r="AB43" i="68" l="1"/>
  <c r="AB44" i="68" l="1"/>
  <c r="AB45" i="68" l="1"/>
  <c r="AB46" i="68" l="1"/>
  <c r="AB47" i="68" l="1"/>
  <c r="AB48" i="68" l="1"/>
  <c r="AB49" i="68" l="1"/>
  <c r="AB50" i="68" l="1"/>
  <c r="AB51" i="68" l="1"/>
  <c r="AB52" i="68" l="1"/>
  <c r="AB53" i="68" l="1"/>
  <c r="AB54" i="68" l="1"/>
  <c r="AB55" i="68" l="1"/>
  <c r="AB56" i="68" l="1"/>
  <c r="AB57" i="68" l="1"/>
  <c r="O57" i="67" l="1"/>
  <c r="AD57" i="67"/>
  <c r="O56" i="67"/>
  <c r="AD56" i="67"/>
  <c r="O55" i="67"/>
  <c r="AD55" i="67"/>
  <c r="O54" i="67"/>
  <c r="AD54" i="67"/>
  <c r="O53" i="67"/>
  <c r="AD53" i="67"/>
  <c r="O52" i="67"/>
  <c r="AD52" i="67"/>
  <c r="O51" i="67"/>
  <c r="AD51" i="67"/>
  <c r="O50" i="67"/>
  <c r="AD50" i="67"/>
  <c r="O49" i="67"/>
  <c r="AD49" i="67"/>
  <c r="O48" i="67"/>
  <c r="AD48" i="67"/>
  <c r="O47" i="67"/>
  <c r="AD47" i="67"/>
  <c r="O46" i="67"/>
  <c r="AD46" i="67"/>
  <c r="O45" i="67"/>
  <c r="AD45" i="67"/>
  <c r="O44" i="67"/>
  <c r="AD44" i="67"/>
  <c r="O43" i="67"/>
  <c r="AD43" i="67"/>
  <c r="O42" i="67"/>
  <c r="AD42" i="67"/>
  <c r="O41" i="67"/>
  <c r="AD41" i="67"/>
  <c r="O40" i="67"/>
  <c r="AD40" i="67"/>
  <c r="O39" i="67"/>
  <c r="AD39" i="67"/>
  <c r="O38" i="67"/>
  <c r="AD38" i="67"/>
  <c r="O37" i="67"/>
  <c r="AD37" i="67"/>
  <c r="O36" i="67"/>
  <c r="AD36" i="67"/>
  <c r="O35" i="67"/>
  <c r="AD35" i="67"/>
  <c r="O34" i="67"/>
  <c r="AD34" i="67"/>
  <c r="O33" i="67"/>
  <c r="AD33" i="67"/>
  <c r="O32" i="67"/>
  <c r="AD32" i="67"/>
  <c r="O31" i="67"/>
  <c r="AD31" i="67"/>
  <c r="O30" i="67"/>
  <c r="AD30" i="67"/>
  <c r="O29" i="67"/>
  <c r="AD29" i="67"/>
  <c r="C29" i="67"/>
  <c r="C30" i="67" s="1"/>
  <c r="C31" i="67" s="1"/>
  <c r="C32" i="67" s="1"/>
  <c r="C33" i="67" s="1"/>
  <c r="C34" i="67" s="1"/>
  <c r="C35" i="67" s="1"/>
  <c r="C36" i="67" s="1"/>
  <c r="C37" i="67" s="1"/>
  <c r="C38" i="67" s="1"/>
  <c r="C39" i="67" s="1"/>
  <c r="C40" i="67" s="1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C52" i="67" s="1"/>
  <c r="C53" i="67" s="1"/>
  <c r="C54" i="67" s="1"/>
  <c r="C55" i="67" s="1"/>
  <c r="C56" i="67" s="1"/>
  <c r="C57" i="67" s="1"/>
  <c r="AZ28" i="67"/>
  <c r="AZ29" i="67" s="1"/>
  <c r="AZ30" i="67" s="1"/>
  <c r="AZ31" i="67" s="1"/>
  <c r="AZ32" i="67" s="1"/>
  <c r="AZ33" i="67" s="1"/>
  <c r="AZ34" i="67" s="1"/>
  <c r="AZ35" i="67" s="1"/>
  <c r="AZ36" i="67" s="1"/>
  <c r="AZ37" i="67" s="1"/>
  <c r="AZ38" i="67" s="1"/>
  <c r="AZ39" i="67" s="1"/>
  <c r="AZ40" i="67" s="1"/>
  <c r="AZ41" i="67" s="1"/>
  <c r="AZ42" i="67" s="1"/>
  <c r="AZ43" i="67" s="1"/>
  <c r="AZ44" i="67" s="1"/>
  <c r="AZ45" i="67" s="1"/>
  <c r="AZ46" i="67" s="1"/>
  <c r="AZ47" i="67" s="1"/>
  <c r="AZ48" i="67" s="1"/>
  <c r="AZ49" i="67" s="1"/>
  <c r="AZ50" i="67" s="1"/>
  <c r="AZ51" i="67" s="1"/>
  <c r="AZ52" i="67" s="1"/>
  <c r="AZ53" i="67" s="1"/>
  <c r="AZ54" i="67" s="1"/>
  <c r="AZ55" i="67" s="1"/>
  <c r="AZ56" i="67" s="1"/>
  <c r="AZ57" i="67" s="1"/>
  <c r="AB28" i="67"/>
  <c r="O28" i="67"/>
  <c r="M28" i="67"/>
  <c r="AD28" i="67"/>
  <c r="W26" i="67"/>
  <c r="U26" i="67"/>
  <c r="S26" i="67"/>
  <c r="Q26" i="67"/>
  <c r="O26" i="67"/>
  <c r="M26" i="67"/>
  <c r="K26" i="67"/>
  <c r="G19" i="67"/>
  <c r="AF16" i="67"/>
  <c r="BD15" i="67"/>
  <c r="BD14" i="67"/>
  <c r="A3" i="67"/>
  <c r="A2" i="67"/>
  <c r="A1" i="67"/>
  <c r="O29" i="66"/>
  <c r="O30" i="66"/>
  <c r="O31" i="66"/>
  <c r="O32" i="66"/>
  <c r="O33" i="66"/>
  <c r="O34" i="66"/>
  <c r="O35" i="66"/>
  <c r="O36" i="66"/>
  <c r="O37" i="66"/>
  <c r="O38" i="66"/>
  <c r="O39" i="66"/>
  <c r="O40" i="66"/>
  <c r="O41" i="66"/>
  <c r="O42" i="66"/>
  <c r="O43" i="66"/>
  <c r="O44" i="66"/>
  <c r="O45" i="66"/>
  <c r="O46" i="66"/>
  <c r="O47" i="66"/>
  <c r="O48" i="66"/>
  <c r="O49" i="66"/>
  <c r="O50" i="66"/>
  <c r="O51" i="66"/>
  <c r="O52" i="66"/>
  <c r="O53" i="66"/>
  <c r="O54" i="66"/>
  <c r="O55" i="66"/>
  <c r="O56" i="66"/>
  <c r="O57" i="66"/>
  <c r="O28" i="66"/>
  <c r="AB29" i="67" l="1"/>
  <c r="AB30" i="67" s="1"/>
  <c r="AB31" i="67" l="1"/>
  <c r="AB32" i="67" s="1"/>
  <c r="AB33" i="67" l="1"/>
  <c r="AB34" i="67" l="1"/>
  <c r="AB35" i="67" l="1"/>
  <c r="AB36" i="67" l="1"/>
  <c r="AB37" i="67" l="1"/>
  <c r="AB38" i="67" l="1"/>
  <c r="AB39" i="67" l="1"/>
  <c r="AB40" i="67" l="1"/>
  <c r="AB41" i="67" l="1"/>
  <c r="AB42" i="67" l="1"/>
  <c r="AB43" i="67" l="1"/>
  <c r="AB44" i="67" l="1"/>
  <c r="AB45" i="67" l="1"/>
  <c r="AB46" i="67" l="1"/>
  <c r="AB47" i="67" l="1"/>
  <c r="AB48" i="67" l="1"/>
  <c r="AB49" i="67" l="1"/>
  <c r="AB50" i="67" l="1"/>
  <c r="AB51" i="67" l="1"/>
  <c r="AB52" i="67" l="1"/>
  <c r="AB53" i="67" l="1"/>
  <c r="AB54" i="67" l="1"/>
  <c r="AB55" i="67" l="1"/>
  <c r="AB56" i="67" l="1"/>
  <c r="AB57" i="67" l="1"/>
  <c r="AD30" i="66" l="1"/>
  <c r="AD31" i="66"/>
  <c r="AD32" i="66"/>
  <c r="AD33" i="66"/>
  <c r="AD34" i="66"/>
  <c r="AD35" i="66"/>
  <c r="AD36" i="66"/>
  <c r="AD37" i="66"/>
  <c r="AD38" i="66"/>
  <c r="AD39" i="66"/>
  <c r="AD40" i="66"/>
  <c r="AD41" i="66"/>
  <c r="AD42" i="66"/>
  <c r="AD43" i="66"/>
  <c r="AD44" i="66"/>
  <c r="AD45" i="66"/>
  <c r="AD46" i="66"/>
  <c r="AD47" i="66"/>
  <c r="AD48" i="66"/>
  <c r="AD49" i="66"/>
  <c r="AD50" i="66"/>
  <c r="AD51" i="66"/>
  <c r="AD52" i="66"/>
  <c r="AD53" i="66"/>
  <c r="AD54" i="66"/>
  <c r="AD55" i="66"/>
  <c r="AD56" i="66"/>
  <c r="AD57" i="66"/>
  <c r="G19" i="66" l="1"/>
  <c r="AD29" i="66"/>
  <c r="AD28" i="66"/>
  <c r="M28" i="66"/>
  <c r="C28" i="66"/>
  <c r="C29" i="66" s="1"/>
  <c r="C30" i="66" s="1"/>
  <c r="C31" i="66" s="1"/>
  <c r="C32" i="66" s="1"/>
  <c r="C33" i="66" s="1"/>
  <c r="C34" i="66" s="1"/>
  <c r="C35" i="66" s="1"/>
  <c r="C36" i="66" s="1"/>
  <c r="C37" i="66" s="1"/>
  <c r="C38" i="66" s="1"/>
  <c r="C39" i="66" s="1"/>
  <c r="C40" i="66" s="1"/>
  <c r="C41" i="66" s="1"/>
  <c r="C42" i="66" s="1"/>
  <c r="C43" i="66" s="1"/>
  <c r="C44" i="66" s="1"/>
  <c r="C45" i="66" s="1"/>
  <c r="C46" i="66" s="1"/>
  <c r="C47" i="66" s="1"/>
  <c r="C48" i="66" s="1"/>
  <c r="C49" i="66" s="1"/>
  <c r="C50" i="66" s="1"/>
  <c r="C51" i="66" s="1"/>
  <c r="C52" i="66" s="1"/>
  <c r="C53" i="66" s="1"/>
  <c r="C54" i="66" s="1"/>
  <c r="C55" i="66" s="1"/>
  <c r="C56" i="66" s="1"/>
  <c r="C57" i="66" s="1"/>
  <c r="W26" i="66"/>
  <c r="U26" i="66"/>
  <c r="S26" i="66"/>
  <c r="Q26" i="66"/>
  <c r="O26" i="66"/>
  <c r="M26" i="66"/>
  <c r="K26" i="66"/>
  <c r="AF16" i="66"/>
  <c r="BD15" i="66"/>
  <c r="BD14" i="66"/>
  <c r="A3" i="66"/>
  <c r="A2" i="66"/>
  <c r="A1" i="66"/>
  <c r="AB28" i="66" l="1"/>
  <c r="AZ28" i="66"/>
  <c r="AZ29" i="66" s="1"/>
  <c r="AZ30" i="66" s="1"/>
  <c r="AZ31" i="66" s="1"/>
  <c r="AZ32" i="66" s="1"/>
  <c r="AZ33" i="66" s="1"/>
  <c r="AZ34" i="66" s="1"/>
  <c r="AZ35" i="66" s="1"/>
  <c r="AZ36" i="66" s="1"/>
  <c r="AZ37" i="66" s="1"/>
  <c r="AZ38" i="66" s="1"/>
  <c r="AZ39" i="66" s="1"/>
  <c r="AZ40" i="66" s="1"/>
  <c r="AZ41" i="66" s="1"/>
  <c r="AZ42" i="66" s="1"/>
  <c r="AZ43" i="66" s="1"/>
  <c r="AZ44" i="66" s="1"/>
  <c r="AZ45" i="66" s="1"/>
  <c r="AZ46" i="66" s="1"/>
  <c r="AZ47" i="66" s="1"/>
  <c r="AZ48" i="66" s="1"/>
  <c r="AZ49" i="66" s="1"/>
  <c r="AZ50" i="66" s="1"/>
  <c r="AZ51" i="66" s="1"/>
  <c r="AZ52" i="66" s="1"/>
  <c r="AZ53" i="66" s="1"/>
  <c r="AZ54" i="66" s="1"/>
  <c r="AZ55" i="66" s="1"/>
  <c r="AZ56" i="66" s="1"/>
  <c r="AZ57" i="66" s="1"/>
  <c r="AB29" i="66" l="1"/>
  <c r="AB30" i="66" s="1"/>
  <c r="AB31" i="66" l="1"/>
  <c r="AB32" i="66" l="1"/>
  <c r="AB33" i="66" l="1"/>
  <c r="AB34" i="66" l="1"/>
  <c r="AB35" i="66" l="1"/>
  <c r="AB36" i="66" l="1"/>
  <c r="AB37" i="66" l="1"/>
  <c r="AB38" i="66" l="1"/>
  <c r="AB39" i="66" l="1"/>
  <c r="AB40" i="66" l="1"/>
  <c r="AB41" i="66" l="1"/>
  <c r="AB42" i="66" l="1"/>
  <c r="AB43" i="66" l="1"/>
  <c r="AB44" i="66" l="1"/>
  <c r="AB45" i="66" l="1"/>
  <c r="AB46" i="66" l="1"/>
  <c r="AB47" i="66" l="1"/>
  <c r="AB48" i="66" l="1"/>
  <c r="AB49" i="66" l="1"/>
  <c r="AB50" i="66" l="1"/>
  <c r="AB51" i="66" l="1"/>
  <c r="AB52" i="66" l="1"/>
  <c r="AB53" i="66" l="1"/>
  <c r="AB54" i="66" l="1"/>
  <c r="AB55" i="66" l="1"/>
  <c r="AB56" i="66" l="1"/>
  <c r="AB57" i="66" l="1"/>
  <c r="BI16" i="65" l="1"/>
  <c r="BK15" i="65"/>
  <c r="BK14" i="65"/>
  <c r="AR15" i="65"/>
  <c r="AD65" i="65"/>
  <c r="AD66" i="65"/>
  <c r="AD67" i="65"/>
  <c r="AD68" i="65"/>
  <c r="AD57" i="65"/>
  <c r="AD53" i="65"/>
  <c r="AD50" i="65"/>
  <c r="AD45" i="65"/>
  <c r="AD38" i="65"/>
  <c r="AD49" i="65"/>
  <c r="AD54" i="65"/>
  <c r="AD64" i="65"/>
  <c r="AD60" i="65"/>
  <c r="AD56" i="65"/>
  <c r="AD44" i="65"/>
  <c r="AD42" i="65"/>
  <c r="AD40" i="65"/>
  <c r="AD63" i="65"/>
  <c r="AD62" i="65"/>
  <c r="AD61" i="65"/>
  <c r="AD59" i="65"/>
  <c r="AD58" i="65"/>
  <c r="AD55" i="65"/>
  <c r="AD52" i="65"/>
  <c r="AD51" i="65"/>
  <c r="AD48" i="65"/>
  <c r="AD29" i="65"/>
  <c r="AD30" i="65"/>
  <c r="AD31" i="65"/>
  <c r="AD32" i="65"/>
  <c r="AD33" i="65"/>
  <c r="AD36" i="65"/>
  <c r="AD37" i="65"/>
  <c r="I19" i="65"/>
  <c r="AD47" i="65"/>
  <c r="AD46" i="65"/>
  <c r="AD43" i="65"/>
  <c r="AD41" i="65"/>
  <c r="AD39" i="65"/>
  <c r="AD35" i="65"/>
  <c r="AD34" i="65"/>
  <c r="AD28" i="65"/>
  <c r="M28" i="65"/>
  <c r="C28" i="65"/>
  <c r="C29" i="65" s="1"/>
  <c r="W26" i="65"/>
  <c r="U26" i="65"/>
  <c r="S26" i="65"/>
  <c r="Q26" i="65"/>
  <c r="O26" i="65"/>
  <c r="M26" i="65"/>
  <c r="K26" i="65"/>
  <c r="G19" i="65"/>
  <c r="G18" i="65"/>
  <c r="C75" i="65" s="1"/>
  <c r="AF16" i="65"/>
  <c r="BD15" i="65"/>
  <c r="BD14" i="65"/>
  <c r="A3" i="65"/>
  <c r="A2" i="65"/>
  <c r="A1" i="65"/>
  <c r="AD39" i="63"/>
  <c r="AD42" i="63"/>
  <c r="AD43" i="63"/>
  <c r="AD46" i="63"/>
  <c r="AD47" i="63"/>
  <c r="AD50" i="63"/>
  <c r="AD51" i="63"/>
  <c r="AD54" i="63"/>
  <c r="AD55" i="63"/>
  <c r="AD58" i="63"/>
  <c r="AD59" i="63"/>
  <c r="AD62" i="63"/>
  <c r="AD63" i="63"/>
  <c r="AD66" i="63"/>
  <c r="AD67" i="63"/>
  <c r="AD38" i="63"/>
  <c r="AD37" i="63"/>
  <c r="AD37" i="62"/>
  <c r="AD41" i="62"/>
  <c r="AD45" i="62"/>
  <c r="AD50" i="62"/>
  <c r="AD53" i="62"/>
  <c r="AD58" i="62"/>
  <c r="AD61" i="62"/>
  <c r="AD62" i="62"/>
  <c r="AD66" i="62"/>
  <c r="AD51" i="62"/>
  <c r="AD52" i="62"/>
  <c r="AD55" i="62"/>
  <c r="AD59" i="62"/>
  <c r="AD63" i="62"/>
  <c r="AD67" i="62"/>
  <c r="AD68" i="63"/>
  <c r="AD65" i="63"/>
  <c r="AD64" i="63"/>
  <c r="AD61" i="63"/>
  <c r="AD60" i="63"/>
  <c r="AD57" i="63"/>
  <c r="AD56" i="63"/>
  <c r="AD53" i="63"/>
  <c r="AD52" i="63"/>
  <c r="AD49" i="63"/>
  <c r="AD48" i="63"/>
  <c r="AD45" i="63"/>
  <c r="AD44" i="63"/>
  <c r="AD41" i="63"/>
  <c r="AD40" i="63"/>
  <c r="E37" i="63"/>
  <c r="AD36" i="63"/>
  <c r="E36" i="63"/>
  <c r="AD35" i="63"/>
  <c r="E35" i="63"/>
  <c r="AD34" i="63"/>
  <c r="E34" i="63"/>
  <c r="AD33" i="63"/>
  <c r="E33" i="63"/>
  <c r="AD32" i="63"/>
  <c r="E32" i="63"/>
  <c r="AD31" i="63"/>
  <c r="E31" i="63"/>
  <c r="AD30" i="63"/>
  <c r="E30" i="63"/>
  <c r="AD29" i="63"/>
  <c r="E29" i="63"/>
  <c r="AR29" i="63" s="1"/>
  <c r="C29" i="63"/>
  <c r="C30" i="63" s="1"/>
  <c r="C31" i="63" s="1"/>
  <c r="C32" i="63" s="1"/>
  <c r="C33" i="63" s="1"/>
  <c r="C34" i="63" s="1"/>
  <c r="C35" i="63" s="1"/>
  <c r="C36" i="63" s="1"/>
  <c r="C37" i="63" s="1"/>
  <c r="C38" i="63" s="1"/>
  <c r="C39" i="63" s="1"/>
  <c r="C40" i="63" s="1"/>
  <c r="C41" i="63" s="1"/>
  <c r="C42" i="63" s="1"/>
  <c r="C43" i="63" s="1"/>
  <c r="C44" i="63" s="1"/>
  <c r="C45" i="63" s="1"/>
  <c r="C46" i="63" s="1"/>
  <c r="C47" i="63" s="1"/>
  <c r="C48" i="63" s="1"/>
  <c r="C49" i="63" s="1"/>
  <c r="C50" i="63" s="1"/>
  <c r="C51" i="63" s="1"/>
  <c r="C52" i="63" s="1"/>
  <c r="C53" i="63" s="1"/>
  <c r="C54" i="63" s="1"/>
  <c r="C55" i="63" s="1"/>
  <c r="C56" i="63" s="1"/>
  <c r="C57" i="63" s="1"/>
  <c r="C58" i="63" s="1"/>
  <c r="C59" i="63" s="1"/>
  <c r="C60" i="63" s="1"/>
  <c r="C61" i="63" s="1"/>
  <c r="C62" i="63" s="1"/>
  <c r="C63" i="63" s="1"/>
  <c r="C64" i="63" s="1"/>
  <c r="C65" i="63" s="1"/>
  <c r="C66" i="63" s="1"/>
  <c r="C67" i="63" s="1"/>
  <c r="C68" i="63" s="1"/>
  <c r="AZ28" i="63"/>
  <c r="AZ29" i="63" s="1"/>
  <c r="AZ30" i="63" s="1"/>
  <c r="AZ31" i="63" s="1"/>
  <c r="AZ32" i="63" s="1"/>
  <c r="AZ33" i="63" s="1"/>
  <c r="AZ34" i="63" s="1"/>
  <c r="AZ35" i="63" s="1"/>
  <c r="AZ36" i="63" s="1"/>
  <c r="AZ37" i="63" s="1"/>
  <c r="AZ38" i="63" s="1"/>
  <c r="AZ39" i="63" s="1"/>
  <c r="AZ40" i="63" s="1"/>
  <c r="AZ41" i="63" s="1"/>
  <c r="AZ42" i="63" s="1"/>
  <c r="AZ43" i="63" s="1"/>
  <c r="AZ44" i="63" s="1"/>
  <c r="AZ45" i="63" s="1"/>
  <c r="AZ46" i="63" s="1"/>
  <c r="AZ47" i="63" s="1"/>
  <c r="AZ48" i="63" s="1"/>
  <c r="AZ49" i="63" s="1"/>
  <c r="AZ50" i="63" s="1"/>
  <c r="AZ51" i="63" s="1"/>
  <c r="AZ52" i="63" s="1"/>
  <c r="AZ53" i="63" s="1"/>
  <c r="AZ54" i="63" s="1"/>
  <c r="AZ55" i="63" s="1"/>
  <c r="AZ56" i="63" s="1"/>
  <c r="AZ57" i="63" s="1"/>
  <c r="AZ58" i="63" s="1"/>
  <c r="AZ59" i="63" s="1"/>
  <c r="AZ60" i="63" s="1"/>
  <c r="AZ61" i="63" s="1"/>
  <c r="AZ62" i="63" s="1"/>
  <c r="AZ63" i="63" s="1"/>
  <c r="AZ64" i="63" s="1"/>
  <c r="AZ65" i="63" s="1"/>
  <c r="AZ66" i="63" s="1"/>
  <c r="AZ67" i="63" s="1"/>
  <c r="AZ68" i="63" s="1"/>
  <c r="AD28" i="63"/>
  <c r="AB28" i="63"/>
  <c r="AB29" i="63" s="1"/>
  <c r="M28" i="63"/>
  <c r="K28" i="63"/>
  <c r="E28" i="63"/>
  <c r="W26" i="63"/>
  <c r="U26" i="63"/>
  <c r="S26" i="63"/>
  <c r="Q26" i="63"/>
  <c r="O26" i="63"/>
  <c r="M26" i="63"/>
  <c r="K26" i="63"/>
  <c r="I19" i="63"/>
  <c r="G19" i="63"/>
  <c r="BI16" i="63"/>
  <c r="BK15" i="63"/>
  <c r="AR15" i="63"/>
  <c r="BK14" i="63"/>
  <c r="AD68" i="62"/>
  <c r="AD65" i="62"/>
  <c r="AD64" i="62"/>
  <c r="AD60" i="62"/>
  <c r="AD57" i="62"/>
  <c r="AD56" i="62"/>
  <c r="AD54" i="62"/>
  <c r="AD49" i="62"/>
  <c r="AD48" i="62"/>
  <c r="AD47" i="62"/>
  <c r="AD46" i="62"/>
  <c r="AD44" i="62"/>
  <c r="AD43" i="62"/>
  <c r="AD42" i="62"/>
  <c r="AD40" i="62"/>
  <c r="AD39" i="62"/>
  <c r="AD38" i="62"/>
  <c r="E37" i="62"/>
  <c r="AD36" i="62"/>
  <c r="E36" i="62"/>
  <c r="AD35" i="62"/>
  <c r="E35" i="62"/>
  <c r="AD34" i="62"/>
  <c r="E34" i="62"/>
  <c r="AD33" i="62"/>
  <c r="E33" i="62"/>
  <c r="AD32" i="62"/>
  <c r="E32" i="62"/>
  <c r="AD31" i="62"/>
  <c r="E31" i="62"/>
  <c r="AD30" i="62"/>
  <c r="E30" i="62"/>
  <c r="AD29" i="62"/>
  <c r="E29" i="62"/>
  <c r="BB29" i="62" s="1"/>
  <c r="C29" i="62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C45" i="62" s="1"/>
  <c r="C46" i="62" s="1"/>
  <c r="C47" i="62" s="1"/>
  <c r="C48" i="62" s="1"/>
  <c r="C49" i="62" s="1"/>
  <c r="C50" i="62" s="1"/>
  <c r="C51" i="62" s="1"/>
  <c r="C52" i="62" s="1"/>
  <c r="C53" i="62" s="1"/>
  <c r="C54" i="62" s="1"/>
  <c r="C55" i="62" s="1"/>
  <c r="C56" i="62" s="1"/>
  <c r="C57" i="62" s="1"/>
  <c r="C58" i="62" s="1"/>
  <c r="C59" i="62" s="1"/>
  <c r="C60" i="62" s="1"/>
  <c r="C61" i="62" s="1"/>
  <c r="C62" i="62" s="1"/>
  <c r="C63" i="62" s="1"/>
  <c r="C64" i="62" s="1"/>
  <c r="C65" i="62" s="1"/>
  <c r="C66" i="62" s="1"/>
  <c r="C67" i="62" s="1"/>
  <c r="C68" i="62" s="1"/>
  <c r="AZ28" i="62"/>
  <c r="AZ29" i="62" s="1"/>
  <c r="AZ30" i="62" s="1"/>
  <c r="AZ31" i="62" s="1"/>
  <c r="AZ32" i="62" s="1"/>
  <c r="AZ33" i="62" s="1"/>
  <c r="AZ34" i="62" s="1"/>
  <c r="AZ35" i="62" s="1"/>
  <c r="AZ36" i="62" s="1"/>
  <c r="AZ37" i="62" s="1"/>
  <c r="AZ38" i="62" s="1"/>
  <c r="AZ39" i="62" s="1"/>
  <c r="AZ40" i="62" s="1"/>
  <c r="AZ41" i="62" s="1"/>
  <c r="AZ42" i="62" s="1"/>
  <c r="AZ43" i="62" s="1"/>
  <c r="AZ44" i="62" s="1"/>
  <c r="AZ45" i="62" s="1"/>
  <c r="AZ46" i="62" s="1"/>
  <c r="AZ47" i="62" s="1"/>
  <c r="AZ48" i="62" s="1"/>
  <c r="AZ49" i="62" s="1"/>
  <c r="AZ50" i="62" s="1"/>
  <c r="AZ51" i="62" s="1"/>
  <c r="AZ52" i="62" s="1"/>
  <c r="AZ53" i="62" s="1"/>
  <c r="AZ54" i="62" s="1"/>
  <c r="AZ55" i="62" s="1"/>
  <c r="AZ56" i="62" s="1"/>
  <c r="AZ57" i="62" s="1"/>
  <c r="AZ58" i="62" s="1"/>
  <c r="AZ59" i="62" s="1"/>
  <c r="AZ60" i="62" s="1"/>
  <c r="AZ61" i="62" s="1"/>
  <c r="AZ62" i="62" s="1"/>
  <c r="AZ63" i="62" s="1"/>
  <c r="AZ64" i="62" s="1"/>
  <c r="AZ65" i="62" s="1"/>
  <c r="AZ66" i="62" s="1"/>
  <c r="AZ67" i="62" s="1"/>
  <c r="AZ68" i="62" s="1"/>
  <c r="AD28" i="62"/>
  <c r="AB28" i="62"/>
  <c r="M28" i="62"/>
  <c r="E28" i="62"/>
  <c r="W26" i="62"/>
  <c r="U26" i="62"/>
  <c r="S26" i="62"/>
  <c r="Q26" i="62"/>
  <c r="O26" i="62"/>
  <c r="M26" i="62"/>
  <c r="K26" i="62"/>
  <c r="I19" i="62"/>
  <c r="G19" i="62"/>
  <c r="BI16" i="62"/>
  <c r="BK15" i="62"/>
  <c r="AR15" i="62"/>
  <c r="BK14" i="62"/>
  <c r="AD40" i="61"/>
  <c r="AD44" i="61"/>
  <c r="AD48" i="61"/>
  <c r="AD52" i="61"/>
  <c r="AD53" i="61"/>
  <c r="AD54" i="61"/>
  <c r="AD56" i="61"/>
  <c r="AD57" i="61"/>
  <c r="AD58" i="61"/>
  <c r="AD60" i="61"/>
  <c r="AD61" i="61"/>
  <c r="AD62" i="61"/>
  <c r="AD65" i="61"/>
  <c r="AD68" i="61"/>
  <c r="AD49" i="61"/>
  <c r="AD50" i="61"/>
  <c r="AD51" i="61"/>
  <c r="AD55" i="61"/>
  <c r="AD59" i="61"/>
  <c r="AD63" i="61"/>
  <c r="AD66" i="61"/>
  <c r="AD67" i="61"/>
  <c r="AD38" i="61"/>
  <c r="AD64" i="61"/>
  <c r="AD47" i="61"/>
  <c r="AD46" i="61"/>
  <c r="AD45" i="61"/>
  <c r="AD43" i="61"/>
  <c r="AD42" i="61"/>
  <c r="AD41" i="61"/>
  <c r="AD39" i="61"/>
  <c r="AD37" i="61"/>
  <c r="E37" i="61"/>
  <c r="AD36" i="61"/>
  <c r="E36" i="61"/>
  <c r="AD35" i="61"/>
  <c r="E35" i="61"/>
  <c r="AD34" i="61"/>
  <c r="E34" i="61"/>
  <c r="AD33" i="61"/>
  <c r="E33" i="61"/>
  <c r="AD32" i="61"/>
  <c r="E32" i="61"/>
  <c r="AD31" i="61"/>
  <c r="E31" i="61"/>
  <c r="AD30" i="61"/>
  <c r="E30" i="61"/>
  <c r="AZ29" i="61"/>
  <c r="AZ30" i="61" s="1"/>
  <c r="AZ31" i="61" s="1"/>
  <c r="AZ32" i="61" s="1"/>
  <c r="AZ33" i="61" s="1"/>
  <c r="AZ34" i="61" s="1"/>
  <c r="AZ35" i="61" s="1"/>
  <c r="AZ36" i="61" s="1"/>
  <c r="AZ37" i="61" s="1"/>
  <c r="AZ38" i="61" s="1"/>
  <c r="AZ39" i="61" s="1"/>
  <c r="AZ40" i="61" s="1"/>
  <c r="AZ41" i="61" s="1"/>
  <c r="AZ42" i="61" s="1"/>
  <c r="AZ43" i="61" s="1"/>
  <c r="AZ44" i="61" s="1"/>
  <c r="AZ45" i="61" s="1"/>
  <c r="AZ46" i="61" s="1"/>
  <c r="AZ47" i="61" s="1"/>
  <c r="AZ48" i="61" s="1"/>
  <c r="AZ49" i="61" s="1"/>
  <c r="AZ50" i="61" s="1"/>
  <c r="AZ51" i="61" s="1"/>
  <c r="AZ52" i="61" s="1"/>
  <c r="AZ53" i="61" s="1"/>
  <c r="AZ54" i="61" s="1"/>
  <c r="AZ55" i="61" s="1"/>
  <c r="AZ56" i="61" s="1"/>
  <c r="AZ57" i="61" s="1"/>
  <c r="AZ58" i="61" s="1"/>
  <c r="AZ59" i="61" s="1"/>
  <c r="AZ60" i="61" s="1"/>
  <c r="AZ61" i="61" s="1"/>
  <c r="AZ62" i="61" s="1"/>
  <c r="AZ63" i="61" s="1"/>
  <c r="AZ64" i="61" s="1"/>
  <c r="AZ65" i="61" s="1"/>
  <c r="AZ66" i="61" s="1"/>
  <c r="AZ67" i="61" s="1"/>
  <c r="AZ68" i="61" s="1"/>
  <c r="AD29" i="61"/>
  <c r="AB29" i="61"/>
  <c r="E29" i="61"/>
  <c r="C29" i="61"/>
  <c r="C30" i="61" s="1"/>
  <c r="C31" i="61" s="1"/>
  <c r="C32" i="61" s="1"/>
  <c r="C33" i="61" s="1"/>
  <c r="C34" i="61" s="1"/>
  <c r="C35" i="61" s="1"/>
  <c r="C36" i="61" s="1"/>
  <c r="C37" i="61" s="1"/>
  <c r="C38" i="61" s="1"/>
  <c r="C39" i="61" s="1"/>
  <c r="C40" i="61" s="1"/>
  <c r="C41" i="61" s="1"/>
  <c r="C42" i="61" s="1"/>
  <c r="C43" i="61" s="1"/>
  <c r="C44" i="61" s="1"/>
  <c r="C45" i="61" s="1"/>
  <c r="C46" i="61" s="1"/>
  <c r="C47" i="61" s="1"/>
  <c r="C48" i="61" s="1"/>
  <c r="C49" i="61" s="1"/>
  <c r="C50" i="61" s="1"/>
  <c r="C51" i="61" s="1"/>
  <c r="C52" i="61" s="1"/>
  <c r="C53" i="61" s="1"/>
  <c r="C54" i="61" s="1"/>
  <c r="C55" i="61" s="1"/>
  <c r="C56" i="61" s="1"/>
  <c r="C57" i="61" s="1"/>
  <c r="C58" i="61" s="1"/>
  <c r="C59" i="61" s="1"/>
  <c r="C60" i="61" s="1"/>
  <c r="C61" i="61" s="1"/>
  <c r="C62" i="61" s="1"/>
  <c r="C63" i="61" s="1"/>
  <c r="C64" i="61" s="1"/>
  <c r="C65" i="61" s="1"/>
  <c r="C66" i="61" s="1"/>
  <c r="C67" i="61" s="1"/>
  <c r="C68" i="61" s="1"/>
  <c r="AZ28" i="61"/>
  <c r="AD28" i="61"/>
  <c r="AB28" i="61"/>
  <c r="M28" i="61"/>
  <c r="E28" i="61"/>
  <c r="W26" i="61"/>
  <c r="U26" i="61"/>
  <c r="S26" i="61"/>
  <c r="Q26" i="61"/>
  <c r="O26" i="61"/>
  <c r="M26" i="61"/>
  <c r="K26" i="61"/>
  <c r="I19" i="61"/>
  <c r="G19" i="61"/>
  <c r="BI16" i="61"/>
  <c r="BK15" i="61"/>
  <c r="AR15" i="61"/>
  <c r="BK14" i="61"/>
  <c r="AF11" i="61"/>
  <c r="M29" i="63" l="1"/>
  <c r="K29" i="63"/>
  <c r="K30" i="63" s="1"/>
  <c r="K31" i="63" s="1"/>
  <c r="K32" i="63" s="1"/>
  <c r="K33" i="63" s="1"/>
  <c r="K34" i="63" s="1"/>
  <c r="K35" i="63" s="1"/>
  <c r="K36" i="63" s="1"/>
  <c r="K37" i="63" s="1"/>
  <c r="M29" i="62"/>
  <c r="AF29" i="62"/>
  <c r="BD29" i="61"/>
  <c r="BD30" i="61" s="1"/>
  <c r="BD31" i="61" s="1"/>
  <c r="BD32" i="61" s="1"/>
  <c r="BD33" i="61" s="1"/>
  <c r="BD34" i="61" s="1"/>
  <c r="BD35" i="61" s="1"/>
  <c r="BD36" i="61" s="1"/>
  <c r="BD37" i="61" s="1"/>
  <c r="BD38" i="61" s="1"/>
  <c r="K29" i="61"/>
  <c r="K30" i="61" s="1"/>
  <c r="K31" i="61" s="1"/>
  <c r="K32" i="61" s="1"/>
  <c r="K33" i="61" s="1"/>
  <c r="K34" i="61" s="1"/>
  <c r="K35" i="61" s="1"/>
  <c r="K36" i="61" s="1"/>
  <c r="K37" i="61" s="1"/>
  <c r="BD29" i="62"/>
  <c r="BD30" i="62" s="1"/>
  <c r="BD31" i="62" s="1"/>
  <c r="BD32" i="62" s="1"/>
  <c r="BD33" i="62" s="1"/>
  <c r="BD34" i="62" s="1"/>
  <c r="BD35" i="62" s="1"/>
  <c r="BD36" i="62" s="1"/>
  <c r="BD37" i="62" s="1"/>
  <c r="BD38" i="62" s="1"/>
  <c r="K29" i="62"/>
  <c r="K30" i="62" s="1"/>
  <c r="K31" i="62" s="1"/>
  <c r="K32" i="62" s="1"/>
  <c r="K33" i="62" s="1"/>
  <c r="K34" i="62" s="1"/>
  <c r="K35" i="62" s="1"/>
  <c r="K36" i="62" s="1"/>
  <c r="K37" i="62" s="1"/>
  <c r="AF29" i="63"/>
  <c r="AF30" i="63" s="1"/>
  <c r="AF31" i="63" s="1"/>
  <c r="M29" i="61"/>
  <c r="M30" i="61" s="1"/>
  <c r="M31" i="61" s="1"/>
  <c r="M32" i="61" s="1"/>
  <c r="M33" i="61" s="1"/>
  <c r="M34" i="61" s="1"/>
  <c r="M35" i="61" s="1"/>
  <c r="M36" i="61" s="1"/>
  <c r="M37" i="61" s="1"/>
  <c r="M38" i="61" s="1"/>
  <c r="S38" i="61" s="1"/>
  <c r="AJ29" i="61"/>
  <c r="AJ30" i="61" s="1"/>
  <c r="AJ31" i="61" s="1"/>
  <c r="AJ32" i="61" s="1"/>
  <c r="AJ33" i="61" s="1"/>
  <c r="AJ34" i="61" s="1"/>
  <c r="AJ35" i="61" s="1"/>
  <c r="AJ36" i="61" s="1"/>
  <c r="AJ37" i="61" s="1"/>
  <c r="M30" i="62"/>
  <c r="M31" i="62" s="1"/>
  <c r="M32" i="62" s="1"/>
  <c r="M33" i="62" s="1"/>
  <c r="M34" i="62" s="1"/>
  <c r="M35" i="62" s="1"/>
  <c r="M36" i="62" s="1"/>
  <c r="M37" i="62" s="1"/>
  <c r="M38" i="62" s="1"/>
  <c r="S38" i="62" s="1"/>
  <c r="AJ29" i="62"/>
  <c r="AJ30" i="62" s="1"/>
  <c r="AJ31" i="62" s="1"/>
  <c r="AJ32" i="62" s="1"/>
  <c r="AJ33" i="62" s="1"/>
  <c r="AJ34" i="62" s="1"/>
  <c r="AJ35" i="62" s="1"/>
  <c r="AJ36" i="62" s="1"/>
  <c r="AJ37" i="62" s="1"/>
  <c r="M30" i="63"/>
  <c r="M31" i="63" s="1"/>
  <c r="M32" i="63" s="1"/>
  <c r="M33" i="63" s="1"/>
  <c r="M34" i="63" s="1"/>
  <c r="M35" i="63" s="1"/>
  <c r="M36" i="63" s="1"/>
  <c r="M37" i="63" s="1"/>
  <c r="M38" i="63" s="1"/>
  <c r="S38" i="63" s="1"/>
  <c r="BB29" i="63"/>
  <c r="BB30" i="63" s="1"/>
  <c r="AH29" i="61"/>
  <c r="AH30" i="61" s="1"/>
  <c r="AH31" i="61" s="1"/>
  <c r="AH32" i="61" s="1"/>
  <c r="AH33" i="61" s="1"/>
  <c r="AH34" i="61" s="1"/>
  <c r="AH35" i="61" s="1"/>
  <c r="AH36" i="61" s="1"/>
  <c r="AH37" i="61" s="1"/>
  <c r="AR29" i="61"/>
  <c r="AR30" i="61" s="1"/>
  <c r="AR31" i="61" s="1"/>
  <c r="AR32" i="61" s="1"/>
  <c r="AR33" i="61" s="1"/>
  <c r="AR34" i="61" s="1"/>
  <c r="AR35" i="61" s="1"/>
  <c r="AR36" i="61" s="1"/>
  <c r="AR37" i="61" s="1"/>
  <c r="AR29" i="62"/>
  <c r="AR30" i="62" s="1"/>
  <c r="AR31" i="62" s="1"/>
  <c r="AR32" i="62" s="1"/>
  <c r="AR33" i="62" s="1"/>
  <c r="AR34" i="62" s="1"/>
  <c r="AR35" i="62" s="1"/>
  <c r="AR36" i="62" s="1"/>
  <c r="AR37" i="62" s="1"/>
  <c r="AR30" i="63"/>
  <c r="AR31" i="63" s="1"/>
  <c r="AR32" i="63" s="1"/>
  <c r="AR33" i="63" s="1"/>
  <c r="AR34" i="63" s="1"/>
  <c r="AR35" i="63" s="1"/>
  <c r="AR36" i="63" s="1"/>
  <c r="AR37" i="63" s="1"/>
  <c r="BD29" i="63"/>
  <c r="BD30" i="63" s="1"/>
  <c r="BD31" i="63" s="1"/>
  <c r="BD32" i="63" s="1"/>
  <c r="BD33" i="63" s="1"/>
  <c r="BD34" i="63" s="1"/>
  <c r="BD35" i="63" s="1"/>
  <c r="BD36" i="63" s="1"/>
  <c r="BD37" i="63" s="1"/>
  <c r="BD38" i="63" s="1"/>
  <c r="C30" i="65"/>
  <c r="AB28" i="65"/>
  <c r="AZ28" i="65"/>
  <c r="AZ29" i="65" s="1"/>
  <c r="AZ30" i="65" s="1"/>
  <c r="AZ31" i="65" s="1"/>
  <c r="AZ32" i="65" s="1"/>
  <c r="AZ33" i="65" s="1"/>
  <c r="AZ34" i="65" s="1"/>
  <c r="AZ35" i="65" s="1"/>
  <c r="AZ36" i="65" s="1"/>
  <c r="AZ37" i="65" s="1"/>
  <c r="AZ38" i="65" s="1"/>
  <c r="AZ39" i="65" s="1"/>
  <c r="AZ40" i="65" s="1"/>
  <c r="AZ41" i="65" s="1"/>
  <c r="AZ42" i="65" s="1"/>
  <c r="AZ43" i="65" s="1"/>
  <c r="AZ44" i="65" s="1"/>
  <c r="AZ45" i="65" s="1"/>
  <c r="AZ46" i="65" s="1"/>
  <c r="AZ47" i="65" s="1"/>
  <c r="AZ48" i="65" s="1"/>
  <c r="AZ49" i="65" s="1"/>
  <c r="AZ50" i="65" s="1"/>
  <c r="AZ51" i="65" s="1"/>
  <c r="AZ52" i="65" s="1"/>
  <c r="AZ53" i="65" s="1"/>
  <c r="AZ54" i="65" s="1"/>
  <c r="AZ55" i="65" s="1"/>
  <c r="AZ56" i="65" s="1"/>
  <c r="AZ57" i="65" s="1"/>
  <c r="AZ58" i="65" s="1"/>
  <c r="AZ59" i="65" s="1"/>
  <c r="AZ60" i="65" s="1"/>
  <c r="AZ61" i="65" s="1"/>
  <c r="AZ62" i="65" s="1"/>
  <c r="AZ63" i="65" s="1"/>
  <c r="AZ64" i="65" s="1"/>
  <c r="AZ65" i="65" s="1"/>
  <c r="AZ66" i="65" s="1"/>
  <c r="AZ67" i="65" s="1"/>
  <c r="AZ68" i="65" s="1"/>
  <c r="AB30" i="63"/>
  <c r="AF11" i="63"/>
  <c r="AH29" i="63"/>
  <c r="AJ29" i="63"/>
  <c r="AJ30" i="63" s="1"/>
  <c r="AJ31" i="63" s="1"/>
  <c r="AJ32" i="63" s="1"/>
  <c r="AJ33" i="63" s="1"/>
  <c r="AJ34" i="63" s="1"/>
  <c r="AJ35" i="63" s="1"/>
  <c r="AJ36" i="63" s="1"/>
  <c r="AJ37" i="63" s="1"/>
  <c r="AF11" i="62"/>
  <c r="AL28" i="62" s="1"/>
  <c r="AF30" i="62"/>
  <c r="BB30" i="62"/>
  <c r="AB29" i="62"/>
  <c r="AH29" i="62"/>
  <c r="AH30" i="62" s="1"/>
  <c r="AH31" i="62" s="1"/>
  <c r="AH32" i="62" s="1"/>
  <c r="AH33" i="62" s="1"/>
  <c r="AH34" i="62" s="1"/>
  <c r="AH35" i="62" s="1"/>
  <c r="AH36" i="62" s="1"/>
  <c r="AH37" i="62" s="1"/>
  <c r="AF12" i="61"/>
  <c r="BD11" i="61"/>
  <c r="BF28" i="61" s="1"/>
  <c r="AL28" i="61"/>
  <c r="AB30" i="61"/>
  <c r="BB29" i="61"/>
  <c r="AF29" i="61"/>
  <c r="AD68" i="60"/>
  <c r="AD67" i="60"/>
  <c r="AD66" i="60"/>
  <c r="AD65" i="60"/>
  <c r="AD64" i="60"/>
  <c r="AD63" i="60"/>
  <c r="AD62" i="60"/>
  <c r="AD61" i="60"/>
  <c r="AD60" i="60"/>
  <c r="AD59" i="60"/>
  <c r="AD58" i="60"/>
  <c r="AD57" i="60"/>
  <c r="AD56" i="60"/>
  <c r="AD55" i="60"/>
  <c r="AD54" i="60"/>
  <c r="AD53" i="60"/>
  <c r="AD52" i="60"/>
  <c r="AD51" i="60"/>
  <c r="AD50" i="60"/>
  <c r="AD49" i="60"/>
  <c r="AD48" i="60"/>
  <c r="AD47" i="60"/>
  <c r="AD46" i="60"/>
  <c r="AD45" i="60"/>
  <c r="AD44" i="60"/>
  <c r="AD43" i="60"/>
  <c r="AD42" i="60"/>
  <c r="AD41" i="60"/>
  <c r="AD40" i="60"/>
  <c r="AD39" i="60"/>
  <c r="AD38" i="60"/>
  <c r="AD37" i="60"/>
  <c r="E37" i="60"/>
  <c r="AD36" i="60"/>
  <c r="E36" i="60"/>
  <c r="AD35" i="60"/>
  <c r="E35" i="60"/>
  <c r="AD34" i="60"/>
  <c r="E34" i="60"/>
  <c r="AD33" i="60"/>
  <c r="E33" i="60"/>
  <c r="AD32" i="60"/>
  <c r="E32" i="60"/>
  <c r="AD31" i="60"/>
  <c r="E31" i="60"/>
  <c r="AD30" i="60"/>
  <c r="E30" i="60"/>
  <c r="AD29" i="60"/>
  <c r="E29" i="60"/>
  <c r="C29" i="60"/>
  <c r="C30" i="60" s="1"/>
  <c r="C31" i="60" s="1"/>
  <c r="C32" i="60" s="1"/>
  <c r="C33" i="60" s="1"/>
  <c r="C34" i="60" s="1"/>
  <c r="C35" i="60" s="1"/>
  <c r="C36" i="60" s="1"/>
  <c r="C37" i="60" s="1"/>
  <c r="C38" i="60" s="1"/>
  <c r="C39" i="60" s="1"/>
  <c r="C40" i="60" s="1"/>
  <c r="C41" i="60" s="1"/>
  <c r="C42" i="60" s="1"/>
  <c r="C43" i="60" s="1"/>
  <c r="C44" i="60" s="1"/>
  <c r="C45" i="60" s="1"/>
  <c r="C46" i="60" s="1"/>
  <c r="C47" i="60" s="1"/>
  <c r="C48" i="60" s="1"/>
  <c r="C49" i="60" s="1"/>
  <c r="C50" i="60" s="1"/>
  <c r="C51" i="60" s="1"/>
  <c r="C52" i="60" s="1"/>
  <c r="C53" i="60" s="1"/>
  <c r="C54" i="60" s="1"/>
  <c r="C55" i="60" s="1"/>
  <c r="C56" i="60" s="1"/>
  <c r="C57" i="60" s="1"/>
  <c r="C58" i="60" s="1"/>
  <c r="C59" i="60" s="1"/>
  <c r="C60" i="60" s="1"/>
  <c r="C61" i="60" s="1"/>
  <c r="C62" i="60" s="1"/>
  <c r="C63" i="60" s="1"/>
  <c r="C64" i="60" s="1"/>
  <c r="C65" i="60" s="1"/>
  <c r="C66" i="60" s="1"/>
  <c r="C67" i="60" s="1"/>
  <c r="C68" i="60" s="1"/>
  <c r="AZ28" i="60"/>
  <c r="AZ29" i="60" s="1"/>
  <c r="AZ30" i="60" s="1"/>
  <c r="AZ31" i="60" s="1"/>
  <c r="AZ32" i="60" s="1"/>
  <c r="AZ33" i="60" s="1"/>
  <c r="AZ34" i="60" s="1"/>
  <c r="AZ35" i="60" s="1"/>
  <c r="AZ36" i="60" s="1"/>
  <c r="AZ37" i="60" s="1"/>
  <c r="AZ38" i="60" s="1"/>
  <c r="AZ39" i="60" s="1"/>
  <c r="AZ40" i="60" s="1"/>
  <c r="AZ41" i="60" s="1"/>
  <c r="AZ42" i="60" s="1"/>
  <c r="AZ43" i="60" s="1"/>
  <c r="AZ44" i="60" s="1"/>
  <c r="AZ45" i="60" s="1"/>
  <c r="AZ46" i="60" s="1"/>
  <c r="AZ47" i="60" s="1"/>
  <c r="AZ48" i="60" s="1"/>
  <c r="AZ49" i="60" s="1"/>
  <c r="AZ50" i="60" s="1"/>
  <c r="AZ51" i="60" s="1"/>
  <c r="AZ52" i="60" s="1"/>
  <c r="AZ53" i="60" s="1"/>
  <c r="AZ54" i="60" s="1"/>
  <c r="AZ55" i="60" s="1"/>
  <c r="AZ56" i="60" s="1"/>
  <c r="AZ57" i="60" s="1"/>
  <c r="AZ58" i="60" s="1"/>
  <c r="AZ59" i="60" s="1"/>
  <c r="AZ60" i="60" s="1"/>
  <c r="AZ61" i="60" s="1"/>
  <c r="AZ62" i="60" s="1"/>
  <c r="AZ63" i="60" s="1"/>
  <c r="AZ64" i="60" s="1"/>
  <c r="AZ65" i="60" s="1"/>
  <c r="AZ66" i="60" s="1"/>
  <c r="AZ67" i="60" s="1"/>
  <c r="AZ68" i="60" s="1"/>
  <c r="AD28" i="60"/>
  <c r="AB28" i="60"/>
  <c r="AB29" i="60" s="1"/>
  <c r="M28" i="60"/>
  <c r="E28" i="60"/>
  <c r="W26" i="60"/>
  <c r="U26" i="60"/>
  <c r="S26" i="60"/>
  <c r="Q26" i="60"/>
  <c r="O26" i="60"/>
  <c r="M26" i="60"/>
  <c r="K26" i="60"/>
  <c r="I19" i="60"/>
  <c r="G19" i="60"/>
  <c r="BI16" i="60"/>
  <c r="BK15" i="60"/>
  <c r="AR15" i="60"/>
  <c r="I28" i="60"/>
  <c r="BK14" i="60"/>
  <c r="AF11" i="60"/>
  <c r="AF12" i="60" s="1"/>
  <c r="BD29" i="60" l="1"/>
  <c r="BD30" i="60" s="1"/>
  <c r="BD31" i="60" s="1"/>
  <c r="BD32" i="60" s="1"/>
  <c r="BD33" i="60" s="1"/>
  <c r="BD34" i="60" s="1"/>
  <c r="BD35" i="60" s="1"/>
  <c r="BD36" i="60" s="1"/>
  <c r="BD37" i="60" s="1"/>
  <c r="BD38" i="60" s="1"/>
  <c r="K29" i="60"/>
  <c r="K30" i="60" s="1"/>
  <c r="K31" i="60" s="1"/>
  <c r="K32" i="60" s="1"/>
  <c r="K33" i="60" s="1"/>
  <c r="K34" i="60" s="1"/>
  <c r="K35" i="60" s="1"/>
  <c r="K36" i="60" s="1"/>
  <c r="K37" i="60" s="1"/>
  <c r="AT28" i="61"/>
  <c r="AF12" i="62"/>
  <c r="BD11" i="62"/>
  <c r="BF28" i="62" s="1"/>
  <c r="AT28" i="62" s="1"/>
  <c r="AB29" i="65"/>
  <c r="C31" i="65"/>
  <c r="AB31" i="63"/>
  <c r="AF32" i="63"/>
  <c r="AH30" i="63"/>
  <c r="AL29" i="63"/>
  <c r="AL28" i="63"/>
  <c r="AF12" i="63"/>
  <c r="BD11" i="63"/>
  <c r="BF30" i="63" s="1"/>
  <c r="BB31" i="63"/>
  <c r="BB31" i="62"/>
  <c r="AB30" i="62"/>
  <c r="AL30" i="62"/>
  <c r="AF31" i="62"/>
  <c r="AL29" i="62"/>
  <c r="BB30" i="61"/>
  <c r="BF29" i="61"/>
  <c r="AB31" i="61"/>
  <c r="AF30" i="61"/>
  <c r="AL29" i="61"/>
  <c r="AL28" i="60"/>
  <c r="BD11" i="60"/>
  <c r="BF28" i="60" s="1"/>
  <c r="AB30" i="60"/>
  <c r="I29" i="60"/>
  <c r="S28" i="60"/>
  <c r="AF29" i="60"/>
  <c r="M29" i="60"/>
  <c r="M30" i="60" s="1"/>
  <c r="M31" i="60" s="1"/>
  <c r="M32" i="60" s="1"/>
  <c r="M33" i="60" s="1"/>
  <c r="M34" i="60" s="1"/>
  <c r="M35" i="60" s="1"/>
  <c r="M36" i="60" s="1"/>
  <c r="M37" i="60" s="1"/>
  <c r="M38" i="60" s="1"/>
  <c r="AH29" i="60"/>
  <c r="AH30" i="60" s="1"/>
  <c r="AH31" i="60" s="1"/>
  <c r="AH32" i="60" s="1"/>
  <c r="AH33" i="60" s="1"/>
  <c r="AH34" i="60" s="1"/>
  <c r="AH35" i="60" s="1"/>
  <c r="AH36" i="60" s="1"/>
  <c r="AH37" i="60" s="1"/>
  <c r="AJ29" i="60"/>
  <c r="AJ30" i="60" s="1"/>
  <c r="AJ31" i="60" s="1"/>
  <c r="AJ32" i="60" s="1"/>
  <c r="AJ33" i="60" s="1"/>
  <c r="AJ34" i="60" s="1"/>
  <c r="AJ35" i="60" s="1"/>
  <c r="AJ36" i="60" s="1"/>
  <c r="AJ37" i="60" s="1"/>
  <c r="AR29" i="60"/>
  <c r="AR30" i="60" s="1"/>
  <c r="AR31" i="60" s="1"/>
  <c r="AR32" i="60" s="1"/>
  <c r="AR33" i="60" s="1"/>
  <c r="AR34" i="60" s="1"/>
  <c r="AR35" i="60" s="1"/>
  <c r="AR36" i="60" s="1"/>
  <c r="AR37" i="60" s="1"/>
  <c r="BB29" i="60"/>
  <c r="BF29" i="62" l="1"/>
  <c r="AT29" i="62" s="1"/>
  <c r="BF30" i="62"/>
  <c r="AT30" i="62" s="1"/>
  <c r="C32" i="65"/>
  <c r="AB30" i="65"/>
  <c r="BB32" i="63"/>
  <c r="BF31" i="63"/>
  <c r="AB32" i="63"/>
  <c r="BF28" i="63"/>
  <c r="BF29" i="63"/>
  <c r="AT29" i="63" s="1"/>
  <c r="AH31" i="63"/>
  <c r="AL30" i="63"/>
  <c r="AT30" i="63" s="1"/>
  <c r="AF33" i="63"/>
  <c r="AB31" i="62"/>
  <c r="BB32" i="62"/>
  <c r="BF31" i="62"/>
  <c r="AL31" i="62"/>
  <c r="AF32" i="62"/>
  <c r="AF31" i="61"/>
  <c r="AL30" i="61"/>
  <c r="AB32" i="61"/>
  <c r="AT29" i="61"/>
  <c r="BB31" i="61"/>
  <c r="BF30" i="61"/>
  <c r="AT28" i="60"/>
  <c r="AL29" i="60"/>
  <c r="AF30" i="60"/>
  <c r="I30" i="60"/>
  <c r="S29" i="60"/>
  <c r="BB30" i="60"/>
  <c r="BF29" i="60"/>
  <c r="S38" i="60"/>
  <c r="AB31" i="60"/>
  <c r="AB31" i="65" l="1"/>
  <c r="C33" i="65"/>
  <c r="AH32" i="63"/>
  <c r="AL31" i="63"/>
  <c r="AF34" i="63"/>
  <c r="AB33" i="63"/>
  <c r="AT28" i="63"/>
  <c r="BB33" i="63"/>
  <c r="BF32" i="63"/>
  <c r="BF32" i="62"/>
  <c r="BB33" i="62"/>
  <c r="AL32" i="62"/>
  <c r="AF33" i="62"/>
  <c r="AT31" i="62"/>
  <c r="AB32" i="62"/>
  <c r="BB32" i="61"/>
  <c r="BF31" i="61"/>
  <c r="AT30" i="61"/>
  <c r="AB33" i="61"/>
  <c r="AF32" i="61"/>
  <c r="AL31" i="61"/>
  <c r="AB32" i="60"/>
  <c r="BF30" i="60"/>
  <c r="BB31" i="60"/>
  <c r="AT29" i="60"/>
  <c r="I31" i="60"/>
  <c r="S30" i="60"/>
  <c r="AL30" i="60"/>
  <c r="AF31" i="60"/>
  <c r="AT30" i="60" l="1"/>
  <c r="AB32" i="65"/>
  <c r="C34" i="65"/>
  <c r="AT31" i="63"/>
  <c r="BF33" i="63"/>
  <c r="BB34" i="63"/>
  <c r="AB34" i="63"/>
  <c r="AF35" i="63"/>
  <c r="AH33" i="63"/>
  <c r="AL32" i="63"/>
  <c r="AT32" i="63" s="1"/>
  <c r="AT32" i="62"/>
  <c r="BB34" i="62"/>
  <c r="BF33" i="62"/>
  <c r="AB33" i="62"/>
  <c r="AL33" i="62"/>
  <c r="AF34" i="62"/>
  <c r="AB34" i="61"/>
  <c r="BB33" i="61"/>
  <c r="BF32" i="61"/>
  <c r="AT31" i="61"/>
  <c r="AF33" i="61"/>
  <c r="AL32" i="61"/>
  <c r="BF31" i="60"/>
  <c r="BB32" i="60"/>
  <c r="AF32" i="60"/>
  <c r="AL31" i="60"/>
  <c r="S31" i="60"/>
  <c r="I32" i="60"/>
  <c r="AB33" i="60"/>
  <c r="AT31" i="60" l="1"/>
  <c r="AT32" i="61"/>
  <c r="C35" i="65"/>
  <c r="AB33" i="65"/>
  <c r="AF36" i="63"/>
  <c r="BF34" i="63"/>
  <c r="BB35" i="63"/>
  <c r="AH34" i="63"/>
  <c r="AL33" i="63"/>
  <c r="AT33" i="63" s="1"/>
  <c r="AB35" i="63"/>
  <c r="BB35" i="62"/>
  <c r="BF34" i="62"/>
  <c r="AB34" i="62"/>
  <c r="AL34" i="62"/>
  <c r="AF35" i="62"/>
  <c r="AT33" i="62"/>
  <c r="AB35" i="61"/>
  <c r="BB34" i="61"/>
  <c r="BF33" i="61"/>
  <c r="AF34" i="61"/>
  <c r="AL33" i="61"/>
  <c r="I33" i="60"/>
  <c r="S32" i="60"/>
  <c r="BF32" i="60"/>
  <c r="BB33" i="60"/>
  <c r="AB34" i="60"/>
  <c r="AF33" i="60"/>
  <c r="AL32" i="60"/>
  <c r="AT32" i="60" l="1"/>
  <c r="AB34" i="65"/>
  <c r="C36" i="65"/>
  <c r="AB36" i="63"/>
  <c r="AF37" i="63"/>
  <c r="AH35" i="63"/>
  <c r="AL34" i="63"/>
  <c r="BB36" i="63"/>
  <c r="BF35" i="63"/>
  <c r="AT34" i="62"/>
  <c r="BB36" i="62"/>
  <c r="BF35" i="62"/>
  <c r="AB35" i="62"/>
  <c r="AF36" i="62"/>
  <c r="AL35" i="62"/>
  <c r="AF35" i="61"/>
  <c r="AL34" i="61"/>
  <c r="BB35" i="61"/>
  <c r="BF34" i="61"/>
  <c r="AB36" i="61"/>
  <c r="AT33" i="61"/>
  <c r="AB35" i="60"/>
  <c r="AL33" i="60"/>
  <c r="AF34" i="60"/>
  <c r="BB34" i="60"/>
  <c r="BF33" i="60"/>
  <c r="I34" i="60"/>
  <c r="S33" i="60"/>
  <c r="AB35" i="65" l="1"/>
  <c r="C37" i="65"/>
  <c r="C38" i="65" s="1"/>
  <c r="C39" i="65" s="1"/>
  <c r="C40" i="65" s="1"/>
  <c r="C41" i="65" s="1"/>
  <c r="C42" i="65" s="1"/>
  <c r="C43" i="65" s="1"/>
  <c r="C44" i="65" s="1"/>
  <c r="C45" i="65" s="1"/>
  <c r="C46" i="65" s="1"/>
  <c r="C47" i="65" s="1"/>
  <c r="C48" i="65" s="1"/>
  <c r="AB37" i="63"/>
  <c r="BF36" i="63"/>
  <c r="BB37" i="63"/>
  <c r="AT34" i="63"/>
  <c r="AH36" i="63"/>
  <c r="AL35" i="63"/>
  <c r="AT35" i="63" s="1"/>
  <c r="AT35" i="62"/>
  <c r="AF37" i="62"/>
  <c r="AL37" i="62" s="1"/>
  <c r="AL36" i="62"/>
  <c r="AB36" i="62"/>
  <c r="BB37" i="62"/>
  <c r="BF36" i="62"/>
  <c r="AF36" i="61"/>
  <c r="AL35" i="61"/>
  <c r="AB37" i="61"/>
  <c r="AT34" i="61"/>
  <c r="BB36" i="61"/>
  <c r="BF35" i="61"/>
  <c r="AL34" i="60"/>
  <c r="AF35" i="60"/>
  <c r="S34" i="60"/>
  <c r="I35" i="60"/>
  <c r="AT33" i="60"/>
  <c r="BB35" i="60"/>
  <c r="BF34" i="60"/>
  <c r="AB36" i="60"/>
  <c r="C49" i="65" l="1"/>
  <c r="AB36" i="65"/>
  <c r="AB38" i="63"/>
  <c r="BB38" i="63"/>
  <c r="BF37" i="63"/>
  <c r="AH37" i="63"/>
  <c r="AL36" i="63"/>
  <c r="AT36" i="63" s="1"/>
  <c r="AT36" i="62"/>
  <c r="AB37" i="62"/>
  <c r="BB38" i="62"/>
  <c r="BF37" i="62"/>
  <c r="AT37" i="62" s="1"/>
  <c r="AT35" i="61"/>
  <c r="AB38" i="61"/>
  <c r="AF37" i="61"/>
  <c r="AL37" i="61" s="1"/>
  <c r="AL36" i="61"/>
  <c r="BB37" i="61"/>
  <c r="BF36" i="61"/>
  <c r="AT34" i="60"/>
  <c r="BF35" i="60"/>
  <c r="BB36" i="60"/>
  <c r="S35" i="60"/>
  <c r="I36" i="60"/>
  <c r="AB37" i="60"/>
  <c r="AF36" i="60"/>
  <c r="AL35" i="60"/>
  <c r="AT35" i="60" l="1"/>
  <c r="C50" i="65"/>
  <c r="AB37" i="65"/>
  <c r="AL37" i="63"/>
  <c r="AT37" i="63" s="1"/>
  <c r="BF38" i="63"/>
  <c r="AB39" i="63"/>
  <c r="BF38" i="62"/>
  <c r="AB38" i="62"/>
  <c r="BB38" i="61"/>
  <c r="BF37" i="61"/>
  <c r="AT37" i="61" s="1"/>
  <c r="AT36" i="61"/>
  <c r="AB39" i="61"/>
  <c r="BF36" i="60"/>
  <c r="BB37" i="60"/>
  <c r="AB38" i="60"/>
  <c r="AF37" i="60"/>
  <c r="AL37" i="60" s="1"/>
  <c r="AL36" i="60"/>
  <c r="I37" i="60"/>
  <c r="S37" i="60" s="1"/>
  <c r="S36" i="60"/>
  <c r="C51" i="65" l="1"/>
  <c r="AB38" i="65"/>
  <c r="AB40" i="63"/>
  <c r="AB39" i="62"/>
  <c r="BF38" i="61"/>
  <c r="AB40" i="61"/>
  <c r="AT36" i="60"/>
  <c r="BB38" i="60"/>
  <c r="BF37" i="60"/>
  <c r="AT37" i="60" s="1"/>
  <c r="AB39" i="60"/>
  <c r="C52" i="65" l="1"/>
  <c r="AB39" i="65"/>
  <c r="AB41" i="63"/>
  <c r="AB40" i="62"/>
  <c r="AB41" i="61"/>
  <c r="AB40" i="60"/>
  <c r="BF38" i="60"/>
  <c r="C53" i="65" l="1"/>
  <c r="AB40" i="65"/>
  <c r="AB42" i="63"/>
  <c r="AB41" i="62"/>
  <c r="AB42" i="61"/>
  <c r="AB41" i="60"/>
  <c r="C54" i="65" l="1"/>
  <c r="AB41" i="65"/>
  <c r="AB43" i="63"/>
  <c r="AB42" i="62"/>
  <c r="AB43" i="61"/>
  <c r="AB42" i="60"/>
  <c r="C55" i="65" l="1"/>
  <c r="AB42" i="65"/>
  <c r="AB44" i="63"/>
  <c r="AB43" i="62"/>
  <c r="AB44" i="61"/>
  <c r="AB43" i="60"/>
  <c r="C56" i="65" l="1"/>
  <c r="AB43" i="65"/>
  <c r="AB45" i="63"/>
  <c r="AB44" i="62"/>
  <c r="AB45" i="61"/>
  <c r="AB44" i="60"/>
  <c r="C57" i="65" l="1"/>
  <c r="AB44" i="65"/>
  <c r="AB46" i="63"/>
  <c r="AB45" i="62"/>
  <c r="AB46" i="61"/>
  <c r="AB45" i="60"/>
  <c r="C58" i="65" l="1"/>
  <c r="AB45" i="65"/>
  <c r="AB47" i="63"/>
  <c r="AB46" i="62"/>
  <c r="AB47" i="61"/>
  <c r="AB46" i="60"/>
  <c r="C59" i="65" l="1"/>
  <c r="AB46" i="65"/>
  <c r="AB48" i="63"/>
  <c r="AB47" i="62"/>
  <c r="AB48" i="61"/>
  <c r="AB47" i="60"/>
  <c r="C60" i="65" l="1"/>
  <c r="AB47" i="65"/>
  <c r="AB49" i="63"/>
  <c r="AB48" i="62"/>
  <c r="AB49" i="61"/>
  <c r="AB48" i="60"/>
  <c r="C61" i="65" l="1"/>
  <c r="AB48" i="65"/>
  <c r="AB50" i="63"/>
  <c r="AB49" i="62"/>
  <c r="AB50" i="61"/>
  <c r="AB49" i="60"/>
  <c r="C62" i="65" l="1"/>
  <c r="AB49" i="65"/>
  <c r="S47" i="65"/>
  <c r="AB51" i="63"/>
  <c r="AB50" i="62"/>
  <c r="AB51" i="61"/>
  <c r="AB50" i="60"/>
  <c r="AB50" i="65" l="1"/>
  <c r="C63" i="65"/>
  <c r="AB52" i="63"/>
  <c r="AB51" i="62"/>
  <c r="AB52" i="61"/>
  <c r="AB51" i="60"/>
  <c r="C64" i="65" l="1"/>
  <c r="AB51" i="65"/>
  <c r="AB53" i="63"/>
  <c r="AB52" i="62"/>
  <c r="AB53" i="61"/>
  <c r="AB52" i="60"/>
  <c r="C65" i="65" l="1"/>
  <c r="AB52" i="65"/>
  <c r="AB54" i="63"/>
  <c r="AB53" i="62"/>
  <c r="AB54" i="61"/>
  <c r="AB53" i="60"/>
  <c r="AB53" i="65" l="1"/>
  <c r="C66" i="65"/>
  <c r="AB55" i="63"/>
  <c r="AB54" i="62"/>
  <c r="AB55" i="61"/>
  <c r="AB54" i="60"/>
  <c r="C67" i="65" l="1"/>
  <c r="AB54" i="65"/>
  <c r="AB56" i="63"/>
  <c r="AB55" i="62"/>
  <c r="AB56" i="61"/>
  <c r="AB55" i="60"/>
  <c r="C68" i="65" l="1"/>
  <c r="AB55" i="65"/>
  <c r="AB57" i="63"/>
  <c r="AB56" i="62"/>
  <c r="AB57" i="61"/>
  <c r="AB56" i="60"/>
  <c r="AB56" i="65" l="1"/>
  <c r="AB58" i="63"/>
  <c r="AB57" i="62"/>
  <c r="AB58" i="61"/>
  <c r="AB57" i="60"/>
  <c r="AB57" i="65" l="1"/>
  <c r="AB59" i="63"/>
  <c r="AB58" i="62"/>
  <c r="AB59" i="61"/>
  <c r="AB58" i="60"/>
  <c r="AB58" i="65" l="1"/>
  <c r="AB60" i="63"/>
  <c r="AB59" i="62"/>
  <c r="AB60" i="61"/>
  <c r="AB59" i="60"/>
  <c r="AB59" i="65" l="1"/>
  <c r="AB61" i="63"/>
  <c r="AB60" i="62"/>
  <c r="AB61" i="61"/>
  <c r="AB60" i="60"/>
  <c r="AB60" i="65" l="1"/>
  <c r="AB62" i="63"/>
  <c r="AB61" i="62"/>
  <c r="AB62" i="61"/>
  <c r="AB61" i="60"/>
  <c r="AB61" i="65" l="1"/>
  <c r="AB63" i="63"/>
  <c r="AB62" i="62"/>
  <c r="AB63" i="61"/>
  <c r="AB62" i="60"/>
  <c r="AB62" i="65" l="1"/>
  <c r="AB64" i="63"/>
  <c r="AB63" i="62"/>
  <c r="AB64" i="61"/>
  <c r="AB63" i="60"/>
  <c r="AB63" i="65" l="1"/>
  <c r="AB65" i="63"/>
  <c r="AB64" i="62"/>
  <c r="AB65" i="61"/>
  <c r="AB64" i="60"/>
  <c r="AB64" i="65" l="1"/>
  <c r="AB66" i="63"/>
  <c r="AB65" i="62"/>
  <c r="AB66" i="61"/>
  <c r="AB65" i="60"/>
  <c r="AB65" i="65" l="1"/>
  <c r="AB67" i="63"/>
  <c r="AB66" i="62"/>
  <c r="AB67" i="61"/>
  <c r="AB66" i="60"/>
  <c r="AB66" i="65" l="1"/>
  <c r="AB68" i="63"/>
  <c r="AB67" i="62"/>
  <c r="AB68" i="61"/>
  <c r="AB67" i="60"/>
  <c r="AB67" i="65" l="1"/>
  <c r="AB68" i="62"/>
  <c r="AB68" i="60"/>
  <c r="AB68" i="65" l="1"/>
  <c r="K28" i="59" l="1"/>
  <c r="G19" i="58"/>
  <c r="AD68" i="59"/>
  <c r="AD67" i="59"/>
  <c r="AD66" i="59"/>
  <c r="AD65" i="59"/>
  <c r="AD64" i="59"/>
  <c r="AD63" i="59"/>
  <c r="AD62" i="59"/>
  <c r="AD61" i="59"/>
  <c r="AD60" i="59"/>
  <c r="AD59" i="59"/>
  <c r="AD58" i="59"/>
  <c r="AD57" i="59"/>
  <c r="AD56" i="59"/>
  <c r="AD55" i="59"/>
  <c r="AD54" i="59"/>
  <c r="AD53" i="59"/>
  <c r="AD52" i="59"/>
  <c r="AD51" i="59"/>
  <c r="AD50" i="59"/>
  <c r="AD49" i="59"/>
  <c r="AD48" i="59"/>
  <c r="AD47" i="59"/>
  <c r="AD46" i="59"/>
  <c r="AD45" i="59"/>
  <c r="AD44" i="59"/>
  <c r="AD43" i="59"/>
  <c r="AD42" i="59"/>
  <c r="AD41" i="59"/>
  <c r="AD40" i="59"/>
  <c r="AD39" i="59"/>
  <c r="AD38" i="59"/>
  <c r="AD37" i="59"/>
  <c r="E37" i="59"/>
  <c r="AD36" i="59"/>
  <c r="E36" i="59"/>
  <c r="AD35" i="59"/>
  <c r="E35" i="59"/>
  <c r="AD34" i="59"/>
  <c r="E34" i="59"/>
  <c r="AD33" i="59"/>
  <c r="E33" i="59"/>
  <c r="AD32" i="59"/>
  <c r="E32" i="59"/>
  <c r="AD31" i="59"/>
  <c r="E31" i="59"/>
  <c r="AD30" i="59"/>
  <c r="E30" i="59"/>
  <c r="AD29" i="59"/>
  <c r="E29" i="59"/>
  <c r="BD29" i="59" s="1"/>
  <c r="C29" i="59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C62" i="59" s="1"/>
  <c r="C63" i="59" s="1"/>
  <c r="C64" i="59" s="1"/>
  <c r="C65" i="59" s="1"/>
  <c r="C66" i="59" s="1"/>
  <c r="C67" i="59" s="1"/>
  <c r="C68" i="59" s="1"/>
  <c r="AZ28" i="59"/>
  <c r="AZ29" i="59" s="1"/>
  <c r="AZ30" i="59" s="1"/>
  <c r="AZ31" i="59" s="1"/>
  <c r="AZ32" i="59" s="1"/>
  <c r="AZ33" i="59" s="1"/>
  <c r="AZ34" i="59" s="1"/>
  <c r="AZ35" i="59" s="1"/>
  <c r="AZ36" i="59" s="1"/>
  <c r="AZ37" i="59" s="1"/>
  <c r="AZ38" i="59" s="1"/>
  <c r="AZ39" i="59" s="1"/>
  <c r="AZ40" i="59" s="1"/>
  <c r="AZ41" i="59" s="1"/>
  <c r="AZ42" i="59" s="1"/>
  <c r="AZ43" i="59" s="1"/>
  <c r="AZ44" i="59" s="1"/>
  <c r="AZ45" i="59" s="1"/>
  <c r="AZ46" i="59" s="1"/>
  <c r="AZ47" i="59" s="1"/>
  <c r="AZ48" i="59" s="1"/>
  <c r="AZ49" i="59" s="1"/>
  <c r="AZ50" i="59" s="1"/>
  <c r="AZ51" i="59" s="1"/>
  <c r="AZ52" i="59" s="1"/>
  <c r="AZ53" i="59" s="1"/>
  <c r="AZ54" i="59" s="1"/>
  <c r="AZ55" i="59" s="1"/>
  <c r="AZ56" i="59" s="1"/>
  <c r="AZ57" i="59" s="1"/>
  <c r="AZ58" i="59" s="1"/>
  <c r="AZ59" i="59" s="1"/>
  <c r="AZ60" i="59" s="1"/>
  <c r="AZ61" i="59" s="1"/>
  <c r="AZ62" i="59" s="1"/>
  <c r="AZ63" i="59" s="1"/>
  <c r="AZ64" i="59" s="1"/>
  <c r="AZ65" i="59" s="1"/>
  <c r="AZ66" i="59" s="1"/>
  <c r="AZ67" i="59" s="1"/>
  <c r="AZ68" i="59" s="1"/>
  <c r="AD28" i="59"/>
  <c r="AB28" i="59"/>
  <c r="AB29" i="59" s="1"/>
  <c r="M28" i="59"/>
  <c r="I28" i="59"/>
  <c r="E28" i="59"/>
  <c r="W26" i="59"/>
  <c r="U26" i="59"/>
  <c r="S26" i="59"/>
  <c r="Q26" i="59"/>
  <c r="O26" i="59"/>
  <c r="M26" i="59"/>
  <c r="K26" i="59"/>
  <c r="I19" i="59"/>
  <c r="G19" i="59"/>
  <c r="BI16" i="59"/>
  <c r="BK15" i="59"/>
  <c r="AR15" i="59"/>
  <c r="BK14" i="59"/>
  <c r="AF11" i="59"/>
  <c r="BD11" i="59" s="1"/>
  <c r="BF28" i="59" s="1"/>
  <c r="AF11" i="58"/>
  <c r="I19" i="58"/>
  <c r="I19" i="57"/>
  <c r="BD11" i="58"/>
  <c r="AF11" i="31"/>
  <c r="AF11" i="30"/>
  <c r="AF11" i="24"/>
  <c r="BD11" i="57"/>
  <c r="BD11" i="31"/>
  <c r="BI16" i="58"/>
  <c r="BK15" i="58"/>
  <c r="AR15" i="58"/>
  <c r="BK14" i="58"/>
  <c r="BI16" i="57"/>
  <c r="BK15" i="57"/>
  <c r="AR15" i="57"/>
  <c r="BK14" i="57"/>
  <c r="BI16" i="31"/>
  <c r="BK15" i="31"/>
  <c r="AR15" i="31"/>
  <c r="BK14" i="31"/>
  <c r="AR15" i="30"/>
  <c r="M29" i="59" l="1"/>
  <c r="M30" i="59" s="1"/>
  <c r="M31" i="59" s="1"/>
  <c r="M32" i="59" s="1"/>
  <c r="M33" i="59" s="1"/>
  <c r="M34" i="59" s="1"/>
  <c r="M35" i="59" s="1"/>
  <c r="M36" i="59" s="1"/>
  <c r="M37" i="59" s="1"/>
  <c r="M38" i="59" s="1"/>
  <c r="S38" i="59" s="1"/>
  <c r="AF29" i="59"/>
  <c r="AR29" i="59"/>
  <c r="AR30" i="59" s="1"/>
  <c r="AR31" i="59" s="1"/>
  <c r="AR32" i="59" s="1"/>
  <c r="AR33" i="59" s="1"/>
  <c r="AR34" i="59" s="1"/>
  <c r="AR35" i="59" s="1"/>
  <c r="AR36" i="59" s="1"/>
  <c r="AR37" i="59" s="1"/>
  <c r="I29" i="59"/>
  <c r="I30" i="59" s="1"/>
  <c r="I31" i="59" s="1"/>
  <c r="I32" i="59" s="1"/>
  <c r="I33" i="59" s="1"/>
  <c r="I34" i="59" s="1"/>
  <c r="I35" i="59" s="1"/>
  <c r="I36" i="59" s="1"/>
  <c r="I37" i="59" s="1"/>
  <c r="BB29" i="59"/>
  <c r="BB30" i="59" s="1"/>
  <c r="O29" i="59"/>
  <c r="O30" i="59" s="1"/>
  <c r="O31" i="59" s="1"/>
  <c r="O32" i="59" s="1"/>
  <c r="O33" i="59" s="1"/>
  <c r="O34" i="59" s="1"/>
  <c r="O35" i="59" s="1"/>
  <c r="O36" i="59" s="1"/>
  <c r="O37" i="59" s="1"/>
  <c r="K29" i="59"/>
  <c r="K30" i="59" s="1"/>
  <c r="K31" i="59" s="1"/>
  <c r="K32" i="59" s="1"/>
  <c r="K33" i="59" s="1"/>
  <c r="K34" i="59" s="1"/>
  <c r="K35" i="59" s="1"/>
  <c r="K36" i="59" s="1"/>
  <c r="K37" i="59" s="1"/>
  <c r="AH29" i="59"/>
  <c r="AH30" i="59" s="1"/>
  <c r="AH31" i="59" s="1"/>
  <c r="AH32" i="59" s="1"/>
  <c r="AH33" i="59" s="1"/>
  <c r="AH34" i="59" s="1"/>
  <c r="AH35" i="59" s="1"/>
  <c r="AH36" i="59" s="1"/>
  <c r="AH37" i="59" s="1"/>
  <c r="AL28" i="59"/>
  <c r="AT28" i="59" s="1"/>
  <c r="AF12" i="59"/>
  <c r="S28" i="59"/>
  <c r="AB30" i="59"/>
  <c r="AF30" i="59"/>
  <c r="BD30" i="59"/>
  <c r="BD31" i="59" s="1"/>
  <c r="BD32" i="59" s="1"/>
  <c r="BD33" i="59" s="1"/>
  <c r="BD34" i="59" s="1"/>
  <c r="BD35" i="59" s="1"/>
  <c r="BD36" i="59" s="1"/>
  <c r="BD37" i="59" s="1"/>
  <c r="BD38" i="59" s="1"/>
  <c r="AJ29" i="59"/>
  <c r="AJ30" i="59" s="1"/>
  <c r="AJ31" i="59" s="1"/>
  <c r="AJ32" i="59" s="1"/>
  <c r="AJ33" i="59" s="1"/>
  <c r="AJ34" i="59" s="1"/>
  <c r="AJ35" i="59" s="1"/>
  <c r="AJ36" i="59" s="1"/>
  <c r="AJ37" i="59" s="1"/>
  <c r="BI16" i="30"/>
  <c r="BK15" i="30"/>
  <c r="BK14" i="30"/>
  <c r="E29" i="58"/>
  <c r="E30" i="58"/>
  <c r="E31" i="58"/>
  <c r="E32" i="58"/>
  <c r="E33" i="58"/>
  <c r="E34" i="58"/>
  <c r="E35" i="58"/>
  <c r="E36" i="58"/>
  <c r="E37" i="58"/>
  <c r="E28" i="58"/>
  <c r="BF29" i="59" l="1"/>
  <c r="AL30" i="59"/>
  <c r="AF31" i="59"/>
  <c r="S29" i="59"/>
  <c r="AL29" i="59"/>
  <c r="BB31" i="59"/>
  <c r="BF30" i="59"/>
  <c r="AB31" i="59"/>
  <c r="AT30" i="59" l="1"/>
  <c r="AB32" i="59"/>
  <c r="S30" i="59"/>
  <c r="BB32" i="59"/>
  <c r="BF31" i="59"/>
  <c r="AT29" i="59"/>
  <c r="AL31" i="59"/>
  <c r="AF32" i="59"/>
  <c r="AT31" i="59" l="1"/>
  <c r="S31" i="59"/>
  <c r="BF32" i="59"/>
  <c r="BB33" i="59"/>
  <c r="AB33" i="59"/>
  <c r="AF33" i="59"/>
  <c r="AL32" i="59"/>
  <c r="AT32" i="59" l="1"/>
  <c r="AB34" i="59"/>
  <c r="BF33" i="59"/>
  <c r="BB34" i="59"/>
  <c r="AF34" i="59"/>
  <c r="AL33" i="59"/>
  <c r="S32" i="59"/>
  <c r="AT33" i="59" l="1"/>
  <c r="BB35" i="59"/>
  <c r="BF34" i="59"/>
  <c r="AB35" i="59"/>
  <c r="AL34" i="59"/>
  <c r="AF35" i="59"/>
  <c r="S33" i="59"/>
  <c r="S34" i="59" l="1"/>
  <c r="AL35" i="59"/>
  <c r="AF36" i="59"/>
  <c r="AB36" i="59"/>
  <c r="AT34" i="59"/>
  <c r="BB36" i="59"/>
  <c r="BF35" i="59"/>
  <c r="BF36" i="59" l="1"/>
  <c r="BB37" i="59"/>
  <c r="AB37" i="59"/>
  <c r="AF37" i="59"/>
  <c r="AL37" i="59" s="1"/>
  <c r="AL36" i="59"/>
  <c r="AT35" i="59"/>
  <c r="S35" i="59"/>
  <c r="AB38" i="59" l="1"/>
  <c r="S36" i="59"/>
  <c r="AT36" i="59"/>
  <c r="BF37" i="59"/>
  <c r="AT37" i="59" s="1"/>
  <c r="BB38" i="59"/>
  <c r="S37" i="59" l="1"/>
  <c r="BF38" i="59"/>
  <c r="AB39" i="59"/>
  <c r="AB40" i="59" l="1"/>
  <c r="AB41" i="59" l="1"/>
  <c r="AB42" i="59" l="1"/>
  <c r="AB43" i="59" l="1"/>
  <c r="AB44" i="59" l="1"/>
  <c r="AB45" i="59" l="1"/>
  <c r="AB46" i="59" l="1"/>
  <c r="AB47" i="59" l="1"/>
  <c r="AB48" i="59" l="1"/>
  <c r="AB49" i="59" l="1"/>
  <c r="AB50" i="59" l="1"/>
  <c r="AB51" i="59" l="1"/>
  <c r="AB52" i="59" l="1"/>
  <c r="AB53" i="59" l="1"/>
  <c r="AB54" i="59" l="1"/>
  <c r="AB55" i="59" l="1"/>
  <c r="AB56" i="59" l="1"/>
  <c r="AB57" i="59" l="1"/>
  <c r="AB58" i="59" l="1"/>
  <c r="AB59" i="59" l="1"/>
  <c r="AB60" i="59" l="1"/>
  <c r="AB61" i="59" l="1"/>
  <c r="AB62" i="59" l="1"/>
  <c r="AB63" i="59" l="1"/>
  <c r="AB64" i="59" l="1"/>
  <c r="AB65" i="59" l="1"/>
  <c r="AB66" i="59" l="1"/>
  <c r="AB67" i="59" l="1"/>
  <c r="AB68" i="59" l="1"/>
  <c r="G15" i="58" l="1"/>
  <c r="I28" i="58" s="1"/>
  <c r="AB28" i="58"/>
  <c r="K28" i="58"/>
  <c r="M28" i="58"/>
  <c r="AD28" i="58"/>
  <c r="AL28" i="58" l="1"/>
  <c r="S28" i="58"/>
  <c r="AZ28" i="58"/>
  <c r="AD37" i="58" l="1"/>
  <c r="AD36" i="58"/>
  <c r="AD35" i="58"/>
  <c r="AD34" i="58"/>
  <c r="AD33" i="58"/>
  <c r="AD32" i="58"/>
  <c r="AD31" i="58"/>
  <c r="AD30" i="58"/>
  <c r="BD29" i="58"/>
  <c r="BB29" i="58"/>
  <c r="AZ29" i="58"/>
  <c r="AZ30" i="58" s="1"/>
  <c r="AZ31" i="58" s="1"/>
  <c r="AZ32" i="58" s="1"/>
  <c r="AZ33" i="58" s="1"/>
  <c r="AZ34" i="58" s="1"/>
  <c r="AZ35" i="58" s="1"/>
  <c r="AZ36" i="58" s="1"/>
  <c r="AZ37" i="58" s="1"/>
  <c r="AZ38" i="58" s="1"/>
  <c r="AZ39" i="58" s="1"/>
  <c r="AR29" i="58"/>
  <c r="AR30" i="58" s="1"/>
  <c r="AR31" i="58" s="1"/>
  <c r="AR32" i="58" s="1"/>
  <c r="AR33" i="58" s="1"/>
  <c r="AR34" i="58" s="1"/>
  <c r="AR35" i="58" s="1"/>
  <c r="AR36" i="58" s="1"/>
  <c r="AR37" i="58" s="1"/>
  <c r="AJ29" i="58"/>
  <c r="AH29" i="58"/>
  <c r="AF29" i="58"/>
  <c r="AD29" i="58"/>
  <c r="AB29" i="58"/>
  <c r="M29" i="58"/>
  <c r="M30" i="58" s="1"/>
  <c r="M31" i="58" s="1"/>
  <c r="M32" i="58" s="1"/>
  <c r="M33" i="58" s="1"/>
  <c r="M34" i="58" s="1"/>
  <c r="M35" i="58" s="1"/>
  <c r="M36" i="58" s="1"/>
  <c r="M37" i="58" s="1"/>
  <c r="M38" i="58" s="1"/>
  <c r="C29" i="58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W26" i="58"/>
  <c r="U26" i="58"/>
  <c r="S26" i="58"/>
  <c r="Q26" i="58"/>
  <c r="O26" i="58"/>
  <c r="M26" i="58"/>
  <c r="K26" i="58"/>
  <c r="AR29" i="57"/>
  <c r="AR30" i="57" s="1"/>
  <c r="AR31" i="57" s="1"/>
  <c r="AR32" i="57" s="1"/>
  <c r="AR33" i="57" s="1"/>
  <c r="AR34" i="57" s="1"/>
  <c r="AR35" i="57" s="1"/>
  <c r="AR36" i="57" s="1"/>
  <c r="AR37" i="57" s="1"/>
  <c r="AR38" i="57" s="1"/>
  <c r="BD39" i="57"/>
  <c r="BB39" i="57"/>
  <c r="BF39" i="57"/>
  <c r="AL29" i="58" l="1"/>
  <c r="AZ40" i="58"/>
  <c r="AZ41" i="58" s="1"/>
  <c r="AZ42" i="58" s="1"/>
  <c r="AZ43" i="58" s="1"/>
  <c r="AZ44" i="58" s="1"/>
  <c r="AZ45" i="58" s="1"/>
  <c r="AZ46" i="58" s="1"/>
  <c r="AZ47" i="58" s="1"/>
  <c r="AZ48" i="58" s="1"/>
  <c r="AZ49" i="58" s="1"/>
  <c r="AZ50" i="58" s="1"/>
  <c r="AZ51" i="58" s="1"/>
  <c r="AZ52" i="58" s="1"/>
  <c r="AZ53" i="58" s="1"/>
  <c r="AZ54" i="58" s="1"/>
  <c r="AZ55" i="58" s="1"/>
  <c r="AZ56" i="58" s="1"/>
  <c r="AZ57" i="58" s="1"/>
  <c r="AZ58" i="58" s="1"/>
  <c r="AZ59" i="58" s="1"/>
  <c r="AZ60" i="58" s="1"/>
  <c r="AZ61" i="58" s="1"/>
  <c r="AZ62" i="58" s="1"/>
  <c r="AZ63" i="58" s="1"/>
  <c r="AZ64" i="58" s="1"/>
  <c r="AZ65" i="58" s="1"/>
  <c r="AZ66" i="58" s="1"/>
  <c r="AZ67" i="58" s="1"/>
  <c r="AZ68" i="58" s="1"/>
  <c r="C40" i="58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C62" i="58" s="1"/>
  <c r="C63" i="58" s="1"/>
  <c r="C64" i="58" s="1"/>
  <c r="C65" i="58" s="1"/>
  <c r="C66" i="58" s="1"/>
  <c r="C67" i="58" s="1"/>
  <c r="C68" i="58" s="1"/>
  <c r="AH30" i="58"/>
  <c r="AH31" i="58" s="1"/>
  <c r="AH32" i="58" s="1"/>
  <c r="AH33" i="58" s="1"/>
  <c r="AH34" i="58" s="1"/>
  <c r="AH35" i="58" s="1"/>
  <c r="AH36" i="58" s="1"/>
  <c r="AH37" i="58" s="1"/>
  <c r="I29" i="58"/>
  <c r="AB30" i="58"/>
  <c r="BB30" i="58"/>
  <c r="AJ30" i="58"/>
  <c r="AJ31" i="58" s="1"/>
  <c r="AJ32" i="58" s="1"/>
  <c r="AJ33" i="58" s="1"/>
  <c r="AJ34" i="58" s="1"/>
  <c r="AJ35" i="58" s="1"/>
  <c r="AJ36" i="58" s="1"/>
  <c r="AJ37" i="58" s="1"/>
  <c r="K29" i="58"/>
  <c r="K30" i="58" s="1"/>
  <c r="K31" i="58" s="1"/>
  <c r="K32" i="58" s="1"/>
  <c r="K33" i="58" s="1"/>
  <c r="K34" i="58" s="1"/>
  <c r="K35" i="58" s="1"/>
  <c r="K36" i="58" s="1"/>
  <c r="K37" i="58" s="1"/>
  <c r="AF30" i="58"/>
  <c r="BD30" i="58"/>
  <c r="BD31" i="58" s="1"/>
  <c r="BD32" i="58" s="1"/>
  <c r="BD33" i="58" s="1"/>
  <c r="BD34" i="58" s="1"/>
  <c r="BD35" i="58" s="1"/>
  <c r="BD36" i="58" s="1"/>
  <c r="BD37" i="58" s="1"/>
  <c r="BD38" i="58" s="1"/>
  <c r="AL30" i="58" l="1"/>
  <c r="I30" i="58"/>
  <c r="S29" i="58"/>
  <c r="AF31" i="58"/>
  <c r="AL31" i="58" s="1"/>
  <c r="AB31" i="58"/>
  <c r="BB31" i="58"/>
  <c r="BF28" i="58" l="1"/>
  <c r="AT28" i="58" s="1"/>
  <c r="BF29" i="58"/>
  <c r="AT29" i="58" s="1"/>
  <c r="I31" i="58"/>
  <c r="S30" i="58"/>
  <c r="BF30" i="58"/>
  <c r="AT30" i="58" s="1"/>
  <c r="BB32" i="58"/>
  <c r="BF31" i="58"/>
  <c r="AB32" i="58"/>
  <c r="AF32" i="58"/>
  <c r="AL32" i="58" s="1"/>
  <c r="AT31" i="58" l="1"/>
  <c r="AF33" i="58"/>
  <c r="AL33" i="58" s="1"/>
  <c r="BB33" i="58"/>
  <c r="BF32" i="58"/>
  <c r="AB33" i="58"/>
  <c r="S31" i="58"/>
  <c r="I32" i="58"/>
  <c r="AT32" i="58" l="1"/>
  <c r="BB34" i="58"/>
  <c r="BF33" i="58"/>
  <c r="S32" i="58"/>
  <c r="I33" i="58"/>
  <c r="AF34" i="58"/>
  <c r="AL34" i="58" s="1"/>
  <c r="AB34" i="58"/>
  <c r="AT33" i="58" l="1"/>
  <c r="S33" i="58"/>
  <c r="I34" i="58"/>
  <c r="AB35" i="58"/>
  <c r="AF35" i="58"/>
  <c r="AL35" i="58" s="1"/>
  <c r="BF34" i="58"/>
  <c r="BB35" i="58"/>
  <c r="AT34" i="58" l="1"/>
  <c r="BF35" i="58"/>
  <c r="BB36" i="58"/>
  <c r="AB36" i="58"/>
  <c r="S34" i="58"/>
  <c r="I35" i="58"/>
  <c r="S35" i="58" s="1"/>
  <c r="AF36" i="58"/>
  <c r="AL36" i="58" s="1"/>
  <c r="AB37" i="58" l="1"/>
  <c r="AT35" i="58"/>
  <c r="I36" i="58"/>
  <c r="S36" i="58" s="1"/>
  <c r="BB37" i="58"/>
  <c r="BF36" i="58"/>
  <c r="AF37" i="58"/>
  <c r="AL37" i="58" s="1"/>
  <c r="AT36" i="58" l="1"/>
  <c r="I37" i="58"/>
  <c r="S37" i="58" s="1"/>
  <c r="AB38" i="58"/>
  <c r="AB39" i="58" s="1"/>
  <c r="BB38" i="58"/>
  <c r="BF38" i="58" s="1"/>
  <c r="BF37" i="58"/>
  <c r="AT37" i="58" l="1"/>
  <c r="AB40" i="58" l="1"/>
  <c r="AB41" i="58" l="1"/>
  <c r="AB42" i="58" l="1"/>
  <c r="AB43" i="58" l="1"/>
  <c r="AB44" i="58" l="1"/>
  <c r="AB45" i="58" l="1"/>
  <c r="AB46" i="58" l="1"/>
  <c r="AB47" i="58" l="1"/>
  <c r="AB48" i="58" l="1"/>
  <c r="AB49" i="58" l="1"/>
  <c r="AB50" i="58" l="1"/>
  <c r="AB51" i="58" l="1"/>
  <c r="AB52" i="58" l="1"/>
  <c r="AB53" i="58" l="1"/>
  <c r="AB54" i="58" l="1"/>
  <c r="AB55" i="58" l="1"/>
  <c r="AB56" i="58" l="1"/>
  <c r="AB57" i="58" l="1"/>
  <c r="AB58" i="58" l="1"/>
  <c r="AB59" i="58" l="1"/>
  <c r="AB60" i="58" l="1"/>
  <c r="AB61" i="58" l="1"/>
  <c r="AB62" i="58" l="1"/>
  <c r="AB63" i="58" l="1"/>
  <c r="AB64" i="58" l="1"/>
  <c r="AB65" i="58" l="1"/>
  <c r="AB66" i="58" l="1"/>
  <c r="AB67" i="58" l="1"/>
  <c r="AB68" i="58" l="1"/>
  <c r="AL29" i="31" l="1"/>
  <c r="AL30" i="31"/>
  <c r="AL31" i="31"/>
  <c r="AL32" i="31"/>
  <c r="AL33" i="31"/>
  <c r="AL34" i="31"/>
  <c r="AL35" i="31"/>
  <c r="AL36" i="31"/>
  <c r="AL37" i="31"/>
  <c r="AL38" i="31"/>
  <c r="AL39" i="31"/>
  <c r="BB35" i="31"/>
  <c r="G19" i="57" l="1"/>
  <c r="K26" i="57"/>
  <c r="M26" i="57"/>
  <c r="O26" i="57"/>
  <c r="Q26" i="57"/>
  <c r="S26" i="57"/>
  <c r="U26" i="57"/>
  <c r="W26" i="57"/>
  <c r="C28" i="57"/>
  <c r="G28" i="57"/>
  <c r="I28" i="57"/>
  <c r="K28" i="57"/>
  <c r="M28" i="57"/>
  <c r="M29" i="57" s="1"/>
  <c r="M30" i="57" s="1"/>
  <c r="M31" i="57" s="1"/>
  <c r="M32" i="57" s="1"/>
  <c r="M33" i="57" s="1"/>
  <c r="M34" i="57" s="1"/>
  <c r="M35" i="57" s="1"/>
  <c r="AD28" i="57"/>
  <c r="AL28" i="57" s="1"/>
  <c r="BF28" i="57"/>
  <c r="I29" i="57"/>
  <c r="K29" i="57"/>
  <c r="AD29" i="57"/>
  <c r="AF29" i="57"/>
  <c r="AH29" i="57"/>
  <c r="AJ29" i="57"/>
  <c r="BB29" i="57"/>
  <c r="BB30" i="57" s="1"/>
  <c r="BF30" i="57" s="1"/>
  <c r="BD29" i="57"/>
  <c r="BF29" i="57"/>
  <c r="K30" i="57"/>
  <c r="AD30" i="57"/>
  <c r="AF30" i="57"/>
  <c r="AH30" i="57"/>
  <c r="AJ30" i="57"/>
  <c r="BD30" i="57"/>
  <c r="K31" i="57"/>
  <c r="AD31" i="57"/>
  <c r="AF31" i="57"/>
  <c r="AJ31" i="57"/>
  <c r="BB31" i="57"/>
  <c r="BD31" i="57"/>
  <c r="K32" i="57"/>
  <c r="AD32" i="57"/>
  <c r="AF32" i="57"/>
  <c r="AJ32" i="57"/>
  <c r="BD32" i="57"/>
  <c r="K33" i="57"/>
  <c r="AD33" i="57"/>
  <c r="AF33" i="57"/>
  <c r="AJ33" i="57"/>
  <c r="BD33" i="57"/>
  <c r="K34" i="57"/>
  <c r="AD34" i="57"/>
  <c r="AF34" i="57"/>
  <c r="AJ34" i="57"/>
  <c r="BD34" i="57"/>
  <c r="K35" i="57"/>
  <c r="AD35" i="57"/>
  <c r="AF35" i="57"/>
  <c r="AJ35" i="57"/>
  <c r="BD35" i="57"/>
  <c r="K36" i="57"/>
  <c r="AD36" i="57"/>
  <c r="AF36" i="57"/>
  <c r="AJ36" i="57"/>
  <c r="BD36" i="57"/>
  <c r="K37" i="57"/>
  <c r="AD37" i="57"/>
  <c r="AF37" i="57"/>
  <c r="AJ37" i="57"/>
  <c r="BD37" i="57"/>
  <c r="K38" i="57"/>
  <c r="AD38" i="57"/>
  <c r="AF12" i="57" s="1"/>
  <c r="AF38" i="57"/>
  <c r="AJ38" i="57"/>
  <c r="BD38" i="57"/>
  <c r="O40" i="31"/>
  <c r="AL29" i="57" l="1"/>
  <c r="AT28" i="57"/>
  <c r="M36" i="57"/>
  <c r="M37" i="57" s="1"/>
  <c r="M38" i="57" s="1"/>
  <c r="C29" i="57"/>
  <c r="C30" i="57" s="1"/>
  <c r="C31" i="57" s="1"/>
  <c r="C32" i="57" s="1"/>
  <c r="C33" i="57" s="1"/>
  <c r="C34" i="57" s="1"/>
  <c r="C35" i="57" s="1"/>
  <c r="C36" i="57" s="1"/>
  <c r="C37" i="57" s="1"/>
  <c r="C38" i="57" s="1"/>
  <c r="C39" i="57" s="1"/>
  <c r="C40" i="57" s="1"/>
  <c r="C41" i="57" s="1"/>
  <c r="C42" i="57" s="1"/>
  <c r="C43" i="57" s="1"/>
  <c r="C44" i="57" s="1"/>
  <c r="C45" i="57" s="1"/>
  <c r="C46" i="57" s="1"/>
  <c r="C47" i="57" s="1"/>
  <c r="C48" i="57" s="1"/>
  <c r="C49" i="57" s="1"/>
  <c r="C50" i="57" s="1"/>
  <c r="C51" i="57" s="1"/>
  <c r="C52" i="57" s="1"/>
  <c r="C53" i="57" s="1"/>
  <c r="C54" i="57" s="1"/>
  <c r="C55" i="57" s="1"/>
  <c r="C56" i="57" s="1"/>
  <c r="C57" i="57" s="1"/>
  <c r="C58" i="57" s="1"/>
  <c r="C59" i="57" s="1"/>
  <c r="C60" i="57" s="1"/>
  <c r="C61" i="57" s="1"/>
  <c r="C62" i="57" s="1"/>
  <c r="C63" i="57" s="1"/>
  <c r="C64" i="57" s="1"/>
  <c r="C65" i="57" s="1"/>
  <c r="C66" i="57" s="1"/>
  <c r="C67" i="57" s="1"/>
  <c r="C68" i="57" s="1"/>
  <c r="C69" i="57" s="1"/>
  <c r="AB28" i="57"/>
  <c r="AZ28" i="57"/>
  <c r="AZ29" i="57" s="1"/>
  <c r="AZ30" i="57" s="1"/>
  <c r="AZ31" i="57" s="1"/>
  <c r="AZ32" i="57" s="1"/>
  <c r="AZ33" i="57" s="1"/>
  <c r="AZ34" i="57" s="1"/>
  <c r="AZ35" i="57" s="1"/>
  <c r="AZ36" i="57" s="1"/>
  <c r="AZ37" i="57" s="1"/>
  <c r="AZ38" i="57" s="1"/>
  <c r="AZ39" i="57" s="1"/>
  <c r="AZ40" i="57" s="1"/>
  <c r="AZ41" i="57" s="1"/>
  <c r="AZ42" i="57" s="1"/>
  <c r="AZ43" i="57" s="1"/>
  <c r="AZ44" i="57" s="1"/>
  <c r="AZ45" i="57" s="1"/>
  <c r="AZ46" i="57" s="1"/>
  <c r="AZ47" i="57" s="1"/>
  <c r="AZ48" i="57" s="1"/>
  <c r="AZ49" i="57" s="1"/>
  <c r="AZ50" i="57" s="1"/>
  <c r="AZ51" i="57" s="1"/>
  <c r="AZ52" i="57" s="1"/>
  <c r="AZ53" i="57" s="1"/>
  <c r="AZ54" i="57" s="1"/>
  <c r="AZ55" i="57" s="1"/>
  <c r="AZ56" i="57" s="1"/>
  <c r="AZ57" i="57" s="1"/>
  <c r="AZ58" i="57" s="1"/>
  <c r="AZ59" i="57" s="1"/>
  <c r="AZ60" i="57" s="1"/>
  <c r="AZ61" i="57" s="1"/>
  <c r="AZ62" i="57" s="1"/>
  <c r="AZ63" i="57" s="1"/>
  <c r="AZ64" i="57" s="1"/>
  <c r="AZ65" i="57" s="1"/>
  <c r="AZ66" i="57" s="1"/>
  <c r="AZ67" i="57" s="1"/>
  <c r="AZ68" i="57" s="1"/>
  <c r="AZ69" i="57" s="1"/>
  <c r="S29" i="57"/>
  <c r="I30" i="57"/>
  <c r="AH31" i="57"/>
  <c r="AL30" i="57"/>
  <c r="BB32" i="57"/>
  <c r="BF31" i="57"/>
  <c r="S28" i="57"/>
  <c r="AT29" i="57" l="1"/>
  <c r="AH32" i="57"/>
  <c r="AL31" i="57"/>
  <c r="AT31" i="57" s="1"/>
  <c r="BB33" i="57"/>
  <c r="BF32" i="57"/>
  <c r="S30" i="57"/>
  <c r="I31" i="57"/>
  <c r="AB29" i="57"/>
  <c r="AT30" i="57"/>
  <c r="AH33" i="57" l="1"/>
  <c r="AL32" i="57"/>
  <c r="S31" i="57"/>
  <c r="I32" i="57"/>
  <c r="BB34" i="57"/>
  <c r="BF33" i="57"/>
  <c r="AB30" i="57"/>
  <c r="AT32" i="57" l="1"/>
  <c r="AB31" i="57"/>
  <c r="BF34" i="57"/>
  <c r="BB35" i="57"/>
  <c r="AL33" i="57"/>
  <c r="AT33" i="57" s="1"/>
  <c r="AH34" i="57"/>
  <c r="S32" i="57"/>
  <c r="I33" i="57"/>
  <c r="AH35" i="57" l="1"/>
  <c r="AL34" i="57"/>
  <c r="AT34" i="57" s="1"/>
  <c r="S33" i="57"/>
  <c r="I34" i="57"/>
  <c r="BB36" i="57"/>
  <c r="BF35" i="57"/>
  <c r="AB32" i="57"/>
  <c r="AB33" i="57" l="1"/>
  <c r="S34" i="57"/>
  <c r="I35" i="57"/>
  <c r="AH36" i="57"/>
  <c r="AL35" i="57"/>
  <c r="BB37" i="57"/>
  <c r="BF36" i="57"/>
  <c r="BB38" i="57" l="1"/>
  <c r="BF37" i="57"/>
  <c r="AB34" i="57"/>
  <c r="AT35" i="57"/>
  <c r="AH37" i="57"/>
  <c r="AL36" i="57"/>
  <c r="AT36" i="57" s="1"/>
  <c r="S35" i="57"/>
  <c r="I36" i="57"/>
  <c r="AB35" i="57" l="1"/>
  <c r="AL37" i="57"/>
  <c r="AH38" i="57"/>
  <c r="BF38" i="57"/>
  <c r="S36" i="57"/>
  <c r="I37" i="57"/>
  <c r="AL38" i="57" l="1"/>
  <c r="AT38" i="57" s="1"/>
  <c r="AT37" i="57"/>
  <c r="AB36" i="57"/>
  <c r="S37" i="57"/>
  <c r="I38" i="57"/>
  <c r="AB37" i="57" l="1"/>
  <c r="S38" i="57"/>
  <c r="AB38" i="57" l="1"/>
  <c r="AB39" i="57" l="1"/>
  <c r="AB40" i="57" l="1"/>
  <c r="AB41" i="57" l="1"/>
  <c r="AB42" i="57" l="1"/>
  <c r="AB43" i="57" l="1"/>
  <c r="AB44" i="57" l="1"/>
  <c r="AB45" i="57" l="1"/>
  <c r="AB46" i="57" l="1"/>
  <c r="AB47" i="57" l="1"/>
  <c r="AB48" i="57" l="1"/>
  <c r="AB49" i="57" l="1"/>
  <c r="AB50" i="57" l="1"/>
  <c r="AB51" i="57" l="1"/>
  <c r="AB52" i="57" l="1"/>
  <c r="AB53" i="57" l="1"/>
  <c r="AB54" i="57" l="1"/>
  <c r="AD47" i="56"/>
  <c r="AD46" i="56"/>
  <c r="AD45" i="56"/>
  <c r="AD44" i="56"/>
  <c r="AD43" i="56"/>
  <c r="AD42" i="56"/>
  <c r="AD41" i="56"/>
  <c r="AD40" i="56"/>
  <c r="AD39" i="56"/>
  <c r="AD38" i="56"/>
  <c r="AD37" i="56"/>
  <c r="AD36" i="56"/>
  <c r="AD35" i="56"/>
  <c r="AD34" i="56"/>
  <c r="AD33" i="56"/>
  <c r="AD32" i="56"/>
  <c r="AD31" i="56"/>
  <c r="AD30" i="56"/>
  <c r="AD29" i="56"/>
  <c r="AD28" i="56"/>
  <c r="M28" i="56"/>
  <c r="C28" i="56"/>
  <c r="C29" i="56" s="1"/>
  <c r="C30" i="56" s="1"/>
  <c r="W26" i="56"/>
  <c r="U26" i="56"/>
  <c r="S26" i="56"/>
  <c r="Q26" i="56"/>
  <c r="O26" i="56"/>
  <c r="M26" i="56"/>
  <c r="K26" i="56"/>
  <c r="G19" i="56"/>
  <c r="AJ14" i="56"/>
  <c r="A3" i="56"/>
  <c r="A2" i="56"/>
  <c r="A1" i="56"/>
  <c r="G19" i="50"/>
  <c r="G19" i="49"/>
  <c r="G19" i="48"/>
  <c r="G19" i="47"/>
  <c r="G19" i="43"/>
  <c r="G19" i="42"/>
  <c r="G19" i="55"/>
  <c r="G19" i="54"/>
  <c r="G19" i="51"/>
  <c r="G19" i="40"/>
  <c r="AD47" i="55"/>
  <c r="AD46" i="55"/>
  <c r="AD45" i="55"/>
  <c r="AD44" i="55"/>
  <c r="AD43" i="55"/>
  <c r="AD42" i="55"/>
  <c r="AD41" i="55"/>
  <c r="AD40" i="55"/>
  <c r="AD39" i="55"/>
  <c r="AD38" i="55"/>
  <c r="AD37" i="55"/>
  <c r="AD36" i="55"/>
  <c r="AD35" i="55"/>
  <c r="AD34" i="55"/>
  <c r="AD33" i="55"/>
  <c r="AD32" i="55"/>
  <c r="AD31" i="55"/>
  <c r="AD30" i="55"/>
  <c r="AD29" i="55"/>
  <c r="AD28" i="55"/>
  <c r="M28" i="55"/>
  <c r="C28" i="55"/>
  <c r="C29" i="55" s="1"/>
  <c r="W26" i="55"/>
  <c r="U26" i="55"/>
  <c r="S26" i="55"/>
  <c r="Q26" i="55"/>
  <c r="O26" i="55"/>
  <c r="M26" i="55"/>
  <c r="K26" i="55"/>
  <c r="AJ14" i="55"/>
  <c r="A3" i="55"/>
  <c r="A2" i="55"/>
  <c r="A1" i="55"/>
  <c r="G19" i="45"/>
  <c r="AJ14" i="54"/>
  <c r="BB16" i="55"/>
  <c r="BD15" i="54"/>
  <c r="BD14" i="56"/>
  <c r="Z97" i="4"/>
  <c r="V104" i="4"/>
  <c r="AD47" i="54"/>
  <c r="AD46" i="54"/>
  <c r="AD45" i="54"/>
  <c r="AD44" i="54"/>
  <c r="AD43" i="54"/>
  <c r="AD42" i="54"/>
  <c r="AD41" i="54"/>
  <c r="AD40" i="54"/>
  <c r="AD39" i="54"/>
  <c r="AD38" i="54"/>
  <c r="AD37" i="54"/>
  <c r="AD36" i="54"/>
  <c r="AD35" i="54"/>
  <c r="AD34" i="54"/>
  <c r="AD33" i="54"/>
  <c r="AD32" i="54"/>
  <c r="AD31" i="54"/>
  <c r="AD30" i="54"/>
  <c r="AD29" i="54"/>
  <c r="AD28" i="54"/>
  <c r="M28" i="54"/>
  <c r="C28" i="54"/>
  <c r="C29" i="54" s="1"/>
  <c r="W26" i="54"/>
  <c r="U26" i="54"/>
  <c r="S26" i="54"/>
  <c r="Q26" i="54"/>
  <c r="O26" i="54"/>
  <c r="M26" i="54"/>
  <c r="K26" i="54"/>
  <c r="A3" i="54"/>
  <c r="A2" i="54"/>
  <c r="A1" i="54"/>
  <c r="BB16" i="54" l="1"/>
  <c r="BD14" i="55"/>
  <c r="BD15" i="56"/>
  <c r="BD15" i="55"/>
  <c r="BB16" i="56"/>
  <c r="BD14" i="54"/>
  <c r="AB55" i="57"/>
  <c r="C31" i="56"/>
  <c r="AB28" i="56"/>
  <c r="AZ28" i="56"/>
  <c r="AZ29" i="56" s="1"/>
  <c r="AZ30" i="56" s="1"/>
  <c r="AZ31" i="56" s="1"/>
  <c r="AZ32" i="56" s="1"/>
  <c r="AZ33" i="56" s="1"/>
  <c r="AZ34" i="56" s="1"/>
  <c r="AZ35" i="56" s="1"/>
  <c r="AZ36" i="56" s="1"/>
  <c r="AZ37" i="56" s="1"/>
  <c r="AZ38" i="56" s="1"/>
  <c r="AZ39" i="56" s="1"/>
  <c r="AZ40" i="56" s="1"/>
  <c r="AZ41" i="56" s="1"/>
  <c r="AZ42" i="56" s="1"/>
  <c r="AZ43" i="56" s="1"/>
  <c r="AZ44" i="56" s="1"/>
  <c r="AZ45" i="56" s="1"/>
  <c r="AZ46" i="56" s="1"/>
  <c r="AZ47" i="56" s="1"/>
  <c r="C30" i="55"/>
  <c r="AB28" i="55"/>
  <c r="AZ28" i="55"/>
  <c r="AZ29" i="55" s="1"/>
  <c r="AZ30" i="55" s="1"/>
  <c r="AZ31" i="55" s="1"/>
  <c r="AZ32" i="55" s="1"/>
  <c r="AZ33" i="55" s="1"/>
  <c r="AZ34" i="55" s="1"/>
  <c r="AZ35" i="55" s="1"/>
  <c r="AZ36" i="55" s="1"/>
  <c r="AZ37" i="55" s="1"/>
  <c r="AZ38" i="55" s="1"/>
  <c r="AZ39" i="55" s="1"/>
  <c r="AZ40" i="55" s="1"/>
  <c r="AZ41" i="55" s="1"/>
  <c r="AZ42" i="55" s="1"/>
  <c r="AZ43" i="55" s="1"/>
  <c r="AZ44" i="55" s="1"/>
  <c r="AZ45" i="55" s="1"/>
  <c r="AZ46" i="55" s="1"/>
  <c r="AZ47" i="55" s="1"/>
  <c r="C30" i="54"/>
  <c r="AB28" i="54"/>
  <c r="AZ28" i="54"/>
  <c r="AZ29" i="54" s="1"/>
  <c r="AZ30" i="54" s="1"/>
  <c r="AZ31" i="54" s="1"/>
  <c r="AZ32" i="54" s="1"/>
  <c r="AZ33" i="54" s="1"/>
  <c r="AZ34" i="54" s="1"/>
  <c r="AZ35" i="54" s="1"/>
  <c r="AZ36" i="54" s="1"/>
  <c r="AZ37" i="54" s="1"/>
  <c r="AZ38" i="54" s="1"/>
  <c r="AZ39" i="54" s="1"/>
  <c r="AZ40" i="54" s="1"/>
  <c r="AZ41" i="54" s="1"/>
  <c r="AZ42" i="54" s="1"/>
  <c r="AZ43" i="54" s="1"/>
  <c r="AZ44" i="54" s="1"/>
  <c r="AZ45" i="54" s="1"/>
  <c r="AZ46" i="54" s="1"/>
  <c r="AZ47" i="54" s="1"/>
  <c r="AB56" i="57" l="1"/>
  <c r="AB29" i="56"/>
  <c r="C32" i="56"/>
  <c r="C31" i="55"/>
  <c r="AB29" i="55"/>
  <c r="AB29" i="54"/>
  <c r="C31" i="54"/>
  <c r="AB57" i="57" l="1"/>
  <c r="C33" i="56"/>
  <c r="AB30" i="56"/>
  <c r="C32" i="55"/>
  <c r="AB30" i="55"/>
  <c r="AB30" i="54"/>
  <c r="C32" i="54"/>
  <c r="AB58" i="57" l="1"/>
  <c r="AB31" i="56"/>
  <c r="C34" i="56"/>
  <c r="C33" i="55"/>
  <c r="AB31" i="55"/>
  <c r="C33" i="54"/>
  <c r="AB31" i="54"/>
  <c r="AB59" i="57" l="1"/>
  <c r="AB32" i="56"/>
  <c r="C35" i="56"/>
  <c r="AB32" i="55"/>
  <c r="C34" i="55"/>
  <c r="AB32" i="54"/>
  <c r="C34" i="54"/>
  <c r="AB60" i="57" l="1"/>
  <c r="C36" i="56"/>
  <c r="AB33" i="56"/>
  <c r="C35" i="55"/>
  <c r="AB33" i="55"/>
  <c r="C35" i="54"/>
  <c r="AB33" i="54"/>
  <c r="AB61" i="57" l="1"/>
  <c r="C37" i="56"/>
  <c r="AB34" i="56"/>
  <c r="AB34" i="55"/>
  <c r="C36" i="55"/>
  <c r="AB34" i="54"/>
  <c r="C36" i="54"/>
  <c r="AB62" i="57" l="1"/>
  <c r="AB35" i="56"/>
  <c r="C38" i="56"/>
  <c r="AB35" i="55"/>
  <c r="C37" i="55"/>
  <c r="C37" i="54"/>
  <c r="AB35" i="54"/>
  <c r="AB63" i="57" l="1"/>
  <c r="C39" i="56"/>
  <c r="AB36" i="56"/>
  <c r="AB36" i="55"/>
  <c r="C38" i="55"/>
  <c r="AB36" i="54"/>
  <c r="C38" i="54"/>
  <c r="AB64" i="57" l="1"/>
  <c r="AB37" i="56"/>
  <c r="C40" i="56"/>
  <c r="AB37" i="55"/>
  <c r="C39" i="55"/>
  <c r="C39" i="54"/>
  <c r="AB37" i="54"/>
  <c r="AB65" i="57" l="1"/>
  <c r="C41" i="56"/>
  <c r="AB38" i="56"/>
  <c r="AB38" i="55"/>
  <c r="C40" i="55"/>
  <c r="C40" i="54"/>
  <c r="AB38" i="54"/>
  <c r="AB66" i="57" l="1"/>
  <c r="C42" i="56"/>
  <c r="AB39" i="56"/>
  <c r="AB39" i="55"/>
  <c r="C41" i="55"/>
  <c r="C41" i="54"/>
  <c r="AB39" i="54"/>
  <c r="AB67" i="57" l="1"/>
  <c r="AB40" i="56"/>
  <c r="C43" i="56"/>
  <c r="C42" i="55"/>
  <c r="AB40" i="55"/>
  <c r="AB40" i="54"/>
  <c r="C42" i="54"/>
  <c r="AB68" i="57" l="1"/>
  <c r="AB41" i="56"/>
  <c r="C44" i="56"/>
  <c r="AB41" i="55"/>
  <c r="C43" i="55"/>
  <c r="C43" i="54"/>
  <c r="AB41" i="54"/>
  <c r="AB69" i="57" l="1"/>
  <c r="C45" i="56"/>
  <c r="AB42" i="56"/>
  <c r="AB42" i="55"/>
  <c r="C44" i="55"/>
  <c r="C44" i="54"/>
  <c r="AB42" i="54"/>
  <c r="C46" i="56" l="1"/>
  <c r="AB43" i="56"/>
  <c r="C45" i="55"/>
  <c r="AB43" i="55"/>
  <c r="C45" i="54"/>
  <c r="AB43" i="54"/>
  <c r="AB44" i="56" l="1"/>
  <c r="C47" i="56"/>
  <c r="AB44" i="55"/>
  <c r="C46" i="55"/>
  <c r="AB44" i="54"/>
  <c r="C46" i="54"/>
  <c r="AB45" i="56" l="1"/>
  <c r="C47" i="55"/>
  <c r="AB45" i="55"/>
  <c r="AB45" i="54"/>
  <c r="C47" i="54"/>
  <c r="AB46" i="56" l="1"/>
  <c r="AB46" i="55"/>
  <c r="AB46" i="54"/>
  <c r="AB47" i="56" l="1"/>
  <c r="AB47" i="55"/>
  <c r="AB47" i="54"/>
  <c r="S104" i="4" l="1"/>
  <c r="G18" i="40"/>
  <c r="G18" i="51"/>
  <c r="Q58" i="51" s="1"/>
  <c r="AD47" i="51"/>
  <c r="AD46" i="51"/>
  <c r="AD45" i="51"/>
  <c r="AD44" i="51"/>
  <c r="AD43" i="51"/>
  <c r="AD42" i="51"/>
  <c r="AD41" i="51"/>
  <c r="AD40" i="51"/>
  <c r="AD39" i="51"/>
  <c r="AD38" i="51"/>
  <c r="AD37" i="51"/>
  <c r="AD36" i="51"/>
  <c r="AD35" i="51"/>
  <c r="AD34" i="51"/>
  <c r="AD33" i="51"/>
  <c r="AD32" i="51"/>
  <c r="AD31" i="51"/>
  <c r="AD30" i="51"/>
  <c r="AD29" i="51"/>
  <c r="AD28" i="51"/>
  <c r="M28" i="51"/>
  <c r="C28" i="51"/>
  <c r="C29" i="51" s="1"/>
  <c r="W26" i="51"/>
  <c r="U26" i="51"/>
  <c r="S26" i="51"/>
  <c r="Q26" i="51"/>
  <c r="O26" i="51"/>
  <c r="M26" i="51"/>
  <c r="K26" i="51"/>
  <c r="AF16" i="51"/>
  <c r="BD15" i="51"/>
  <c r="BD14" i="51"/>
  <c r="A3" i="51"/>
  <c r="A2" i="51"/>
  <c r="A1" i="51"/>
  <c r="O48" i="50"/>
  <c r="AD48" i="50"/>
  <c r="O29" i="50"/>
  <c r="O30" i="50"/>
  <c r="O31" i="50"/>
  <c r="O32" i="50"/>
  <c r="O33" i="50"/>
  <c r="O34" i="50"/>
  <c r="O35" i="50"/>
  <c r="O36" i="50"/>
  <c r="O37" i="50"/>
  <c r="O38" i="50"/>
  <c r="O39" i="50"/>
  <c r="O40" i="50"/>
  <c r="O41" i="50"/>
  <c r="O42" i="50"/>
  <c r="O43" i="50"/>
  <c r="O44" i="50"/>
  <c r="O45" i="50"/>
  <c r="O46" i="50"/>
  <c r="O47" i="50"/>
  <c r="O28" i="50"/>
  <c r="AD47" i="50"/>
  <c r="AD46" i="50"/>
  <c r="AD45" i="50"/>
  <c r="AD44" i="50"/>
  <c r="AD43" i="50"/>
  <c r="AD42" i="50"/>
  <c r="AD41" i="50"/>
  <c r="AD40" i="50"/>
  <c r="AD39" i="50"/>
  <c r="AD38" i="50"/>
  <c r="AD37" i="50"/>
  <c r="AD36" i="50"/>
  <c r="AD35" i="50"/>
  <c r="AD34" i="50"/>
  <c r="AD33" i="50"/>
  <c r="AD32" i="50"/>
  <c r="AD31" i="50"/>
  <c r="AD30" i="50"/>
  <c r="AD29" i="50"/>
  <c r="AD28" i="50"/>
  <c r="M28" i="50"/>
  <c r="C28" i="50"/>
  <c r="C29" i="50" s="1"/>
  <c r="C30" i="50" s="1"/>
  <c r="C31" i="50" s="1"/>
  <c r="C32" i="50" s="1"/>
  <c r="C33" i="50" s="1"/>
  <c r="C34" i="50" s="1"/>
  <c r="C35" i="50" s="1"/>
  <c r="C36" i="50" s="1"/>
  <c r="C37" i="50" s="1"/>
  <c r="C38" i="50" s="1"/>
  <c r="C39" i="50" s="1"/>
  <c r="C40" i="50" s="1"/>
  <c r="C41" i="50" s="1"/>
  <c r="C42" i="50" s="1"/>
  <c r="C43" i="50" s="1"/>
  <c r="C44" i="50" s="1"/>
  <c r="C45" i="50" s="1"/>
  <c r="C46" i="50" s="1"/>
  <c r="C47" i="50" s="1"/>
  <c r="C48" i="50" s="1"/>
  <c r="W26" i="50"/>
  <c r="U26" i="50"/>
  <c r="S26" i="50"/>
  <c r="Q26" i="50"/>
  <c r="O26" i="50"/>
  <c r="M26" i="50"/>
  <c r="K26" i="50"/>
  <c r="AF16" i="50"/>
  <c r="BD15" i="50"/>
  <c r="BD14" i="50"/>
  <c r="A3" i="50"/>
  <c r="A2" i="50"/>
  <c r="A1" i="50"/>
  <c r="AD47" i="49"/>
  <c r="AD45" i="49"/>
  <c r="AD43" i="49"/>
  <c r="AD41" i="49"/>
  <c r="AD39" i="49"/>
  <c r="AD37" i="49"/>
  <c r="AD35" i="49"/>
  <c r="AD34" i="49"/>
  <c r="O47" i="49"/>
  <c r="AD46" i="49"/>
  <c r="O46" i="49"/>
  <c r="O45" i="49"/>
  <c r="AD44" i="49"/>
  <c r="O44" i="49"/>
  <c r="O43" i="49"/>
  <c r="AD42" i="49"/>
  <c r="O42" i="49"/>
  <c r="O41" i="49"/>
  <c r="AD40" i="49"/>
  <c r="O40" i="49"/>
  <c r="O39" i="49"/>
  <c r="AD38" i="49"/>
  <c r="O38" i="49"/>
  <c r="O37" i="49"/>
  <c r="AD36" i="49"/>
  <c r="O36" i="49"/>
  <c r="O35" i="49"/>
  <c r="O34" i="49"/>
  <c r="AD33" i="49"/>
  <c r="O33" i="49"/>
  <c r="AD32" i="49"/>
  <c r="O32" i="49"/>
  <c r="AD31" i="49"/>
  <c r="O31" i="49"/>
  <c r="AD30" i="49"/>
  <c r="O30" i="49"/>
  <c r="AD29" i="49"/>
  <c r="O29" i="49"/>
  <c r="C29" i="49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C45" i="49" s="1"/>
  <c r="C46" i="49" s="1"/>
  <c r="C47" i="49" s="1"/>
  <c r="AZ28" i="49"/>
  <c r="AZ29" i="49" s="1"/>
  <c r="AZ30" i="49" s="1"/>
  <c r="AZ31" i="49" s="1"/>
  <c r="AZ32" i="49" s="1"/>
  <c r="AZ33" i="49" s="1"/>
  <c r="AZ34" i="49" s="1"/>
  <c r="AZ35" i="49" s="1"/>
  <c r="AZ36" i="49" s="1"/>
  <c r="AZ37" i="49" s="1"/>
  <c r="AZ38" i="49" s="1"/>
  <c r="AZ39" i="49" s="1"/>
  <c r="AZ40" i="49" s="1"/>
  <c r="AZ41" i="49" s="1"/>
  <c r="AZ42" i="49" s="1"/>
  <c r="AZ43" i="49" s="1"/>
  <c r="AZ44" i="49" s="1"/>
  <c r="AZ45" i="49" s="1"/>
  <c r="AZ46" i="49" s="1"/>
  <c r="AZ47" i="49" s="1"/>
  <c r="AD28" i="49"/>
  <c r="AB28" i="49"/>
  <c r="O28" i="49"/>
  <c r="M28" i="49"/>
  <c r="C28" i="49"/>
  <c r="W26" i="49"/>
  <c r="U26" i="49"/>
  <c r="S26" i="49"/>
  <c r="Q26" i="49"/>
  <c r="O26" i="49"/>
  <c r="M26" i="49"/>
  <c r="K26" i="49"/>
  <c r="AF16" i="49"/>
  <c r="BD15" i="49"/>
  <c r="BD14" i="49"/>
  <c r="A3" i="49"/>
  <c r="A2" i="49"/>
  <c r="A1" i="49"/>
  <c r="AD47" i="48"/>
  <c r="O47" i="48"/>
  <c r="AD46" i="48"/>
  <c r="O46" i="48"/>
  <c r="AD45" i="48"/>
  <c r="O45" i="48"/>
  <c r="AD44" i="48"/>
  <c r="O44" i="48"/>
  <c r="AD43" i="48"/>
  <c r="O43" i="48"/>
  <c r="AD42" i="48"/>
  <c r="O42" i="48"/>
  <c r="AD41" i="48"/>
  <c r="O41" i="48"/>
  <c r="AD40" i="48"/>
  <c r="O40" i="48"/>
  <c r="AD39" i="48"/>
  <c r="O39" i="48"/>
  <c r="AD38" i="48"/>
  <c r="O38" i="48"/>
  <c r="AD37" i="48"/>
  <c r="O37" i="48"/>
  <c r="AD36" i="48"/>
  <c r="O36" i="48"/>
  <c r="AD35" i="48"/>
  <c r="O35" i="48"/>
  <c r="AD34" i="48"/>
  <c r="O34" i="48"/>
  <c r="AD33" i="48"/>
  <c r="O33" i="48"/>
  <c r="AD32" i="48"/>
  <c r="O32" i="48"/>
  <c r="AD31" i="48"/>
  <c r="O31" i="48"/>
  <c r="AD30" i="48"/>
  <c r="O30" i="48"/>
  <c r="AD29" i="48"/>
  <c r="AB29" i="48"/>
  <c r="O29" i="48"/>
  <c r="AD28" i="48"/>
  <c r="AB28" i="48"/>
  <c r="O28" i="48"/>
  <c r="M28" i="48"/>
  <c r="C28" i="48"/>
  <c r="C29" i="48" s="1"/>
  <c r="C30" i="48" s="1"/>
  <c r="C31" i="48" s="1"/>
  <c r="C32" i="48" s="1"/>
  <c r="C33" i="48" s="1"/>
  <c r="C34" i="48" s="1"/>
  <c r="C35" i="48" s="1"/>
  <c r="C36" i="48" s="1"/>
  <c r="C37" i="48" s="1"/>
  <c r="C38" i="48" s="1"/>
  <c r="C39" i="48" s="1"/>
  <c r="C40" i="48" s="1"/>
  <c r="C41" i="48" s="1"/>
  <c r="C42" i="48" s="1"/>
  <c r="C43" i="48" s="1"/>
  <c r="C44" i="48" s="1"/>
  <c r="C45" i="48" s="1"/>
  <c r="C46" i="48" s="1"/>
  <c r="C47" i="48" s="1"/>
  <c r="W26" i="48"/>
  <c r="U26" i="48"/>
  <c r="S26" i="48"/>
  <c r="Q26" i="48"/>
  <c r="O26" i="48"/>
  <c r="M26" i="48"/>
  <c r="K26" i="48"/>
  <c r="AF16" i="48"/>
  <c r="BD15" i="48"/>
  <c r="BD14" i="48"/>
  <c r="A3" i="48"/>
  <c r="A2" i="48"/>
  <c r="A1" i="48"/>
  <c r="BD15" i="47"/>
  <c r="BD14" i="47"/>
  <c r="AF16" i="47"/>
  <c r="O29" i="47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28" i="47"/>
  <c r="AK21" i="5"/>
  <c r="AK22" i="5" s="1"/>
  <c r="AK23" i="5" s="1"/>
  <c r="AK24" i="5" s="1"/>
  <c r="AK25" i="5" s="1"/>
  <c r="AK26" i="5" s="1"/>
  <c r="AK27" i="5" s="1"/>
  <c r="AK28" i="5" s="1"/>
  <c r="AK29" i="5" s="1"/>
  <c r="AK30" i="5" s="1"/>
  <c r="AK31" i="5" s="1"/>
  <c r="AK32" i="5" s="1"/>
  <c r="AK33" i="5" s="1"/>
  <c r="AK34" i="5" s="1"/>
  <c r="AK35" i="5" s="1"/>
  <c r="AK36" i="5" s="1"/>
  <c r="AK37" i="5" s="1"/>
  <c r="AK38" i="5" s="1"/>
  <c r="AK39" i="5" s="1"/>
  <c r="AK40" i="5" s="1"/>
  <c r="AK41" i="5" s="1"/>
  <c r="AK42" i="5" s="1"/>
  <c r="AK43" i="5" s="1"/>
  <c r="AK44" i="5" s="1"/>
  <c r="AK45" i="5" s="1"/>
  <c r="AK46" i="5" s="1"/>
  <c r="AK47" i="5" s="1"/>
  <c r="AK48" i="5" s="1"/>
  <c r="AK49" i="5" s="1"/>
  <c r="AK50" i="5" s="1"/>
  <c r="AK51" i="5" s="1"/>
  <c r="AK52" i="5" s="1"/>
  <c r="AK53" i="5" s="1"/>
  <c r="AK54" i="5" s="1"/>
  <c r="AK55" i="5" s="1"/>
  <c r="AK56" i="5" s="1"/>
  <c r="AK57" i="5" s="1"/>
  <c r="AK58" i="5" s="1"/>
  <c r="AK59" i="5" s="1"/>
  <c r="AK60" i="5" s="1"/>
  <c r="AK61" i="5" s="1"/>
  <c r="AK62" i="5" s="1"/>
  <c r="AK63" i="5" s="1"/>
  <c r="AK64" i="5" s="1"/>
  <c r="AK65" i="5" s="1"/>
  <c r="AD47" i="47"/>
  <c r="AD46" i="47"/>
  <c r="AD45" i="47"/>
  <c r="AD44" i="47"/>
  <c r="AD43" i="47"/>
  <c r="AD42" i="47"/>
  <c r="AD41" i="47"/>
  <c r="AD40" i="47"/>
  <c r="AD39" i="47"/>
  <c r="AD38" i="47"/>
  <c r="AD37" i="47"/>
  <c r="AD36" i="47"/>
  <c r="AD35" i="47"/>
  <c r="AD34" i="47"/>
  <c r="AD33" i="47"/>
  <c r="AD32" i="47"/>
  <c r="AD31" i="47"/>
  <c r="AD30" i="47"/>
  <c r="AD29" i="47"/>
  <c r="AD28" i="47"/>
  <c r="M28" i="47"/>
  <c r="C28" i="47"/>
  <c r="W26" i="47"/>
  <c r="U26" i="47"/>
  <c r="S26" i="47"/>
  <c r="Q26" i="47"/>
  <c r="O26" i="47"/>
  <c r="M26" i="47"/>
  <c r="K26" i="47"/>
  <c r="A3" i="47"/>
  <c r="A2" i="47"/>
  <c r="A1" i="47"/>
  <c r="K58" i="51" l="1"/>
  <c r="I65" i="4"/>
  <c r="AF15" i="68"/>
  <c r="AF15" i="67"/>
  <c r="AF15" i="66"/>
  <c r="C58" i="51"/>
  <c r="G58" i="51"/>
  <c r="AF16" i="54"/>
  <c r="AF16" i="56"/>
  <c r="AF16" i="55"/>
  <c r="AF15" i="47"/>
  <c r="L67" i="4"/>
  <c r="AF15" i="50"/>
  <c r="AF15" i="48"/>
  <c r="AF15" i="49"/>
  <c r="D67" i="4"/>
  <c r="J67" i="4"/>
  <c r="N65" i="4"/>
  <c r="I66" i="4"/>
  <c r="O67" i="4" s="1"/>
  <c r="N66" i="4"/>
  <c r="C30" i="51"/>
  <c r="AB28" i="51"/>
  <c r="AZ28" i="51"/>
  <c r="AZ29" i="51" s="1"/>
  <c r="AZ30" i="51" s="1"/>
  <c r="AZ31" i="51" s="1"/>
  <c r="AZ32" i="51" s="1"/>
  <c r="AZ33" i="51" s="1"/>
  <c r="AZ34" i="51" s="1"/>
  <c r="AZ35" i="51" s="1"/>
  <c r="AZ36" i="51" s="1"/>
  <c r="AZ37" i="51" s="1"/>
  <c r="AZ38" i="51" s="1"/>
  <c r="AZ39" i="51" s="1"/>
  <c r="AZ40" i="51" s="1"/>
  <c r="AZ41" i="51" s="1"/>
  <c r="AZ42" i="51" s="1"/>
  <c r="AZ43" i="51" s="1"/>
  <c r="AZ44" i="51" s="1"/>
  <c r="AZ45" i="51" s="1"/>
  <c r="AZ46" i="51" s="1"/>
  <c r="AZ47" i="51" s="1"/>
  <c r="AD58" i="51"/>
  <c r="AB28" i="50"/>
  <c r="AZ28" i="50"/>
  <c r="AZ29" i="50" s="1"/>
  <c r="AZ30" i="50" s="1"/>
  <c r="AZ31" i="50" s="1"/>
  <c r="AZ32" i="50" s="1"/>
  <c r="AZ33" i="50" s="1"/>
  <c r="AZ34" i="50" s="1"/>
  <c r="AZ35" i="50" s="1"/>
  <c r="AZ36" i="50" s="1"/>
  <c r="AZ37" i="50" s="1"/>
  <c r="AZ38" i="50" s="1"/>
  <c r="AZ39" i="50" s="1"/>
  <c r="AZ40" i="50" s="1"/>
  <c r="AZ41" i="50" s="1"/>
  <c r="AZ42" i="50" s="1"/>
  <c r="AZ43" i="50" s="1"/>
  <c r="AZ44" i="50" s="1"/>
  <c r="AZ45" i="50" s="1"/>
  <c r="AZ46" i="50" s="1"/>
  <c r="AZ47" i="50" s="1"/>
  <c r="AZ48" i="50" s="1"/>
  <c r="AB29" i="49"/>
  <c r="AB30" i="48"/>
  <c r="AZ28" i="48"/>
  <c r="AZ29" i="48" s="1"/>
  <c r="AZ30" i="48" s="1"/>
  <c r="AZ31" i="48" s="1"/>
  <c r="AZ32" i="48" s="1"/>
  <c r="AZ33" i="48" s="1"/>
  <c r="AZ34" i="48" s="1"/>
  <c r="AZ35" i="48" s="1"/>
  <c r="AZ36" i="48" s="1"/>
  <c r="AZ37" i="48" s="1"/>
  <c r="AZ38" i="48" s="1"/>
  <c r="AZ39" i="48" s="1"/>
  <c r="AZ40" i="48" s="1"/>
  <c r="AZ41" i="48" s="1"/>
  <c r="AZ42" i="48" s="1"/>
  <c r="AZ43" i="48" s="1"/>
  <c r="AZ44" i="48" s="1"/>
  <c r="AZ45" i="48" s="1"/>
  <c r="AZ46" i="48" s="1"/>
  <c r="AZ47" i="48" s="1"/>
  <c r="C29" i="47"/>
  <c r="C30" i="47" s="1"/>
  <c r="C31" i="47" s="1"/>
  <c r="C32" i="47" s="1"/>
  <c r="C33" i="47" s="1"/>
  <c r="C34" i="47" s="1"/>
  <c r="C35" i="47" s="1"/>
  <c r="C36" i="47" s="1"/>
  <c r="C37" i="47" s="1"/>
  <c r="C38" i="47" s="1"/>
  <c r="C39" i="47" s="1"/>
  <c r="C40" i="47" s="1"/>
  <c r="C41" i="47" s="1"/>
  <c r="C42" i="47" s="1"/>
  <c r="C43" i="47" s="1"/>
  <c r="C44" i="47" s="1"/>
  <c r="C45" i="47" s="1"/>
  <c r="C46" i="47" s="1"/>
  <c r="C47" i="47" s="1"/>
  <c r="AZ28" i="47"/>
  <c r="AZ29" i="47" s="1"/>
  <c r="AZ30" i="47" s="1"/>
  <c r="AZ31" i="47" s="1"/>
  <c r="AZ32" i="47" s="1"/>
  <c r="AZ33" i="47" s="1"/>
  <c r="AZ34" i="47" s="1"/>
  <c r="AZ35" i="47" s="1"/>
  <c r="AZ36" i="47" s="1"/>
  <c r="AZ37" i="47" s="1"/>
  <c r="AZ38" i="47" s="1"/>
  <c r="AZ39" i="47" s="1"/>
  <c r="AZ40" i="47" s="1"/>
  <c r="AZ41" i="47" s="1"/>
  <c r="AZ42" i="47" s="1"/>
  <c r="AZ43" i="47" s="1"/>
  <c r="AZ44" i="47" s="1"/>
  <c r="AZ45" i="47" s="1"/>
  <c r="AZ46" i="47" s="1"/>
  <c r="AZ47" i="47" s="1"/>
  <c r="AB28" i="47"/>
  <c r="AF15" i="54" l="1"/>
  <c r="AF15" i="55"/>
  <c r="AF15" i="56"/>
  <c r="AJ11" i="54"/>
  <c r="AJ11" i="56"/>
  <c r="AJ11" i="55"/>
  <c r="AJ16" i="54"/>
  <c r="AF11" i="54" s="1"/>
  <c r="BD11" i="54" s="1"/>
  <c r="AJ16" i="55"/>
  <c r="AF11" i="55" s="1"/>
  <c r="AJ16" i="56"/>
  <c r="AF11" i="56" s="1"/>
  <c r="AJ13" i="54"/>
  <c r="AJ13" i="55"/>
  <c r="AJ13" i="56"/>
  <c r="Q67" i="4"/>
  <c r="H67" i="4"/>
  <c r="N67" i="4"/>
  <c r="AB29" i="51"/>
  <c r="C31" i="51"/>
  <c r="AB29" i="50"/>
  <c r="AB30" i="49"/>
  <c r="AB31" i="48"/>
  <c r="AB29" i="47"/>
  <c r="BD11" i="55" l="1"/>
  <c r="AF14" i="56"/>
  <c r="AF14" i="55"/>
  <c r="AJ15" i="54"/>
  <c r="AJ15" i="56"/>
  <c r="AJ15" i="55"/>
  <c r="BD11" i="56"/>
  <c r="AF14" i="54"/>
  <c r="AB30" i="51"/>
  <c r="C32" i="51"/>
  <c r="AB30" i="50"/>
  <c r="AB31" i="49"/>
  <c r="AB32" i="48"/>
  <c r="AB30" i="47"/>
  <c r="C33" i="51" l="1"/>
  <c r="AB31" i="51"/>
  <c r="AB31" i="50"/>
  <c r="AB32" i="49"/>
  <c r="AB33" i="48"/>
  <c r="AB31" i="47"/>
  <c r="C34" i="51" l="1"/>
  <c r="AB32" i="51"/>
  <c r="AB32" i="50"/>
  <c r="AB33" i="49"/>
  <c r="AB34" i="48"/>
  <c r="AB32" i="47"/>
  <c r="C35" i="51" l="1"/>
  <c r="AB33" i="51"/>
  <c r="AB33" i="50"/>
  <c r="AB34" i="49"/>
  <c r="AB35" i="48"/>
  <c r="AB33" i="47"/>
  <c r="AB34" i="51" l="1"/>
  <c r="C36" i="51"/>
  <c r="AB34" i="50"/>
  <c r="AB35" i="49"/>
  <c r="AB36" i="48"/>
  <c r="AB34" i="47"/>
  <c r="AB35" i="51" l="1"/>
  <c r="C37" i="51"/>
  <c r="AB35" i="50"/>
  <c r="AB36" i="49"/>
  <c r="AB37" i="48"/>
  <c r="AB35" i="47"/>
  <c r="AB36" i="51" l="1"/>
  <c r="C38" i="51"/>
  <c r="AB36" i="50"/>
  <c r="AB37" i="49"/>
  <c r="AB38" i="48"/>
  <c r="AB36" i="47"/>
  <c r="AB37" i="51" l="1"/>
  <c r="C39" i="51"/>
  <c r="AB37" i="50"/>
  <c r="AB38" i="49"/>
  <c r="AB39" i="48"/>
  <c r="AB37" i="47"/>
  <c r="AB38" i="51" l="1"/>
  <c r="C40" i="51"/>
  <c r="AB38" i="50"/>
  <c r="AB39" i="49"/>
  <c r="AB40" i="48"/>
  <c r="AB38" i="47"/>
  <c r="AB39" i="51" l="1"/>
  <c r="C41" i="51"/>
  <c r="AB39" i="50"/>
  <c r="AB40" i="49"/>
  <c r="AB41" i="48"/>
  <c r="AB39" i="47"/>
  <c r="C42" i="51" l="1"/>
  <c r="AB40" i="51"/>
  <c r="AB40" i="50"/>
  <c r="AB41" i="49"/>
  <c r="AB42" i="48"/>
  <c r="AB40" i="47"/>
  <c r="C43" i="51" l="1"/>
  <c r="AB41" i="51"/>
  <c r="AB41" i="50"/>
  <c r="AB42" i="49"/>
  <c r="AB43" i="48"/>
  <c r="AB41" i="47"/>
  <c r="C44" i="51" l="1"/>
  <c r="AB42" i="51"/>
  <c r="AB42" i="50"/>
  <c r="AB43" i="49"/>
  <c r="AB44" i="48"/>
  <c r="AB42" i="47"/>
  <c r="AB43" i="51" l="1"/>
  <c r="C45" i="51"/>
  <c r="AB43" i="50"/>
  <c r="AB44" i="49"/>
  <c r="AB45" i="48"/>
  <c r="AB43" i="47"/>
  <c r="AB44" i="51" l="1"/>
  <c r="C46" i="51"/>
  <c r="AB44" i="50"/>
  <c r="AB45" i="49"/>
  <c r="AB46" i="48"/>
  <c r="AB44" i="47"/>
  <c r="C47" i="51" l="1"/>
  <c r="AB45" i="51"/>
  <c r="AB45" i="50"/>
  <c r="AB46" i="49"/>
  <c r="AB47" i="48"/>
  <c r="AB45" i="47"/>
  <c r="AB46" i="51" l="1"/>
  <c r="AB46" i="50"/>
  <c r="AB47" i="49"/>
  <c r="AB46" i="47"/>
  <c r="AB47" i="51" l="1"/>
  <c r="AB47" i="50"/>
  <c r="AB47" i="47"/>
  <c r="AB48" i="50" l="1"/>
  <c r="AD52" i="45" l="1"/>
  <c r="AD51" i="45"/>
  <c r="AD50" i="45"/>
  <c r="AD49" i="45"/>
  <c r="AD48" i="45"/>
  <c r="AD47" i="45"/>
  <c r="AD46" i="45"/>
  <c r="AD45" i="45"/>
  <c r="AD44" i="45"/>
  <c r="AD43" i="45"/>
  <c r="AD42" i="45"/>
  <c r="AD41" i="45"/>
  <c r="AD40" i="45"/>
  <c r="AD39" i="45"/>
  <c r="AD38" i="45"/>
  <c r="AD37" i="45"/>
  <c r="AD36" i="45"/>
  <c r="AD35" i="45"/>
  <c r="AD34" i="45"/>
  <c r="AD33" i="45"/>
  <c r="BB32" i="45"/>
  <c r="AD32" i="45"/>
  <c r="AR31" i="45"/>
  <c r="AR32" i="45" s="1"/>
  <c r="AR33" i="45" s="1"/>
  <c r="AR34" i="45" s="1"/>
  <c r="AR35" i="45" s="1"/>
  <c r="AR36" i="45" s="1"/>
  <c r="AR37" i="45" s="1"/>
  <c r="AR38" i="45" s="1"/>
  <c r="AR39" i="45" s="1"/>
  <c r="AR40" i="45" s="1"/>
  <c r="AR41" i="45" s="1"/>
  <c r="AR42" i="45" s="1"/>
  <c r="AJ31" i="45"/>
  <c r="AJ32" i="45" s="1"/>
  <c r="AJ33" i="45" s="1"/>
  <c r="AJ34" i="45" s="1"/>
  <c r="AJ35" i="45" s="1"/>
  <c r="AJ36" i="45" s="1"/>
  <c r="AJ37" i="45" s="1"/>
  <c r="AJ38" i="45" s="1"/>
  <c r="AJ39" i="45" s="1"/>
  <c r="AJ40" i="45" s="1"/>
  <c r="AJ41" i="45" s="1"/>
  <c r="AJ42" i="45" s="1"/>
  <c r="AD31" i="45"/>
  <c r="AR30" i="45"/>
  <c r="AJ30" i="45"/>
  <c r="AH30" i="45"/>
  <c r="AH31" i="45" s="1"/>
  <c r="AH32" i="45" s="1"/>
  <c r="AH33" i="45" s="1"/>
  <c r="AH34" i="45" s="1"/>
  <c r="AH35" i="45" s="1"/>
  <c r="AH36" i="45" s="1"/>
  <c r="AH37" i="45" s="1"/>
  <c r="AH38" i="45" s="1"/>
  <c r="AH39" i="45" s="1"/>
  <c r="AH40" i="45" s="1"/>
  <c r="AH41" i="45" s="1"/>
  <c r="AH42" i="45" s="1"/>
  <c r="AD30" i="45"/>
  <c r="BD29" i="45"/>
  <c r="BB29" i="45"/>
  <c r="BB30" i="45" s="1"/>
  <c r="BB31" i="45" s="1"/>
  <c r="AR29" i="45"/>
  <c r="AJ29" i="45"/>
  <c r="AH29" i="45"/>
  <c r="AF29" i="45"/>
  <c r="AD29" i="45"/>
  <c r="I29" i="45"/>
  <c r="AZ28" i="45"/>
  <c r="AZ29" i="45" s="1"/>
  <c r="AZ30" i="45" s="1"/>
  <c r="AZ31" i="45" s="1"/>
  <c r="AZ32" i="45" s="1"/>
  <c r="AZ33" i="45" s="1"/>
  <c r="AZ34" i="45" s="1"/>
  <c r="AZ35" i="45" s="1"/>
  <c r="AZ36" i="45" s="1"/>
  <c r="AZ37" i="45" s="1"/>
  <c r="AZ38" i="45" s="1"/>
  <c r="AZ39" i="45" s="1"/>
  <c r="AZ40" i="45" s="1"/>
  <c r="AZ41" i="45" s="1"/>
  <c r="AZ42" i="45" s="1"/>
  <c r="AD28" i="45"/>
  <c r="AB28" i="45"/>
  <c r="AB29" i="45" s="1"/>
  <c r="AB30" i="45" s="1"/>
  <c r="M28" i="45"/>
  <c r="M29" i="45" s="1"/>
  <c r="M30" i="45" s="1"/>
  <c r="M31" i="45" s="1"/>
  <c r="M32" i="45" s="1"/>
  <c r="M33" i="45" s="1"/>
  <c r="M34" i="45" s="1"/>
  <c r="M35" i="45" s="1"/>
  <c r="M36" i="45" s="1"/>
  <c r="M37" i="45" s="1"/>
  <c r="M38" i="45" s="1"/>
  <c r="M39" i="45" s="1"/>
  <c r="M40" i="45" s="1"/>
  <c r="M41" i="45" s="1"/>
  <c r="M42" i="45" s="1"/>
  <c r="M43" i="45" s="1"/>
  <c r="M44" i="45" s="1"/>
  <c r="M45" i="45" s="1"/>
  <c r="M46" i="45" s="1"/>
  <c r="M47" i="45" s="1"/>
  <c r="M48" i="45" s="1"/>
  <c r="M49" i="45" s="1"/>
  <c r="M50" i="45" s="1"/>
  <c r="M51" i="45" s="1"/>
  <c r="M52" i="45" s="1"/>
  <c r="I28" i="45"/>
  <c r="C28" i="45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W26" i="45"/>
  <c r="U26" i="45"/>
  <c r="S26" i="45"/>
  <c r="Q26" i="45"/>
  <c r="O26" i="45"/>
  <c r="M26" i="45"/>
  <c r="K26" i="45"/>
  <c r="G18" i="45"/>
  <c r="AF11" i="45"/>
  <c r="A2" i="45"/>
  <c r="G18" i="44"/>
  <c r="Q61" i="44" s="1"/>
  <c r="M43" i="44"/>
  <c r="M44" i="44" s="1"/>
  <c r="M45" i="44" s="1"/>
  <c r="M46" i="44" s="1"/>
  <c r="M47" i="44" s="1"/>
  <c r="M48" i="44" s="1"/>
  <c r="M49" i="44" s="1"/>
  <c r="M50" i="44" s="1"/>
  <c r="M51" i="44" s="1"/>
  <c r="M52" i="44" s="1"/>
  <c r="I30" i="44"/>
  <c r="I31" i="44"/>
  <c r="I32" i="44" s="1"/>
  <c r="I33" i="44" s="1"/>
  <c r="I34" i="44" s="1"/>
  <c r="I35" i="44" s="1"/>
  <c r="I36" i="44" s="1"/>
  <c r="I37" i="44" s="1"/>
  <c r="I38" i="44" s="1"/>
  <c r="I39" i="44" s="1"/>
  <c r="I40" i="44" s="1"/>
  <c r="I41" i="44" s="1"/>
  <c r="I42" i="44" s="1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G19" i="44"/>
  <c r="AD49" i="44"/>
  <c r="AD48" i="44"/>
  <c r="AD47" i="44"/>
  <c r="AD46" i="44"/>
  <c r="AD45" i="44"/>
  <c r="AD44" i="44"/>
  <c r="AD43" i="44"/>
  <c r="AD52" i="44"/>
  <c r="AD51" i="44"/>
  <c r="AD50" i="44"/>
  <c r="AD42" i="44"/>
  <c r="AD41" i="44"/>
  <c r="AD40" i="44"/>
  <c r="AD39" i="44"/>
  <c r="AD38" i="44"/>
  <c r="AD37" i="44"/>
  <c r="AD36" i="44"/>
  <c r="AD35" i="44"/>
  <c r="AD34" i="44"/>
  <c r="AD33" i="44"/>
  <c r="AD32" i="44"/>
  <c r="AD31" i="44"/>
  <c r="AD30" i="44"/>
  <c r="BD29" i="44"/>
  <c r="BB29" i="44"/>
  <c r="AR29" i="44"/>
  <c r="AJ29" i="44"/>
  <c r="AH29" i="44"/>
  <c r="AF29" i="44"/>
  <c r="AD29" i="44"/>
  <c r="AD28" i="44"/>
  <c r="M28" i="44"/>
  <c r="M29" i="44" s="1"/>
  <c r="M30" i="44" s="1"/>
  <c r="M31" i="44" s="1"/>
  <c r="M32" i="44" s="1"/>
  <c r="M33" i="44" s="1"/>
  <c r="M34" i="44" s="1"/>
  <c r="M35" i="44" s="1"/>
  <c r="M36" i="44" s="1"/>
  <c r="M37" i="44" s="1"/>
  <c r="M38" i="44" s="1"/>
  <c r="M39" i="44" s="1"/>
  <c r="M40" i="44" s="1"/>
  <c r="M41" i="44" s="1"/>
  <c r="M42" i="44" s="1"/>
  <c r="I28" i="44"/>
  <c r="I29" i="44" s="1"/>
  <c r="C28" i="44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W26" i="44"/>
  <c r="U26" i="44"/>
  <c r="S26" i="44"/>
  <c r="Q26" i="44"/>
  <c r="O26" i="44"/>
  <c r="M26" i="44"/>
  <c r="K26" i="44"/>
  <c r="A2" i="44"/>
  <c r="AD47" i="43"/>
  <c r="O47" i="43"/>
  <c r="AD46" i="43"/>
  <c r="O46" i="43"/>
  <c r="AD45" i="43"/>
  <c r="O45" i="43"/>
  <c r="AD44" i="43"/>
  <c r="O44" i="43"/>
  <c r="AD43" i="43"/>
  <c r="O43" i="43"/>
  <c r="AD42" i="43"/>
  <c r="O42" i="43"/>
  <c r="AD41" i="43"/>
  <c r="O41" i="43"/>
  <c r="AD40" i="43"/>
  <c r="O40" i="43"/>
  <c r="AD39" i="43"/>
  <c r="O39" i="43"/>
  <c r="AD38" i="43"/>
  <c r="O38" i="43"/>
  <c r="AD37" i="43"/>
  <c r="O37" i="43"/>
  <c r="AD36" i="43"/>
  <c r="O36" i="43"/>
  <c r="AD35" i="43"/>
  <c r="O35" i="43"/>
  <c r="AD34" i="43"/>
  <c r="O34" i="43"/>
  <c r="AD33" i="43"/>
  <c r="O33" i="43"/>
  <c r="AD32" i="43"/>
  <c r="O32" i="43"/>
  <c r="AD31" i="43"/>
  <c r="O31" i="43"/>
  <c r="AD30" i="43"/>
  <c r="O30" i="43"/>
  <c r="AD29" i="43"/>
  <c r="O29" i="43"/>
  <c r="C29" i="43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AZ28" i="43"/>
  <c r="AZ29" i="43" s="1"/>
  <c r="AZ30" i="43" s="1"/>
  <c r="AZ31" i="43" s="1"/>
  <c r="AZ32" i="43" s="1"/>
  <c r="AZ33" i="43" s="1"/>
  <c r="AZ34" i="43" s="1"/>
  <c r="AZ35" i="43" s="1"/>
  <c r="AZ36" i="43" s="1"/>
  <c r="AZ37" i="43" s="1"/>
  <c r="AZ38" i="43" s="1"/>
  <c r="AZ39" i="43" s="1"/>
  <c r="AZ40" i="43" s="1"/>
  <c r="AZ41" i="43" s="1"/>
  <c r="AZ42" i="43" s="1"/>
  <c r="AZ43" i="43" s="1"/>
  <c r="AZ44" i="43" s="1"/>
  <c r="AZ45" i="43" s="1"/>
  <c r="AZ46" i="43" s="1"/>
  <c r="AZ47" i="43" s="1"/>
  <c r="AD28" i="43"/>
  <c r="AB28" i="43"/>
  <c r="O28" i="43"/>
  <c r="M28" i="43"/>
  <c r="C28" i="43"/>
  <c r="W26" i="43"/>
  <c r="U26" i="43"/>
  <c r="S26" i="43"/>
  <c r="Q26" i="43"/>
  <c r="O26" i="43"/>
  <c r="M26" i="43"/>
  <c r="K26" i="43"/>
  <c r="BD15" i="43"/>
  <c r="BD14" i="43"/>
  <c r="A3" i="43"/>
  <c r="A2" i="43"/>
  <c r="A1" i="43"/>
  <c r="O29" i="42"/>
  <c r="O30" i="42"/>
  <c r="O31" i="42"/>
  <c r="O32" i="42"/>
  <c r="O33" i="42"/>
  <c r="O34" i="42"/>
  <c r="O35" i="42"/>
  <c r="O36" i="42"/>
  <c r="O37" i="42"/>
  <c r="O38" i="42"/>
  <c r="O39" i="42"/>
  <c r="O40" i="42"/>
  <c r="O41" i="42"/>
  <c r="O42" i="42"/>
  <c r="O43" i="42"/>
  <c r="O44" i="42"/>
  <c r="O45" i="42"/>
  <c r="O46" i="42"/>
  <c r="O47" i="42"/>
  <c r="O28" i="42"/>
  <c r="G61" i="44" l="1"/>
  <c r="AF11" i="44"/>
  <c r="AL28" i="44" s="1"/>
  <c r="C61" i="44"/>
  <c r="AJ50" i="45"/>
  <c r="AJ51" i="45" s="1"/>
  <c r="AJ52" i="45" s="1"/>
  <c r="AJ43" i="45"/>
  <c r="AJ44" i="45" s="1"/>
  <c r="AJ45" i="45" s="1"/>
  <c r="AJ46" i="45" s="1"/>
  <c r="AJ47" i="45" s="1"/>
  <c r="AJ48" i="45" s="1"/>
  <c r="AJ49" i="45" s="1"/>
  <c r="AR50" i="45"/>
  <c r="AR51" i="45" s="1"/>
  <c r="AR52" i="45" s="1"/>
  <c r="AR43" i="45"/>
  <c r="AR44" i="45" s="1"/>
  <c r="AR45" i="45" s="1"/>
  <c r="AR46" i="45" s="1"/>
  <c r="AR47" i="45" s="1"/>
  <c r="AR48" i="45" s="1"/>
  <c r="AR49" i="45" s="1"/>
  <c r="AZ50" i="45"/>
  <c r="AZ51" i="45" s="1"/>
  <c r="AZ52" i="45" s="1"/>
  <c r="AZ43" i="45"/>
  <c r="AZ44" i="45" s="1"/>
  <c r="AZ45" i="45" s="1"/>
  <c r="AZ46" i="45" s="1"/>
  <c r="AZ47" i="45" s="1"/>
  <c r="AZ48" i="45" s="1"/>
  <c r="AZ49" i="45" s="1"/>
  <c r="AH43" i="45"/>
  <c r="AH44" i="45" s="1"/>
  <c r="AH45" i="45" s="1"/>
  <c r="AH46" i="45" s="1"/>
  <c r="AH47" i="45" s="1"/>
  <c r="AH48" i="45" s="1"/>
  <c r="AH49" i="45" s="1"/>
  <c r="AH50" i="45"/>
  <c r="AH51" i="45" s="1"/>
  <c r="AH52" i="45" s="1"/>
  <c r="AB31" i="45"/>
  <c r="I30" i="45"/>
  <c r="M61" i="45"/>
  <c r="C61" i="45"/>
  <c r="AD61" i="45"/>
  <c r="AF12" i="45" s="1"/>
  <c r="K61" i="45"/>
  <c r="AR61" i="45"/>
  <c r="AJ61" i="45"/>
  <c r="Q61" i="45"/>
  <c r="G61" i="45"/>
  <c r="BD30" i="45"/>
  <c r="AL28" i="45"/>
  <c r="BD11" i="45"/>
  <c r="BF28" i="45" s="1"/>
  <c r="AF30" i="45"/>
  <c r="AL29" i="45"/>
  <c r="BB33" i="45"/>
  <c r="AD61" i="44"/>
  <c r="AF12" i="44" s="1"/>
  <c r="BB30" i="44"/>
  <c r="AL29" i="44"/>
  <c r="AH30" i="44"/>
  <c r="AH31" i="44" s="1"/>
  <c r="AH32" i="44" s="1"/>
  <c r="AH33" i="44" s="1"/>
  <c r="AH34" i="44" s="1"/>
  <c r="AH35" i="44" s="1"/>
  <c r="AH36" i="44" s="1"/>
  <c r="AH37" i="44" s="1"/>
  <c r="AH38" i="44" s="1"/>
  <c r="AH39" i="44" s="1"/>
  <c r="AH40" i="44" s="1"/>
  <c r="AH41" i="44" s="1"/>
  <c r="AH42" i="44" s="1"/>
  <c r="AB28" i="44"/>
  <c r="AZ28" i="44"/>
  <c r="AZ29" i="44" s="1"/>
  <c r="AZ30" i="44" s="1"/>
  <c r="AZ31" i="44" s="1"/>
  <c r="AZ32" i="44" s="1"/>
  <c r="AZ33" i="44" s="1"/>
  <c r="AZ34" i="44" s="1"/>
  <c r="AZ35" i="44" s="1"/>
  <c r="AZ36" i="44" s="1"/>
  <c r="AZ37" i="44" s="1"/>
  <c r="AZ38" i="44" s="1"/>
  <c r="AZ39" i="44" s="1"/>
  <c r="AZ40" i="44" s="1"/>
  <c r="AZ41" i="44" s="1"/>
  <c r="AZ42" i="44" s="1"/>
  <c r="AF30" i="44"/>
  <c r="BD30" i="44"/>
  <c r="BD31" i="44" s="1"/>
  <c r="BD32" i="44" s="1"/>
  <c r="BD33" i="44" s="1"/>
  <c r="BD34" i="44" s="1"/>
  <c r="BD35" i="44" s="1"/>
  <c r="BD36" i="44" s="1"/>
  <c r="BD37" i="44" s="1"/>
  <c r="BD38" i="44" s="1"/>
  <c r="BD39" i="44" s="1"/>
  <c r="BD40" i="44" s="1"/>
  <c r="BD41" i="44" s="1"/>
  <c r="BD42" i="44" s="1"/>
  <c r="AJ30" i="44"/>
  <c r="AJ31" i="44" s="1"/>
  <c r="AJ32" i="44" s="1"/>
  <c r="AJ33" i="44" s="1"/>
  <c r="AJ34" i="44" s="1"/>
  <c r="AJ35" i="44" s="1"/>
  <c r="AJ36" i="44" s="1"/>
  <c r="AJ37" i="44" s="1"/>
  <c r="AJ38" i="44" s="1"/>
  <c r="AJ39" i="44" s="1"/>
  <c r="AJ40" i="44" s="1"/>
  <c r="AJ41" i="44" s="1"/>
  <c r="AJ42" i="44" s="1"/>
  <c r="AR30" i="44"/>
  <c r="AR31" i="44" s="1"/>
  <c r="AR32" i="44" s="1"/>
  <c r="AR33" i="44" s="1"/>
  <c r="AR34" i="44" s="1"/>
  <c r="AR35" i="44" s="1"/>
  <c r="AR36" i="44" s="1"/>
  <c r="AR37" i="44" s="1"/>
  <c r="AR38" i="44" s="1"/>
  <c r="AR39" i="44" s="1"/>
  <c r="AR40" i="44" s="1"/>
  <c r="AR41" i="44" s="1"/>
  <c r="AR42" i="44" s="1"/>
  <c r="AB29" i="43"/>
  <c r="BD11" i="44" l="1"/>
  <c r="AT28" i="45"/>
  <c r="BB34" i="45"/>
  <c r="BF29" i="45"/>
  <c r="AT29" i="45" s="1"/>
  <c r="I31" i="45"/>
  <c r="AF31" i="45"/>
  <c r="AL30" i="45"/>
  <c r="BD31" i="45"/>
  <c r="BF30" i="45"/>
  <c r="AH61" i="45"/>
  <c r="AB32" i="45"/>
  <c r="AZ50" i="44"/>
  <c r="AZ51" i="44" s="1"/>
  <c r="AZ52" i="44" s="1"/>
  <c r="AZ43" i="44"/>
  <c r="AZ44" i="44" s="1"/>
  <c r="AZ45" i="44" s="1"/>
  <c r="AZ46" i="44" s="1"/>
  <c r="AZ47" i="44" s="1"/>
  <c r="AZ48" i="44" s="1"/>
  <c r="AZ49" i="44" s="1"/>
  <c r="AR50" i="44"/>
  <c r="AR51" i="44" s="1"/>
  <c r="AR52" i="44" s="1"/>
  <c r="AR43" i="44"/>
  <c r="AJ50" i="44"/>
  <c r="AJ51" i="44" s="1"/>
  <c r="AJ52" i="44" s="1"/>
  <c r="AJ43" i="44"/>
  <c r="AJ44" i="44" s="1"/>
  <c r="AJ45" i="44" s="1"/>
  <c r="AJ46" i="44" s="1"/>
  <c r="AJ47" i="44" s="1"/>
  <c r="AJ48" i="44" s="1"/>
  <c r="AJ49" i="44" s="1"/>
  <c r="BD50" i="44"/>
  <c r="BD51" i="44" s="1"/>
  <c r="BD52" i="44" s="1"/>
  <c r="BD43" i="44"/>
  <c r="BD44" i="44" s="1"/>
  <c r="BD45" i="44" s="1"/>
  <c r="BD46" i="44" s="1"/>
  <c r="BD47" i="44" s="1"/>
  <c r="BD48" i="44" s="1"/>
  <c r="BD49" i="44" s="1"/>
  <c r="M61" i="44"/>
  <c r="AH50" i="44"/>
  <c r="AH51" i="44" s="1"/>
  <c r="AH52" i="44" s="1"/>
  <c r="AH43" i="44"/>
  <c r="BF30" i="44"/>
  <c r="BB31" i="44"/>
  <c r="BF29" i="44"/>
  <c r="AT29" i="44" s="1"/>
  <c r="BF28" i="44"/>
  <c r="AT28" i="44" s="1"/>
  <c r="AF31" i="44"/>
  <c r="AL30" i="44"/>
  <c r="AB29" i="44"/>
  <c r="AB30" i="43"/>
  <c r="AT30" i="45" l="1"/>
  <c r="I32" i="45"/>
  <c r="AF32" i="45"/>
  <c r="AL31" i="45"/>
  <c r="AB33" i="45"/>
  <c r="BD32" i="45"/>
  <c r="BF31" i="45"/>
  <c r="BB35" i="45"/>
  <c r="K61" i="44"/>
  <c r="AR44" i="44"/>
  <c r="AR45" i="44" s="1"/>
  <c r="AR46" i="44" s="1"/>
  <c r="AR47" i="44" s="1"/>
  <c r="AR48" i="44" s="1"/>
  <c r="AR49" i="44" s="1"/>
  <c r="AJ61" i="44"/>
  <c r="AT30" i="44"/>
  <c r="AH44" i="44"/>
  <c r="AH45" i="44" s="1"/>
  <c r="AH46" i="44" s="1"/>
  <c r="AH47" i="44" s="1"/>
  <c r="AH48" i="44" s="1"/>
  <c r="AH49" i="44" s="1"/>
  <c r="BD61" i="44"/>
  <c r="AB30" i="44"/>
  <c r="BF31" i="44"/>
  <c r="BB32" i="44"/>
  <c r="AF32" i="44"/>
  <c r="AL31" i="44"/>
  <c r="AB31" i="43"/>
  <c r="AT31" i="45" l="1"/>
  <c r="BB36" i="45"/>
  <c r="I33" i="45"/>
  <c r="AB34" i="45"/>
  <c r="AF33" i="45"/>
  <c r="AL32" i="45"/>
  <c r="BD33" i="45"/>
  <c r="BF32" i="45"/>
  <c r="AR61" i="44"/>
  <c r="AH61" i="44"/>
  <c r="AT31" i="44"/>
  <c r="AF33" i="44"/>
  <c r="AL32" i="44"/>
  <c r="BF32" i="44"/>
  <c r="BB33" i="44"/>
  <c r="AB31" i="44"/>
  <c r="AB32" i="43"/>
  <c r="BD34" i="45" l="1"/>
  <c r="BF33" i="45"/>
  <c r="AB35" i="45"/>
  <c r="I34" i="45"/>
  <c r="AT32" i="45"/>
  <c r="BB37" i="45"/>
  <c r="AF34" i="45"/>
  <c r="AL33" i="45"/>
  <c r="AT32" i="44"/>
  <c r="BF33" i="44"/>
  <c r="BB34" i="44"/>
  <c r="AB32" i="44"/>
  <c r="AF34" i="44"/>
  <c r="AL33" i="44"/>
  <c r="AB33" i="43"/>
  <c r="AT33" i="45" l="1"/>
  <c r="BB38" i="45"/>
  <c r="I35" i="45"/>
  <c r="AF35" i="45"/>
  <c r="AL34" i="45"/>
  <c r="AB36" i="45"/>
  <c r="BD35" i="45"/>
  <c r="BF34" i="45"/>
  <c r="AB33" i="44"/>
  <c r="AT33" i="44"/>
  <c r="BF34" i="44"/>
  <c r="BB35" i="44"/>
  <c r="AF35" i="44"/>
  <c r="AL34" i="44"/>
  <c r="AB34" i="43"/>
  <c r="BD36" i="45" l="1"/>
  <c r="BF35" i="45"/>
  <c r="AF36" i="45"/>
  <c r="AL35" i="45"/>
  <c r="AB37" i="45"/>
  <c r="AT34" i="45"/>
  <c r="I36" i="45"/>
  <c r="BB39" i="45"/>
  <c r="AF36" i="44"/>
  <c r="AL35" i="44"/>
  <c r="AB34" i="44"/>
  <c r="AT34" i="44"/>
  <c r="BF35" i="44"/>
  <c r="BB36" i="44"/>
  <c r="AB35" i="43"/>
  <c r="AB38" i="45" l="1"/>
  <c r="I37" i="45"/>
  <c r="AL36" i="45"/>
  <c r="AF37" i="45"/>
  <c r="BB40" i="45"/>
  <c r="AT35" i="45"/>
  <c r="BD37" i="45"/>
  <c r="BF36" i="45"/>
  <c r="AT35" i="44"/>
  <c r="AB35" i="44"/>
  <c r="AF37" i="44"/>
  <c r="AL36" i="44"/>
  <c r="BB37" i="44"/>
  <c r="BF36" i="44"/>
  <c r="AB36" i="43"/>
  <c r="BD38" i="45" l="1"/>
  <c r="BF37" i="45"/>
  <c r="BB41" i="45"/>
  <c r="AT36" i="45"/>
  <c r="I38" i="45"/>
  <c r="AF38" i="45"/>
  <c r="AL37" i="45"/>
  <c r="AB39" i="45"/>
  <c r="AT36" i="44"/>
  <c r="BF37" i="44"/>
  <c r="BB38" i="44"/>
  <c r="AF38" i="44"/>
  <c r="AL37" i="44"/>
  <c r="AB36" i="44"/>
  <c r="AB37" i="43"/>
  <c r="AT37" i="45" l="1"/>
  <c r="I39" i="45"/>
  <c r="BB42" i="45"/>
  <c r="AF39" i="45"/>
  <c r="AL38" i="45"/>
  <c r="AB40" i="45"/>
  <c r="BD39" i="45"/>
  <c r="BF38" i="45"/>
  <c r="AT37" i="44"/>
  <c r="AB37" i="44"/>
  <c r="AF39" i="44"/>
  <c r="AL38" i="44"/>
  <c r="BB39" i="44"/>
  <c r="BF38" i="44"/>
  <c r="AB38" i="43"/>
  <c r="AT38" i="45" l="1"/>
  <c r="BD40" i="45"/>
  <c r="BF39" i="45"/>
  <c r="AB41" i="45"/>
  <c r="BB50" i="45"/>
  <c r="BB43" i="45"/>
  <c r="AF40" i="45"/>
  <c r="AL39" i="45"/>
  <c r="I40" i="45"/>
  <c r="BF39" i="44"/>
  <c r="BB40" i="44"/>
  <c r="AB38" i="44"/>
  <c r="AT38" i="44"/>
  <c r="AF40" i="44"/>
  <c r="AL39" i="44"/>
  <c r="AB39" i="43"/>
  <c r="AT39" i="45" l="1"/>
  <c r="AF41" i="45"/>
  <c r="AL40" i="45"/>
  <c r="AB42" i="45"/>
  <c r="I41" i="45"/>
  <c r="BB44" i="45"/>
  <c r="BB51" i="45"/>
  <c r="BD41" i="45"/>
  <c r="BF40" i="45"/>
  <c r="AT39" i="44"/>
  <c r="AF41" i="44"/>
  <c r="AL40" i="44"/>
  <c r="AB39" i="44"/>
  <c r="BF40" i="44"/>
  <c r="BB41" i="44"/>
  <c r="AB40" i="43"/>
  <c r="BD42" i="45" l="1"/>
  <c r="BF41" i="45"/>
  <c r="AB50" i="45"/>
  <c r="AB43" i="45"/>
  <c r="I42" i="45"/>
  <c r="AT40" i="45"/>
  <c r="BB45" i="45"/>
  <c r="BB52" i="45"/>
  <c r="AF42" i="45"/>
  <c r="AL41" i="45"/>
  <c r="AT41" i="45" s="1"/>
  <c r="AF42" i="44"/>
  <c r="AF43" i="44" s="1"/>
  <c r="AL41" i="44"/>
  <c r="AB40" i="44"/>
  <c r="BF41" i="44"/>
  <c r="BB42" i="44"/>
  <c r="BB43" i="44" s="1"/>
  <c r="AT40" i="44"/>
  <c r="AB41" i="43"/>
  <c r="AB51" i="45" l="1"/>
  <c r="AF50" i="45"/>
  <c r="AF43" i="45"/>
  <c r="AL42" i="45"/>
  <c r="I43" i="45"/>
  <c r="BB46" i="45"/>
  <c r="AB44" i="45"/>
  <c r="BD50" i="45"/>
  <c r="BD43" i="45"/>
  <c r="BF42" i="45"/>
  <c r="BF43" i="44"/>
  <c r="BB44" i="44"/>
  <c r="AF44" i="44"/>
  <c r="AL43" i="44"/>
  <c r="AB41" i="44"/>
  <c r="AT41" i="44"/>
  <c r="AF50" i="44"/>
  <c r="AL42" i="44"/>
  <c r="BF42" i="44"/>
  <c r="BB50" i="44"/>
  <c r="AB42" i="43"/>
  <c r="AT42" i="45" l="1"/>
  <c r="BD44" i="45"/>
  <c r="BF43" i="45"/>
  <c r="AF51" i="45"/>
  <c r="AL50" i="45"/>
  <c r="BD51" i="45"/>
  <c r="BF50" i="45"/>
  <c r="BB47" i="45"/>
  <c r="I44" i="45"/>
  <c r="AB52" i="45"/>
  <c r="AB45" i="45"/>
  <c r="AF44" i="45"/>
  <c r="AL43" i="45"/>
  <c r="AT43" i="44"/>
  <c r="AF45" i="44"/>
  <c r="AL44" i="44"/>
  <c r="BF44" i="44"/>
  <c r="BB45" i="44"/>
  <c r="BF50" i="44"/>
  <c r="BB51" i="44"/>
  <c r="AF51" i="44"/>
  <c r="AL50" i="44"/>
  <c r="AT42" i="44"/>
  <c r="AB42" i="44"/>
  <c r="AB43" i="44" s="1"/>
  <c r="AB43" i="43"/>
  <c r="AT50" i="45" l="1"/>
  <c r="BB48" i="45"/>
  <c r="AF52" i="45"/>
  <c r="AL51" i="45"/>
  <c r="AB44" i="44"/>
  <c r="AB46" i="45"/>
  <c r="AL44" i="45"/>
  <c r="AF45" i="45"/>
  <c r="AT43" i="45"/>
  <c r="I45" i="45"/>
  <c r="BD52" i="45"/>
  <c r="BF51" i="45"/>
  <c r="BD45" i="45"/>
  <c r="BF44" i="45"/>
  <c r="AT44" i="44"/>
  <c r="AT50" i="44"/>
  <c r="BF45" i="44"/>
  <c r="BB46" i="44"/>
  <c r="AL45" i="44"/>
  <c r="AT45" i="44" s="1"/>
  <c r="AF46" i="44"/>
  <c r="AF52" i="44"/>
  <c r="AL51" i="44"/>
  <c r="AB50" i="44"/>
  <c r="BF51" i="44"/>
  <c r="BB52" i="44"/>
  <c r="AB44" i="43"/>
  <c r="AT44" i="45" l="1"/>
  <c r="AB45" i="44"/>
  <c r="BB49" i="45"/>
  <c r="AT51" i="45"/>
  <c r="BF52" i="45"/>
  <c r="I46" i="45"/>
  <c r="BD46" i="45"/>
  <c r="BF45" i="45"/>
  <c r="AF46" i="45"/>
  <c r="AL45" i="45"/>
  <c r="AB47" i="45"/>
  <c r="AL52" i="45"/>
  <c r="AL46" i="44"/>
  <c r="AF47" i="44"/>
  <c r="BF46" i="44"/>
  <c r="BB47" i="44"/>
  <c r="AB51" i="44"/>
  <c r="AT51" i="44"/>
  <c r="AL52" i="44"/>
  <c r="BF52" i="44"/>
  <c r="AB45" i="43"/>
  <c r="AT52" i="45" l="1"/>
  <c r="AF47" i="45"/>
  <c r="AL46" i="45"/>
  <c r="AB48" i="45"/>
  <c r="I47" i="45"/>
  <c r="BB61" i="45"/>
  <c r="AB46" i="44"/>
  <c r="AT45" i="45"/>
  <c r="BD47" i="45"/>
  <c r="BF46" i="45"/>
  <c r="AT52" i="44"/>
  <c r="BF47" i="44"/>
  <c r="BB48" i="44"/>
  <c r="AF48" i="44"/>
  <c r="AL47" i="44"/>
  <c r="AT46" i="44"/>
  <c r="AB52" i="44"/>
  <c r="AB46" i="43"/>
  <c r="BD48" i="45" l="1"/>
  <c r="BF47" i="45"/>
  <c r="AF48" i="45"/>
  <c r="AL47" i="45"/>
  <c r="AB47" i="44"/>
  <c r="AT46" i="45"/>
  <c r="AB49" i="45"/>
  <c r="I48" i="45"/>
  <c r="AT47" i="44"/>
  <c r="AF49" i="44"/>
  <c r="AL49" i="44" s="1"/>
  <c r="AL48" i="44"/>
  <c r="BF48" i="44"/>
  <c r="BB49" i="44"/>
  <c r="BF49" i="44" s="1"/>
  <c r="AB47" i="43"/>
  <c r="AT47" i="45" l="1"/>
  <c r="AB48" i="44"/>
  <c r="I49" i="45"/>
  <c r="AF49" i="45"/>
  <c r="AL49" i="45" s="1"/>
  <c r="AL48" i="45"/>
  <c r="BD49" i="45"/>
  <c r="BF48" i="45"/>
  <c r="AT48" i="44"/>
  <c r="AT49" i="44"/>
  <c r="AT48" i="45" l="1"/>
  <c r="AL61" i="45"/>
  <c r="BF49" i="45"/>
  <c r="AT49" i="45" s="1"/>
  <c r="BD61" i="45"/>
  <c r="AF61" i="45"/>
  <c r="I50" i="45"/>
  <c r="AB49" i="44"/>
  <c r="BF61" i="45" l="1"/>
  <c r="AT61" i="45"/>
  <c r="I51" i="45"/>
  <c r="I52" i="45" l="1"/>
  <c r="AF61" i="44"/>
  <c r="BF61" i="44"/>
  <c r="BB61" i="44"/>
  <c r="I61" i="44"/>
  <c r="I61" i="45" l="1"/>
  <c r="AL61" i="44"/>
  <c r="AT61" i="44" l="1"/>
  <c r="I18" i="74" l="1"/>
  <c r="G70" i="74" l="1"/>
  <c r="K70" i="74"/>
  <c r="O70" i="74"/>
  <c r="Q70" i="74"/>
  <c r="AD70" i="74"/>
  <c r="I70" i="74"/>
  <c r="G18" i="47"/>
  <c r="K58" i="47" s="1"/>
  <c r="G18" i="68"/>
  <c r="G18" i="67"/>
  <c r="G18" i="66"/>
  <c r="G18" i="48"/>
  <c r="G18" i="50"/>
  <c r="G18" i="49"/>
  <c r="G18" i="43"/>
  <c r="G58" i="43" s="1"/>
  <c r="G18" i="70"/>
  <c r="Q68" i="70" s="1"/>
  <c r="I18" i="62"/>
  <c r="I18" i="61"/>
  <c r="I18" i="65"/>
  <c r="I18" i="63"/>
  <c r="I18" i="60"/>
  <c r="I18" i="59"/>
  <c r="I18" i="58"/>
  <c r="G18" i="55"/>
  <c r="G18" i="54"/>
  <c r="G18" i="56"/>
  <c r="G18" i="42"/>
  <c r="K58" i="42" s="1"/>
  <c r="AD47" i="42"/>
  <c r="AD46" i="42"/>
  <c r="AD45" i="42"/>
  <c r="AD44" i="42"/>
  <c r="AD43" i="42"/>
  <c r="AD42" i="42"/>
  <c r="AD41" i="42"/>
  <c r="AD40" i="42"/>
  <c r="AD39" i="42"/>
  <c r="AD38" i="42"/>
  <c r="AD37" i="42"/>
  <c r="AD36" i="42"/>
  <c r="AD35" i="42"/>
  <c r="AD34" i="42"/>
  <c r="AD33" i="42"/>
  <c r="AD32" i="42"/>
  <c r="AD31" i="42"/>
  <c r="AD30" i="42"/>
  <c r="AD29" i="42"/>
  <c r="AZ28" i="42"/>
  <c r="AZ29" i="42" s="1"/>
  <c r="AZ30" i="42" s="1"/>
  <c r="AZ31" i="42" s="1"/>
  <c r="AZ32" i="42" s="1"/>
  <c r="AZ33" i="42" s="1"/>
  <c r="AZ34" i="42" s="1"/>
  <c r="AZ35" i="42" s="1"/>
  <c r="AZ36" i="42" s="1"/>
  <c r="AZ37" i="42" s="1"/>
  <c r="AZ38" i="42" s="1"/>
  <c r="AZ39" i="42" s="1"/>
  <c r="AZ40" i="42" s="1"/>
  <c r="AZ41" i="42" s="1"/>
  <c r="AZ42" i="42" s="1"/>
  <c r="AZ43" i="42" s="1"/>
  <c r="AZ44" i="42" s="1"/>
  <c r="AZ45" i="42" s="1"/>
  <c r="AZ46" i="42" s="1"/>
  <c r="AZ47" i="42" s="1"/>
  <c r="AD28" i="42"/>
  <c r="M28" i="42"/>
  <c r="C28" i="42"/>
  <c r="W26" i="42"/>
  <c r="U26" i="42"/>
  <c r="S26" i="42"/>
  <c r="Q26" i="42"/>
  <c r="O26" i="42"/>
  <c r="M26" i="42"/>
  <c r="K26" i="42"/>
  <c r="BD15" i="42"/>
  <c r="BD14" i="42"/>
  <c r="A3" i="42"/>
  <c r="A2" i="42"/>
  <c r="A1" i="42"/>
  <c r="D81" i="4"/>
  <c r="AA29" i="5"/>
  <c r="AA30" i="5" s="1"/>
  <c r="AB29" i="5"/>
  <c r="Z29" i="5"/>
  <c r="AD47" i="40"/>
  <c r="Q58" i="40"/>
  <c r="C58" i="40"/>
  <c r="C29" i="40"/>
  <c r="C30" i="40" s="1"/>
  <c r="AZ28" i="40"/>
  <c r="AZ29" i="40" s="1"/>
  <c r="AZ30" i="40" s="1"/>
  <c r="AZ31" i="40" s="1"/>
  <c r="AZ32" i="40" s="1"/>
  <c r="AZ33" i="40" s="1"/>
  <c r="AZ34" i="40" s="1"/>
  <c r="AZ35" i="40" s="1"/>
  <c r="AZ36" i="40" s="1"/>
  <c r="AZ37" i="40" s="1"/>
  <c r="AZ38" i="40" s="1"/>
  <c r="AZ39" i="40" s="1"/>
  <c r="AZ40" i="40" s="1"/>
  <c r="AZ41" i="40" s="1"/>
  <c r="AZ42" i="40" s="1"/>
  <c r="AZ43" i="40" s="1"/>
  <c r="AZ44" i="40" s="1"/>
  <c r="AZ45" i="40" s="1"/>
  <c r="AZ46" i="40" s="1"/>
  <c r="AZ47" i="40" s="1"/>
  <c r="AB28" i="40"/>
  <c r="AB29" i="40" s="1"/>
  <c r="M28" i="40"/>
  <c r="C28" i="40"/>
  <c r="W26" i="40"/>
  <c r="U26" i="40"/>
  <c r="S26" i="40"/>
  <c r="Q26" i="40"/>
  <c r="O26" i="40"/>
  <c r="M26" i="40"/>
  <c r="K26" i="40"/>
  <c r="AF16" i="40"/>
  <c r="BD15" i="40"/>
  <c r="BD14" i="40"/>
  <c r="A3" i="40"/>
  <c r="A2" i="40"/>
  <c r="A1" i="40"/>
  <c r="AB30" i="5" l="1"/>
  <c r="AB31" i="5" s="1"/>
  <c r="AB32" i="5" s="1"/>
  <c r="AB33" i="5" s="1"/>
  <c r="AB34" i="5" s="1"/>
  <c r="AB35" i="5" s="1"/>
  <c r="AB36" i="5" s="1"/>
  <c r="AB37" i="5" s="1"/>
  <c r="AB38" i="5" s="1"/>
  <c r="AB39" i="5" s="1"/>
  <c r="AB40" i="5" s="1"/>
  <c r="AB41" i="5" s="1"/>
  <c r="AB42" i="5" s="1"/>
  <c r="AB43" i="5" s="1"/>
  <c r="AB44" i="5" s="1"/>
  <c r="AB45" i="5" s="1"/>
  <c r="AB46" i="5" s="1"/>
  <c r="AB47" i="5" s="1"/>
  <c r="AB48" i="5" s="1"/>
  <c r="AB49" i="5" s="1"/>
  <c r="AB50" i="5" s="1"/>
  <c r="AB51" i="5" s="1"/>
  <c r="AB52" i="5" s="1"/>
  <c r="AB53" i="5" s="1"/>
  <c r="AB54" i="5" s="1"/>
  <c r="AB55" i="5" s="1"/>
  <c r="AB56" i="5" s="1"/>
  <c r="AB57" i="5" s="1"/>
  <c r="AB58" i="5" s="1"/>
  <c r="AB59" i="5" s="1"/>
  <c r="AB60" i="5" s="1"/>
  <c r="AB61" i="5" s="1"/>
  <c r="AB62" i="5" s="1"/>
  <c r="AB63" i="5" s="1"/>
  <c r="AB64" i="5" s="1"/>
  <c r="K58" i="43"/>
  <c r="G58" i="47"/>
  <c r="C58" i="47"/>
  <c r="AD58" i="47"/>
  <c r="Q58" i="47"/>
  <c r="O58" i="47"/>
  <c r="Z30" i="5"/>
  <c r="O28" i="54"/>
  <c r="O28" i="56"/>
  <c r="AA31" i="5"/>
  <c r="O28" i="55"/>
  <c r="AJ16" i="51"/>
  <c r="AF11" i="51" s="1"/>
  <c r="BD11" i="51" s="1"/>
  <c r="AJ16" i="69"/>
  <c r="AF11" i="69" s="1"/>
  <c r="AJ16" i="65"/>
  <c r="AF11" i="65" s="1"/>
  <c r="BD11" i="65" s="1"/>
  <c r="AD75" i="65"/>
  <c r="G75" i="65"/>
  <c r="Q75" i="65"/>
  <c r="O58" i="43"/>
  <c r="Q58" i="43"/>
  <c r="Q58" i="56"/>
  <c r="C58" i="56"/>
  <c r="G58" i="56"/>
  <c r="AD58" i="56"/>
  <c r="AF12" i="56" s="1"/>
  <c r="K58" i="56"/>
  <c r="G70" i="59"/>
  <c r="AD70" i="59"/>
  <c r="K70" i="59"/>
  <c r="Q70" i="59"/>
  <c r="I70" i="59"/>
  <c r="K70" i="61"/>
  <c r="Q70" i="61"/>
  <c r="G70" i="61"/>
  <c r="AD70" i="61"/>
  <c r="O70" i="61"/>
  <c r="Q58" i="49"/>
  <c r="AD58" i="49"/>
  <c r="O58" i="49"/>
  <c r="C58" i="49"/>
  <c r="G58" i="49"/>
  <c r="K58" i="49"/>
  <c r="G59" i="67"/>
  <c r="Q59" i="67"/>
  <c r="C59" i="67"/>
  <c r="O59" i="67"/>
  <c r="AD59" i="67"/>
  <c r="I70" i="58"/>
  <c r="Q70" i="58"/>
  <c r="G59" i="66"/>
  <c r="Q59" i="66"/>
  <c r="AD59" i="66"/>
  <c r="O59" i="66"/>
  <c r="C59" i="66"/>
  <c r="C58" i="43"/>
  <c r="AD58" i="43"/>
  <c r="K58" i="54"/>
  <c r="AD58" i="54"/>
  <c r="AF12" i="54" s="1"/>
  <c r="Q58" i="54"/>
  <c r="C58" i="54"/>
  <c r="G58" i="54"/>
  <c r="Q70" i="60"/>
  <c r="K70" i="60"/>
  <c r="AD70" i="60"/>
  <c r="G70" i="60"/>
  <c r="I70" i="60"/>
  <c r="G70" i="62"/>
  <c r="AD70" i="62"/>
  <c r="Q70" i="62"/>
  <c r="K70" i="62"/>
  <c r="O70" i="62"/>
  <c r="K58" i="50"/>
  <c r="O58" i="50"/>
  <c r="Q58" i="50"/>
  <c r="C58" i="50"/>
  <c r="AD58" i="50"/>
  <c r="G58" i="50"/>
  <c r="C59" i="68"/>
  <c r="O59" i="68"/>
  <c r="Q59" i="68"/>
  <c r="AD59" i="68"/>
  <c r="G59" i="68"/>
  <c r="AD58" i="55"/>
  <c r="AF12" i="55" s="1"/>
  <c r="G58" i="55"/>
  <c r="C58" i="55"/>
  <c r="Q58" i="55"/>
  <c r="K58" i="55"/>
  <c r="G70" i="63"/>
  <c r="Q70" i="63"/>
  <c r="AD70" i="63"/>
  <c r="O70" i="63"/>
  <c r="K70" i="63"/>
  <c r="C68" i="70"/>
  <c r="G68" i="70"/>
  <c r="AD68" i="70"/>
  <c r="O68" i="70"/>
  <c r="G58" i="48"/>
  <c r="C58" i="48"/>
  <c r="O58" i="48"/>
  <c r="K58" i="48"/>
  <c r="AD58" i="48"/>
  <c r="Q58" i="48"/>
  <c r="AJ16" i="40"/>
  <c r="AF11" i="40" s="1"/>
  <c r="BD11" i="40" s="1"/>
  <c r="C58" i="42"/>
  <c r="G58" i="42"/>
  <c r="Q58" i="42"/>
  <c r="C29" i="42"/>
  <c r="C30" i="42" s="1"/>
  <c r="C31" i="42" s="1"/>
  <c r="AB28" i="42"/>
  <c r="AD58" i="42"/>
  <c r="AB29" i="42"/>
  <c r="O58" i="42"/>
  <c r="C31" i="40"/>
  <c r="AB30" i="40"/>
  <c r="AF12" i="51" l="1"/>
  <c r="AA32" i="5"/>
  <c r="O29" i="55"/>
  <c r="Z31" i="5"/>
  <c r="O29" i="56"/>
  <c r="O29" i="54"/>
  <c r="AF12" i="65"/>
  <c r="BD11" i="69"/>
  <c r="AF12" i="69"/>
  <c r="C32" i="42"/>
  <c r="AB30" i="42"/>
  <c r="C32" i="40"/>
  <c r="AB31" i="40"/>
  <c r="Z32" i="5" l="1"/>
  <c r="O30" i="54"/>
  <c r="O30" i="56"/>
  <c r="AA33" i="5"/>
  <c r="O30" i="55"/>
  <c r="C33" i="42"/>
  <c r="AB31" i="42"/>
  <c r="C33" i="40"/>
  <c r="AB32" i="40"/>
  <c r="AA34" i="5" l="1"/>
  <c r="O31" i="55"/>
  <c r="Z33" i="5"/>
  <c r="O31" i="56"/>
  <c r="O31" i="54"/>
  <c r="AB32" i="42"/>
  <c r="C34" i="42"/>
  <c r="AB33" i="40"/>
  <c r="C34" i="40"/>
  <c r="Z34" i="5" l="1"/>
  <c r="O32" i="54"/>
  <c r="O32" i="56"/>
  <c r="AA35" i="5"/>
  <c r="O32" i="55"/>
  <c r="C35" i="42"/>
  <c r="AB33" i="42"/>
  <c r="C35" i="40"/>
  <c r="AB34" i="40"/>
  <c r="Z35" i="5" l="1"/>
  <c r="O33" i="56"/>
  <c r="O33" i="54"/>
  <c r="AA36" i="5"/>
  <c r="O33" i="55"/>
  <c r="AB34" i="42"/>
  <c r="C36" i="42"/>
  <c r="C36" i="40"/>
  <c r="AB35" i="40"/>
  <c r="AA37" i="5" l="1"/>
  <c r="O34" i="55"/>
  <c r="Z36" i="5"/>
  <c r="O34" i="54"/>
  <c r="O34" i="56"/>
  <c r="C37" i="42"/>
  <c r="AB35" i="42"/>
  <c r="C37" i="40"/>
  <c r="AB36" i="40"/>
  <c r="Z37" i="5" l="1"/>
  <c r="O35" i="56"/>
  <c r="O35" i="54"/>
  <c r="AA38" i="5"/>
  <c r="O35" i="55"/>
  <c r="AB36" i="42"/>
  <c r="C38" i="42"/>
  <c r="AB37" i="40"/>
  <c r="C38" i="40"/>
  <c r="AA39" i="5" l="1"/>
  <c r="O36" i="55"/>
  <c r="Z38" i="5"/>
  <c r="O36" i="54"/>
  <c r="O36" i="56"/>
  <c r="C39" i="42"/>
  <c r="AB37" i="42"/>
  <c r="AB38" i="40"/>
  <c r="C39" i="40"/>
  <c r="Z39" i="5" l="1"/>
  <c r="O37" i="56"/>
  <c r="O37" i="54"/>
  <c r="AA40" i="5"/>
  <c r="O37" i="55"/>
  <c r="C40" i="42"/>
  <c r="AB38" i="42"/>
  <c r="C40" i="40"/>
  <c r="AB39" i="40"/>
  <c r="AA41" i="5" l="1"/>
  <c r="O38" i="55"/>
  <c r="Z40" i="5"/>
  <c r="O38" i="54"/>
  <c r="O38" i="56"/>
  <c r="AB39" i="42"/>
  <c r="C41" i="42"/>
  <c r="C41" i="40"/>
  <c r="AB40" i="40"/>
  <c r="Z41" i="5" l="1"/>
  <c r="O39" i="56"/>
  <c r="O39" i="54"/>
  <c r="AA42" i="5"/>
  <c r="O39" i="55"/>
  <c r="AB40" i="42"/>
  <c r="C42" i="42"/>
  <c r="C42" i="40"/>
  <c r="AB41" i="40"/>
  <c r="AA43" i="5" l="1"/>
  <c r="O40" i="55"/>
  <c r="Z42" i="5"/>
  <c r="O40" i="54"/>
  <c r="O40" i="56"/>
  <c r="C43" i="42"/>
  <c r="AB41" i="42"/>
  <c r="AB42" i="40"/>
  <c r="C43" i="40"/>
  <c r="Z43" i="5" l="1"/>
  <c r="O41" i="54"/>
  <c r="O41" i="56"/>
  <c r="AA44" i="5"/>
  <c r="O41" i="55"/>
  <c r="AB42" i="42"/>
  <c r="C44" i="42"/>
  <c r="AB43" i="40"/>
  <c r="C44" i="40"/>
  <c r="AA45" i="5" l="1"/>
  <c r="O42" i="55"/>
  <c r="Z44" i="5"/>
  <c r="O42" i="54"/>
  <c r="O42" i="56"/>
  <c r="C45" i="42"/>
  <c r="AB43" i="42"/>
  <c r="AB44" i="40"/>
  <c r="C45" i="40"/>
  <c r="Z45" i="5" l="1"/>
  <c r="O43" i="56"/>
  <c r="O43" i="54"/>
  <c r="AA46" i="5"/>
  <c r="O43" i="55"/>
  <c r="C46" i="42"/>
  <c r="AB44" i="42"/>
  <c r="AB45" i="40"/>
  <c r="C46" i="40"/>
  <c r="C47" i="40" s="1"/>
  <c r="AA47" i="5" l="1"/>
  <c r="O44" i="55"/>
  <c r="Z46" i="5"/>
  <c r="O44" i="54"/>
  <c r="O44" i="56"/>
  <c r="AB45" i="42"/>
  <c r="C47" i="42"/>
  <c r="AB46" i="40"/>
  <c r="AB47" i="40" s="1"/>
  <c r="Z47" i="5" l="1"/>
  <c r="O45" i="56"/>
  <c r="O45" i="54"/>
  <c r="AA48" i="5"/>
  <c r="O45" i="55"/>
  <c r="AB46" i="42"/>
  <c r="AA49" i="5" l="1"/>
  <c r="O46" i="55"/>
  <c r="Z48" i="5"/>
  <c r="O46" i="54"/>
  <c r="O46" i="56"/>
  <c r="AB47" i="42"/>
  <c r="Z49" i="5" l="1"/>
  <c r="Z50" i="5" s="1"/>
  <c r="O47" i="56"/>
  <c r="O58" i="56" s="1"/>
  <c r="O47" i="54"/>
  <c r="O58" i="54" s="1"/>
  <c r="AA50" i="5"/>
  <c r="O47" i="55"/>
  <c r="O58" i="55" s="1"/>
  <c r="K58" i="40"/>
  <c r="AJ15" i="68" l="1"/>
  <c r="AJ15" i="67"/>
  <c r="AJ15" i="66"/>
  <c r="AJ15" i="49"/>
  <c r="AJ15" i="48"/>
  <c r="AJ15" i="50"/>
  <c r="AJ15" i="47"/>
  <c r="G43" i="32"/>
  <c r="G30" i="32"/>
  <c r="G33" i="32"/>
  <c r="AD39" i="31" l="1"/>
  <c r="AF12" i="31" s="1"/>
  <c r="AD38" i="31"/>
  <c r="AD37" i="31"/>
  <c r="AD36" i="31"/>
  <c r="AD35" i="31"/>
  <c r="AD34" i="31"/>
  <c r="AD33" i="31"/>
  <c r="AD32" i="31"/>
  <c r="AD31" i="31"/>
  <c r="BB30" i="31"/>
  <c r="BB31" i="31" s="1"/>
  <c r="AD30" i="31"/>
  <c r="BD29" i="31"/>
  <c r="BB29" i="31"/>
  <c r="AR29" i="31"/>
  <c r="AJ29" i="31"/>
  <c r="AH29" i="31"/>
  <c r="AH30" i="31" s="1"/>
  <c r="AH31" i="31" s="1"/>
  <c r="AH32" i="31" s="1"/>
  <c r="AH33" i="31" s="1"/>
  <c r="AH34" i="31" s="1"/>
  <c r="AH35" i="31" s="1"/>
  <c r="AH36" i="31" s="1"/>
  <c r="AH37" i="31" s="1"/>
  <c r="AH38" i="31" s="1"/>
  <c r="AH39" i="31" s="1"/>
  <c r="AF29" i="31"/>
  <c r="AD29" i="31"/>
  <c r="M29" i="31"/>
  <c r="M30" i="31" s="1"/>
  <c r="M31" i="31" s="1"/>
  <c r="M32" i="31" s="1"/>
  <c r="M33" i="31" s="1"/>
  <c r="M34" i="31" s="1"/>
  <c r="M35" i="31" s="1"/>
  <c r="M36" i="31" s="1"/>
  <c r="M37" i="31" s="1"/>
  <c r="BF28" i="31"/>
  <c r="AZ28" i="31"/>
  <c r="AZ29" i="31" s="1"/>
  <c r="AZ30" i="31" s="1"/>
  <c r="AZ31" i="31" s="1"/>
  <c r="AZ32" i="31" s="1"/>
  <c r="AZ33" i="31" s="1"/>
  <c r="AZ34" i="31" s="1"/>
  <c r="AZ35" i="31" s="1"/>
  <c r="AZ36" i="31" s="1"/>
  <c r="AZ37" i="31" s="1"/>
  <c r="AZ38" i="31" s="1"/>
  <c r="AZ39" i="31" s="1"/>
  <c r="AZ40" i="31" s="1"/>
  <c r="AZ41" i="31" s="1"/>
  <c r="AZ42" i="31" s="1"/>
  <c r="AZ43" i="31" s="1"/>
  <c r="AZ44" i="31" s="1"/>
  <c r="AZ45" i="31" s="1"/>
  <c r="AZ46" i="31" s="1"/>
  <c r="AZ47" i="31" s="1"/>
  <c r="AZ48" i="31" s="1"/>
  <c r="AZ49" i="31" s="1"/>
  <c r="AZ50" i="31" s="1"/>
  <c r="AZ51" i="31" s="1"/>
  <c r="AZ52" i="31" s="1"/>
  <c r="AZ53" i="31" s="1"/>
  <c r="AZ54" i="31" s="1"/>
  <c r="AZ55" i="31" s="1"/>
  <c r="AZ56" i="31" s="1"/>
  <c r="AZ57" i="31" s="1"/>
  <c r="AZ58" i="31" s="1"/>
  <c r="AZ59" i="31" s="1"/>
  <c r="AZ60" i="31" s="1"/>
  <c r="AZ61" i="31" s="1"/>
  <c r="AZ62" i="31" s="1"/>
  <c r="AZ63" i="31" s="1"/>
  <c r="AZ64" i="31" s="1"/>
  <c r="AZ65" i="31" s="1"/>
  <c r="AZ66" i="31" s="1"/>
  <c r="AZ67" i="31" s="1"/>
  <c r="AZ68" i="31" s="1"/>
  <c r="AZ69" i="31" s="1"/>
  <c r="AZ70" i="31" s="1"/>
  <c r="AB28" i="31"/>
  <c r="AB29" i="31" s="1"/>
  <c r="M28" i="31"/>
  <c r="K28" i="31"/>
  <c r="I29" i="31"/>
  <c r="G28" i="31"/>
  <c r="C28" i="3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W26" i="31"/>
  <c r="U26" i="31"/>
  <c r="S26" i="31"/>
  <c r="Q26" i="31"/>
  <c r="O26" i="31"/>
  <c r="M26" i="31"/>
  <c r="K26" i="31"/>
  <c r="G19" i="31"/>
  <c r="BD40" i="31"/>
  <c r="BB40" i="31"/>
  <c r="M38" i="31" l="1"/>
  <c r="M39" i="31" s="1"/>
  <c r="S37" i="31"/>
  <c r="AB30" i="31"/>
  <c r="BF40" i="31"/>
  <c r="BB32" i="31"/>
  <c r="I30" i="31"/>
  <c r="AD28" i="31"/>
  <c r="BD30" i="31"/>
  <c r="BD31" i="31" s="1"/>
  <c r="BD32" i="31" s="1"/>
  <c r="BD33" i="31" s="1"/>
  <c r="BD34" i="31" s="1"/>
  <c r="BD35" i="31" s="1"/>
  <c r="BD36" i="31" s="1"/>
  <c r="BD37" i="31" s="1"/>
  <c r="BD38" i="31" s="1"/>
  <c r="BD39" i="31" s="1"/>
  <c r="S28" i="31"/>
  <c r="BF29" i="31"/>
  <c r="AT29" i="31" s="1"/>
  <c r="AF30" i="31"/>
  <c r="K29" i="31"/>
  <c r="K30" i="31" s="1"/>
  <c r="K31" i="31" s="1"/>
  <c r="K32" i="31" s="1"/>
  <c r="K33" i="31" s="1"/>
  <c r="K34" i="31" s="1"/>
  <c r="K35" i="31" s="1"/>
  <c r="K36" i="31" s="1"/>
  <c r="K37" i="31" s="1"/>
  <c r="K38" i="31" s="1"/>
  <c r="K39" i="31" s="1"/>
  <c r="BF30" i="31"/>
  <c r="AJ30" i="31"/>
  <c r="AJ31" i="31" s="1"/>
  <c r="AJ32" i="31" s="1"/>
  <c r="AJ33" i="31" s="1"/>
  <c r="AJ34" i="31" s="1"/>
  <c r="AJ35" i="31" s="1"/>
  <c r="AJ36" i="31" s="1"/>
  <c r="AJ37" i="31" s="1"/>
  <c r="AJ38" i="31" s="1"/>
  <c r="AJ39" i="31" s="1"/>
  <c r="AR30" i="31"/>
  <c r="AR31" i="31" s="1"/>
  <c r="AR32" i="31" s="1"/>
  <c r="AR33" i="31" s="1"/>
  <c r="AR34" i="31" s="1"/>
  <c r="AR35" i="31" s="1"/>
  <c r="AR36" i="31" s="1"/>
  <c r="AR37" i="31" s="1"/>
  <c r="AR38" i="31" s="1"/>
  <c r="AR39" i="31" s="1"/>
  <c r="AB31" i="31" l="1"/>
  <c r="AL28" i="31"/>
  <c r="S29" i="31"/>
  <c r="AF31" i="31"/>
  <c r="AT30" i="31"/>
  <c r="BB33" i="31"/>
  <c r="BF32" i="31"/>
  <c r="BF31" i="31"/>
  <c r="S30" i="31"/>
  <c r="I31" i="31"/>
  <c r="AB32" i="31" l="1"/>
  <c r="AT28" i="31"/>
  <c r="BB34" i="31"/>
  <c r="BF33" i="31"/>
  <c r="S31" i="31"/>
  <c r="I32" i="31"/>
  <c r="AF32" i="31"/>
  <c r="AT31" i="31"/>
  <c r="AB33" i="31" l="1"/>
  <c r="S32" i="31"/>
  <c r="I33" i="31"/>
  <c r="AF33" i="31"/>
  <c r="AT32" i="31"/>
  <c r="BF34" i="31"/>
  <c r="AB34" i="31" l="1"/>
  <c r="AF34" i="31"/>
  <c r="AT33" i="31"/>
  <c r="S33" i="31"/>
  <c r="I34" i="31"/>
  <c r="BB36" i="31"/>
  <c r="BF35" i="31"/>
  <c r="AB35" i="31" l="1"/>
  <c r="S34" i="31"/>
  <c r="I35" i="31"/>
  <c r="BB37" i="31"/>
  <c r="BF36" i="31"/>
  <c r="AF35" i="31"/>
  <c r="AB36" i="31" l="1"/>
  <c r="AT34" i="31"/>
  <c r="AT35" i="31"/>
  <c r="AF36" i="31"/>
  <c r="BB38" i="31"/>
  <c r="BF37" i="31"/>
  <c r="S35" i="31"/>
  <c r="I36" i="31"/>
  <c r="AB37" i="31" l="1"/>
  <c r="S36" i="31"/>
  <c r="I37" i="31"/>
  <c r="BB39" i="31"/>
  <c r="BF38" i="31"/>
  <c r="AF37" i="31"/>
  <c r="AT36" i="31"/>
  <c r="AB38" i="31" l="1"/>
  <c r="I38" i="31"/>
  <c r="AF38" i="31"/>
  <c r="AT37" i="31"/>
  <c r="BF39" i="31"/>
  <c r="AB39" i="31" l="1"/>
  <c r="S38" i="31"/>
  <c r="I39" i="31"/>
  <c r="AF39" i="31"/>
  <c r="AT38" i="31"/>
  <c r="AB40" i="31" l="1"/>
  <c r="AB41" i="31" s="1"/>
  <c r="AB42" i="31" s="1"/>
  <c r="AB43" i="31" s="1"/>
  <c r="AB44" i="31" s="1"/>
  <c r="AB45" i="31" s="1"/>
  <c r="AB46" i="31" s="1"/>
  <c r="AB47" i="31" s="1"/>
  <c r="AB48" i="31" s="1"/>
  <c r="AB49" i="31" s="1"/>
  <c r="AB50" i="31" s="1"/>
  <c r="AB51" i="31" s="1"/>
  <c r="AB52" i="31" s="1"/>
  <c r="AB53" i="31" s="1"/>
  <c r="AB54" i="31" s="1"/>
  <c r="AB55" i="31" s="1"/>
  <c r="AB56" i="31" s="1"/>
  <c r="AB57" i="31" s="1"/>
  <c r="AB58" i="31" s="1"/>
  <c r="AB59" i="31" s="1"/>
  <c r="AB60" i="31" s="1"/>
  <c r="AT39" i="31"/>
  <c r="S39" i="31"/>
  <c r="AB61" i="31" l="1"/>
  <c r="AB62" i="31" l="1"/>
  <c r="AB63" i="31" l="1"/>
  <c r="AB64" i="31" l="1"/>
  <c r="AB65" i="31" l="1"/>
  <c r="AB66" i="31" l="1"/>
  <c r="AB67" i="31" l="1"/>
  <c r="AB68" i="31" l="1"/>
  <c r="AB69" i="31" l="1"/>
  <c r="AB70" i="31" l="1"/>
  <c r="G15" i="21" l="1"/>
  <c r="AD71" i="30" l="1"/>
  <c r="AD70" i="30"/>
  <c r="AD69" i="30"/>
  <c r="AD68" i="30"/>
  <c r="AD67" i="30"/>
  <c r="AD66" i="30"/>
  <c r="AD65" i="30"/>
  <c r="AD64" i="30"/>
  <c r="AD63" i="30"/>
  <c r="AD62" i="30"/>
  <c r="AD61" i="30"/>
  <c r="AD60" i="30"/>
  <c r="AD59" i="30"/>
  <c r="AD58" i="30"/>
  <c r="AD57" i="30"/>
  <c r="AD56" i="30"/>
  <c r="AD55" i="30"/>
  <c r="AD54" i="30"/>
  <c r="AD53" i="30"/>
  <c r="AD52" i="30"/>
  <c r="AD51" i="30"/>
  <c r="AD50" i="30"/>
  <c r="AD49" i="30"/>
  <c r="AD48" i="30"/>
  <c r="AD47" i="30"/>
  <c r="AD46" i="30"/>
  <c r="AD45" i="30"/>
  <c r="AD44" i="30"/>
  <c r="AD43" i="30"/>
  <c r="AD42" i="30"/>
  <c r="G41" i="30"/>
  <c r="AD41" i="30" s="1"/>
  <c r="AP40" i="30"/>
  <c r="AD40" i="30"/>
  <c r="AP39" i="30"/>
  <c r="AD39" i="30"/>
  <c r="AP38" i="30"/>
  <c r="AD38" i="30"/>
  <c r="AP37" i="30"/>
  <c r="AD37" i="30"/>
  <c r="AP36" i="30"/>
  <c r="AD36" i="30"/>
  <c r="AP35" i="30"/>
  <c r="AD35" i="30"/>
  <c r="K35" i="30"/>
  <c r="K36" i="30" s="1"/>
  <c r="K37" i="30" s="1"/>
  <c r="K38" i="30" s="1"/>
  <c r="K39" i="30" s="1"/>
  <c r="K40" i="30" s="1"/>
  <c r="AP34" i="30"/>
  <c r="AD34" i="30"/>
  <c r="AP33" i="30"/>
  <c r="AD33" i="30"/>
  <c r="AP32" i="30"/>
  <c r="AD32" i="30"/>
  <c r="AP31" i="30"/>
  <c r="AD31" i="30"/>
  <c r="K31" i="30"/>
  <c r="K32" i="30" s="1"/>
  <c r="K33" i="30" s="1"/>
  <c r="K34" i="30" s="1"/>
  <c r="BD30" i="30"/>
  <c r="BD31" i="30" s="1"/>
  <c r="BD32" i="30" s="1"/>
  <c r="BD33" i="30" s="1"/>
  <c r="BD34" i="30" s="1"/>
  <c r="BD35" i="30" s="1"/>
  <c r="BD36" i="30" s="1"/>
  <c r="BD37" i="30" s="1"/>
  <c r="BD38" i="30" s="1"/>
  <c r="BD39" i="30" s="1"/>
  <c r="BD40" i="30" s="1"/>
  <c r="AP30" i="30"/>
  <c r="AF30" i="30"/>
  <c r="AF31" i="30" s="1"/>
  <c r="AD30" i="30"/>
  <c r="K30" i="30"/>
  <c r="BD29" i="30"/>
  <c r="BB29" i="30"/>
  <c r="AP29" i="30"/>
  <c r="AF29" i="30"/>
  <c r="AD29" i="30"/>
  <c r="AB29" i="30"/>
  <c r="AB30" i="30" s="1"/>
  <c r="AB31" i="30" s="1"/>
  <c r="AB32" i="30" s="1"/>
  <c r="AB33" i="30" s="1"/>
  <c r="AB34" i="30" s="1"/>
  <c r="AB35" i="30" s="1"/>
  <c r="AB36" i="30" s="1"/>
  <c r="AB37" i="30" s="1"/>
  <c r="AB38" i="30" s="1"/>
  <c r="AB39" i="30" s="1"/>
  <c r="AB40" i="30" s="1"/>
  <c r="AB41" i="30" s="1"/>
  <c r="K29" i="30"/>
  <c r="I29" i="30"/>
  <c r="BD28" i="30"/>
  <c r="BB28" i="30"/>
  <c r="AZ28" i="30"/>
  <c r="AZ29" i="30" s="1"/>
  <c r="AZ30" i="30" s="1"/>
  <c r="AZ31" i="30" s="1"/>
  <c r="AZ32" i="30" s="1"/>
  <c r="AZ33" i="30" s="1"/>
  <c r="AZ34" i="30" s="1"/>
  <c r="AZ35" i="30" s="1"/>
  <c r="AZ36" i="30" s="1"/>
  <c r="AZ37" i="30" s="1"/>
  <c r="AZ38" i="30" s="1"/>
  <c r="AZ39" i="30" s="1"/>
  <c r="AZ40" i="30" s="1"/>
  <c r="AZ41" i="30" s="1"/>
  <c r="AZ42" i="30" s="1"/>
  <c r="AZ43" i="30" s="1"/>
  <c r="AZ44" i="30" s="1"/>
  <c r="AZ45" i="30" s="1"/>
  <c r="AZ46" i="30" s="1"/>
  <c r="AZ47" i="30" s="1"/>
  <c r="AZ48" i="30" s="1"/>
  <c r="AZ49" i="30" s="1"/>
  <c r="AZ50" i="30" s="1"/>
  <c r="AZ51" i="30" s="1"/>
  <c r="AZ52" i="30" s="1"/>
  <c r="AZ53" i="30" s="1"/>
  <c r="AZ54" i="30" s="1"/>
  <c r="AZ55" i="30" s="1"/>
  <c r="AZ56" i="30" s="1"/>
  <c r="AZ57" i="30" s="1"/>
  <c r="AZ58" i="30" s="1"/>
  <c r="AZ59" i="30" s="1"/>
  <c r="AZ60" i="30" s="1"/>
  <c r="AZ61" i="30" s="1"/>
  <c r="AZ62" i="30" s="1"/>
  <c r="AZ63" i="30" s="1"/>
  <c r="AZ64" i="30" s="1"/>
  <c r="AZ65" i="30" s="1"/>
  <c r="AZ66" i="30" s="1"/>
  <c r="AZ67" i="30" s="1"/>
  <c r="AZ68" i="30" s="1"/>
  <c r="AZ69" i="30" s="1"/>
  <c r="AZ70" i="30" s="1"/>
  <c r="AZ71" i="30" s="1"/>
  <c r="AR28" i="30"/>
  <c r="AP28" i="30"/>
  <c r="AJ28" i="30"/>
  <c r="AH28" i="30"/>
  <c r="AF28" i="30"/>
  <c r="AB28" i="30"/>
  <c r="K28" i="30"/>
  <c r="I28" i="30"/>
  <c r="G28" i="30"/>
  <c r="C28" i="30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W26" i="30"/>
  <c r="U26" i="30"/>
  <c r="S26" i="30"/>
  <c r="Q26" i="30"/>
  <c r="O26" i="30"/>
  <c r="M26" i="30"/>
  <c r="K26" i="30"/>
  <c r="G19" i="30"/>
  <c r="BD41" i="30"/>
  <c r="BB41" i="30"/>
  <c r="BD11" i="30"/>
  <c r="BD42" i="30" l="1"/>
  <c r="BD43" i="30" s="1"/>
  <c r="BD44" i="30" s="1"/>
  <c r="BB42" i="30"/>
  <c r="BB43" i="30" s="1"/>
  <c r="AJ29" i="30"/>
  <c r="AJ30" i="30" s="1"/>
  <c r="AJ31" i="30" s="1"/>
  <c r="AJ32" i="30" s="1"/>
  <c r="AJ33" i="30" s="1"/>
  <c r="AJ34" i="30" s="1"/>
  <c r="AJ35" i="30" s="1"/>
  <c r="AJ36" i="30" s="1"/>
  <c r="AJ37" i="30" s="1"/>
  <c r="AJ38" i="30" s="1"/>
  <c r="AJ39" i="30" s="1"/>
  <c r="AJ40" i="30" s="1"/>
  <c r="AB42" i="30"/>
  <c r="BB30" i="30"/>
  <c r="BF29" i="30"/>
  <c r="I30" i="30"/>
  <c r="AF32" i="30"/>
  <c r="BD45" i="30"/>
  <c r="BD46" i="30" s="1"/>
  <c r="BD47" i="30" s="1"/>
  <c r="BD48" i="30" s="1"/>
  <c r="BD49" i="30" s="1"/>
  <c r="BD50" i="30" s="1"/>
  <c r="BD51" i="30" s="1"/>
  <c r="BD52" i="30" s="1"/>
  <c r="BD53" i="30" s="1"/>
  <c r="BD54" i="30" s="1"/>
  <c r="BD55" i="30" s="1"/>
  <c r="BD56" i="30" s="1"/>
  <c r="BD57" i="30" s="1"/>
  <c r="BD58" i="30" s="1"/>
  <c r="BD59" i="30" s="1"/>
  <c r="BD60" i="30" s="1"/>
  <c r="BD61" i="30" s="1"/>
  <c r="BD62" i="30" s="1"/>
  <c r="BD63" i="30" s="1"/>
  <c r="BD64" i="30" s="1"/>
  <c r="BD65" i="30" s="1"/>
  <c r="BD66" i="30" s="1"/>
  <c r="BD67" i="30" s="1"/>
  <c r="BD68" i="30" s="1"/>
  <c r="BD69" i="30" s="1"/>
  <c r="BD70" i="30" s="1"/>
  <c r="BD71" i="30" s="1"/>
  <c r="BF28" i="30"/>
  <c r="M29" i="30"/>
  <c r="M30" i="30" s="1"/>
  <c r="M31" i="30" s="1"/>
  <c r="M32" i="30" s="1"/>
  <c r="M33" i="30" s="1"/>
  <c r="M34" i="30" s="1"/>
  <c r="M35" i="30" s="1"/>
  <c r="M36" i="30" s="1"/>
  <c r="M37" i="30" s="1"/>
  <c r="M38" i="30" s="1"/>
  <c r="M39" i="30" s="1"/>
  <c r="M40" i="30" s="1"/>
  <c r="M41" i="30" s="1"/>
  <c r="M42" i="30" s="1"/>
  <c r="M43" i="30" s="1"/>
  <c r="M44" i="30" s="1"/>
  <c r="M45" i="30" s="1"/>
  <c r="M46" i="30" s="1"/>
  <c r="M47" i="30" s="1"/>
  <c r="M48" i="30" s="1"/>
  <c r="M49" i="30" s="1"/>
  <c r="M50" i="30" s="1"/>
  <c r="M51" i="30" s="1"/>
  <c r="M52" i="30" s="1"/>
  <c r="M53" i="30" s="1"/>
  <c r="M54" i="30" s="1"/>
  <c r="M55" i="30" s="1"/>
  <c r="M56" i="30" s="1"/>
  <c r="M57" i="30" s="1"/>
  <c r="M58" i="30" s="1"/>
  <c r="M59" i="30" s="1"/>
  <c r="M60" i="30" s="1"/>
  <c r="M61" i="30" s="1"/>
  <c r="M62" i="30" s="1"/>
  <c r="M63" i="30" s="1"/>
  <c r="M64" i="30" s="1"/>
  <c r="M65" i="30" s="1"/>
  <c r="M66" i="30" s="1"/>
  <c r="M67" i="30" s="1"/>
  <c r="M68" i="30" s="1"/>
  <c r="AR29" i="30"/>
  <c r="G73" i="30"/>
  <c r="AD28" i="30"/>
  <c r="AD73" i="30" s="1"/>
  <c r="S28" i="30"/>
  <c r="AH29" i="30"/>
  <c r="O73" i="30"/>
  <c r="K73" i="30"/>
  <c r="Q73" i="30"/>
  <c r="S61" i="30" l="1"/>
  <c r="S56" i="30"/>
  <c r="AL28" i="30"/>
  <c r="S66" i="30"/>
  <c r="S63" i="30"/>
  <c r="S53" i="30"/>
  <c r="BB44" i="30"/>
  <c r="AT28" i="30"/>
  <c r="AV28" i="30"/>
  <c r="S60" i="30"/>
  <c r="S29" i="30"/>
  <c r="S62" i="30"/>
  <c r="S64" i="30"/>
  <c r="M69" i="30"/>
  <c r="S68" i="30"/>
  <c r="AF33" i="30"/>
  <c r="S58" i="30"/>
  <c r="S57" i="30"/>
  <c r="S65" i="30"/>
  <c r="AF12" i="30"/>
  <c r="AB43" i="30"/>
  <c r="S59" i="30"/>
  <c r="S67" i="30"/>
  <c r="BD73" i="30"/>
  <c r="AH30" i="30"/>
  <c r="AL29" i="30"/>
  <c r="AT29" i="30" s="1"/>
  <c r="AR30" i="30"/>
  <c r="AV29" i="30"/>
  <c r="S55" i="30"/>
  <c r="I31" i="30"/>
  <c r="S30" i="30"/>
  <c r="BB31" i="30"/>
  <c r="BF30" i="30"/>
  <c r="AX29" i="30" l="1"/>
  <c r="U29" i="30" s="1"/>
  <c r="BB32" i="30"/>
  <c r="BF31" i="30"/>
  <c r="I32" i="30"/>
  <c r="S31" i="30"/>
  <c r="BB45" i="30"/>
  <c r="AB44" i="30"/>
  <c r="W29" i="30"/>
  <c r="Y29" i="30" s="1"/>
  <c r="AX28" i="30"/>
  <c r="AL30" i="30"/>
  <c r="AT30" i="30" s="1"/>
  <c r="AH31" i="30"/>
  <c r="AF34" i="30"/>
  <c r="M70" i="30"/>
  <c r="S69" i="30"/>
  <c r="AR31" i="30"/>
  <c r="AV30" i="30"/>
  <c r="BF32" i="30" l="1"/>
  <c r="BB33" i="30"/>
  <c r="AR32" i="30"/>
  <c r="AV31" i="30"/>
  <c r="AF35" i="30"/>
  <c r="AH32" i="30"/>
  <c r="AL31" i="30"/>
  <c r="I33" i="30"/>
  <c r="S32" i="30"/>
  <c r="AX30" i="30"/>
  <c r="U30" i="30" s="1"/>
  <c r="W30" i="30" s="1"/>
  <c r="Y30" i="30" s="1"/>
  <c r="BB46" i="30"/>
  <c r="M71" i="30"/>
  <c r="S71" i="30" s="1"/>
  <c r="S70" i="30"/>
  <c r="U28" i="30"/>
  <c r="AB45" i="30"/>
  <c r="M73" i="30" l="1"/>
  <c r="AB46" i="30"/>
  <c r="BB47" i="30"/>
  <c r="S33" i="30"/>
  <c r="I34" i="30"/>
  <c r="AH33" i="30"/>
  <c r="AL32" i="30"/>
  <c r="AT32" i="30" s="1"/>
  <c r="AR33" i="30"/>
  <c r="AV32" i="30"/>
  <c r="AF36" i="30"/>
  <c r="BB34" i="30"/>
  <c r="BF33" i="30"/>
  <c r="AT31" i="30"/>
  <c r="W28" i="30"/>
  <c r="AX32" i="30" l="1"/>
  <c r="U32" i="30" s="1"/>
  <c r="W32" i="30" s="1"/>
  <c r="Y32" i="30" s="1"/>
  <c r="I35" i="30"/>
  <c r="S34" i="30"/>
  <c r="AB47" i="30"/>
  <c r="AR34" i="30"/>
  <c r="AV33" i="30"/>
  <c r="Y28" i="30"/>
  <c r="AF37" i="30"/>
  <c r="AX31" i="30"/>
  <c r="BB35" i="30"/>
  <c r="BF34" i="30"/>
  <c r="AH34" i="30"/>
  <c r="AL33" i="30"/>
  <c r="BB48" i="30"/>
  <c r="AT33" i="30" l="1"/>
  <c r="U31" i="30"/>
  <c r="AF38" i="30"/>
  <c r="AR35" i="30"/>
  <c r="AV34" i="30"/>
  <c r="I36" i="30"/>
  <c r="S35" i="30"/>
  <c r="BB49" i="30"/>
  <c r="BF35" i="30"/>
  <c r="BB36" i="30"/>
  <c r="AB48" i="30"/>
  <c r="AH35" i="30"/>
  <c r="AL34" i="30"/>
  <c r="AT34" i="30" s="1"/>
  <c r="AX34" i="30" s="1"/>
  <c r="U34" i="30" s="1"/>
  <c r="W34" i="30" s="1"/>
  <c r="Y34" i="30" s="1"/>
  <c r="BF36" i="30" l="1"/>
  <c r="BB37" i="30"/>
  <c r="AB49" i="30"/>
  <c r="AF39" i="30"/>
  <c r="AX33" i="30"/>
  <c r="W31" i="30"/>
  <c r="AH36" i="30"/>
  <c r="AL35" i="30"/>
  <c r="AT35" i="30" s="1"/>
  <c r="BB50" i="30"/>
  <c r="I37" i="30"/>
  <c r="S36" i="30"/>
  <c r="AR36" i="30"/>
  <c r="AV35" i="30"/>
  <c r="AH37" i="30" l="1"/>
  <c r="AL36" i="30"/>
  <c r="AT36" i="30" s="1"/>
  <c r="AF40" i="30"/>
  <c r="AR37" i="30"/>
  <c r="AV36" i="30"/>
  <c r="BB51" i="30"/>
  <c r="Y31" i="30"/>
  <c r="U33" i="30"/>
  <c r="BB38" i="30"/>
  <c r="BF37" i="30"/>
  <c r="S37" i="30"/>
  <c r="I38" i="30"/>
  <c r="AX35" i="30"/>
  <c r="U35" i="30" s="1"/>
  <c r="W35" i="30" s="1"/>
  <c r="Y35" i="30" s="1"/>
  <c r="AB50" i="30"/>
  <c r="AR38" i="30" l="1"/>
  <c r="AV37" i="30"/>
  <c r="AB51" i="30"/>
  <c r="BB39" i="30"/>
  <c r="BF38" i="30"/>
  <c r="BB52" i="30"/>
  <c r="AX36" i="30"/>
  <c r="U36" i="30" s="1"/>
  <c r="W36" i="30" s="1"/>
  <c r="Y36" i="30" s="1"/>
  <c r="I39" i="30"/>
  <c r="S38" i="30"/>
  <c r="W33" i="30"/>
  <c r="AH38" i="30"/>
  <c r="AL37" i="30"/>
  <c r="AT37" i="30" s="1"/>
  <c r="AX37" i="30" l="1"/>
  <c r="U37" i="30" s="1"/>
  <c r="W37" i="30" s="1"/>
  <c r="Y37" i="30" s="1"/>
  <c r="AH39" i="30"/>
  <c r="AL38" i="30"/>
  <c r="AT38" i="30" s="1"/>
  <c r="I40" i="30"/>
  <c r="S40" i="30" s="1"/>
  <c r="S39" i="30"/>
  <c r="AR39" i="30"/>
  <c r="AV38" i="30"/>
  <c r="BB40" i="30"/>
  <c r="BF40" i="30" s="1"/>
  <c r="BF39" i="30"/>
  <c r="Y33" i="30"/>
  <c r="BB53" i="30"/>
  <c r="AB52" i="30"/>
  <c r="AB53" i="30" l="1"/>
  <c r="AR40" i="30"/>
  <c r="AV39" i="30"/>
  <c r="BB54" i="30"/>
  <c r="AX38" i="30"/>
  <c r="U38" i="30" s="1"/>
  <c r="AH40" i="30"/>
  <c r="AL39" i="30"/>
  <c r="AT39" i="30" s="1"/>
  <c r="AL40" i="30" l="1"/>
  <c r="AT40" i="30" s="1"/>
  <c r="W38" i="30"/>
  <c r="BB55" i="30"/>
  <c r="AV40" i="30"/>
  <c r="AR41" i="30"/>
  <c r="AX39" i="30"/>
  <c r="U39" i="30" s="1"/>
  <c r="W39" i="30" s="1"/>
  <c r="Y39" i="30" s="1"/>
  <c r="AB54" i="30"/>
  <c r="Y38" i="30" l="1"/>
  <c r="AX40" i="30"/>
  <c r="U40" i="30" s="1"/>
  <c r="W40" i="30" s="1"/>
  <c r="Y40" i="30" s="1"/>
  <c r="AB55" i="30"/>
  <c r="AR42" i="30"/>
  <c r="S41" i="30"/>
  <c r="BB56" i="30"/>
  <c r="AR43" i="30" l="1"/>
  <c r="S42" i="30"/>
  <c r="AB56" i="30"/>
  <c r="BB57" i="30"/>
  <c r="BB58" i="30" l="1"/>
  <c r="AB57" i="30"/>
  <c r="S43" i="30"/>
  <c r="AR44" i="30"/>
  <c r="BB59" i="30" l="1"/>
  <c r="AR45" i="30"/>
  <c r="S44" i="30"/>
  <c r="AB58" i="30"/>
  <c r="BB60" i="30" l="1"/>
  <c r="AB59" i="30"/>
  <c r="S45" i="30"/>
  <c r="AR46" i="30"/>
  <c r="AB60" i="30" l="1"/>
  <c r="AR47" i="30"/>
  <c r="BB61" i="30"/>
  <c r="S46" i="30"/>
  <c r="S47" i="30" l="1"/>
  <c r="AB61" i="30"/>
  <c r="BB62" i="30"/>
  <c r="AR48" i="30"/>
  <c r="AR49" i="30" l="1"/>
  <c r="AB62" i="30"/>
  <c r="BB63" i="30"/>
  <c r="S48" i="30"/>
  <c r="S49" i="30" l="1"/>
  <c r="BB64" i="30"/>
  <c r="AB63" i="30"/>
  <c r="AR50" i="30"/>
  <c r="S50" i="30" l="1"/>
  <c r="BB65" i="30"/>
  <c r="AR51" i="30"/>
  <c r="AB64" i="30"/>
  <c r="S51" i="30" l="1"/>
  <c r="AB65" i="30"/>
  <c r="AR52" i="30"/>
  <c r="BB66" i="30"/>
  <c r="AR53" i="30" l="1"/>
  <c r="AB66" i="30"/>
  <c r="BB67" i="30"/>
  <c r="S52" i="30"/>
  <c r="S54" i="30" l="1"/>
  <c r="I73" i="30"/>
  <c r="BB68" i="30"/>
  <c r="AB67" i="30"/>
  <c r="AR54" i="30"/>
  <c r="AB68" i="30" l="1"/>
  <c r="AR55" i="30"/>
  <c r="BB69" i="30"/>
  <c r="S73" i="30"/>
  <c r="G32" i="32" l="1"/>
  <c r="AR56" i="30"/>
  <c r="BB70" i="30"/>
  <c r="AB69" i="30"/>
  <c r="AB70" i="30" l="1"/>
  <c r="AR57" i="30"/>
  <c r="BB71" i="30"/>
  <c r="BB73" i="30" l="1"/>
  <c r="AB71" i="30"/>
  <c r="AR58" i="30"/>
  <c r="AR59" i="30" l="1"/>
  <c r="AN73" i="30"/>
  <c r="AR60" i="30" l="1"/>
  <c r="AR61" i="30" l="1"/>
  <c r="AR62" i="30" l="1"/>
  <c r="AR63" i="30" l="1"/>
  <c r="AR64" i="30" l="1"/>
  <c r="AR65" i="30" l="1"/>
  <c r="AR66" i="30" l="1"/>
  <c r="AR67" i="30" l="1"/>
  <c r="AR68" i="30" l="1"/>
  <c r="AR69" i="30" l="1"/>
  <c r="AR70" i="30" l="1"/>
  <c r="AR71" i="30" l="1"/>
  <c r="AR73" i="30" l="1"/>
  <c r="U55" i="23" l="1"/>
  <c r="U56" i="23"/>
  <c r="U57" i="23"/>
  <c r="U58" i="23"/>
  <c r="E44" i="49" l="1"/>
  <c r="E44" i="48"/>
  <c r="E44" i="47"/>
  <c r="E40" i="49"/>
  <c r="E40" i="48"/>
  <c r="E40" i="47"/>
  <c r="E36" i="49"/>
  <c r="E36" i="48"/>
  <c r="E36" i="47"/>
  <c r="E32" i="49"/>
  <c r="E32" i="48"/>
  <c r="E32" i="47"/>
  <c r="E47" i="49"/>
  <c r="E47" i="48"/>
  <c r="E47" i="47"/>
  <c r="E43" i="47"/>
  <c r="E43" i="49"/>
  <c r="E43" i="48"/>
  <c r="E39" i="47"/>
  <c r="E39" i="49"/>
  <c r="E39" i="48"/>
  <c r="E35" i="49"/>
  <c r="E35" i="48"/>
  <c r="E35" i="47"/>
  <c r="E31" i="47"/>
  <c r="E31" i="49"/>
  <c r="E31" i="48"/>
  <c r="E46" i="49"/>
  <c r="E46" i="48"/>
  <c r="E46" i="47"/>
  <c r="E42" i="49"/>
  <c r="E42" i="48"/>
  <c r="E42" i="47"/>
  <c r="E38" i="49"/>
  <c r="E38" i="48"/>
  <c r="E38" i="47"/>
  <c r="E34" i="49"/>
  <c r="E34" i="48"/>
  <c r="E34" i="47"/>
  <c r="E30" i="49"/>
  <c r="E30" i="47"/>
  <c r="E30" i="48"/>
  <c r="E28" i="49"/>
  <c r="E28" i="48"/>
  <c r="E28" i="47"/>
  <c r="AF28" i="47" s="1"/>
  <c r="E45" i="47"/>
  <c r="E45" i="49"/>
  <c r="E45" i="48"/>
  <c r="E41" i="49"/>
  <c r="E41" i="48"/>
  <c r="E41" i="47"/>
  <c r="E37" i="49"/>
  <c r="E37" i="48"/>
  <c r="E37" i="47"/>
  <c r="E33" i="49"/>
  <c r="E33" i="48"/>
  <c r="E33" i="47"/>
  <c r="E29" i="49"/>
  <c r="E29" i="48"/>
  <c r="E29" i="47"/>
  <c r="E68" i="24"/>
  <c r="E56" i="66"/>
  <c r="E43" i="70"/>
  <c r="E53" i="70"/>
  <c r="E44" i="66"/>
  <c r="E35" i="70"/>
  <c r="E36" i="66"/>
  <c r="E31" i="70"/>
  <c r="E32" i="66"/>
  <c r="E67" i="24"/>
  <c r="E55" i="66"/>
  <c r="E46" i="70"/>
  <c r="E56" i="70"/>
  <c r="E47" i="66"/>
  <c r="E48" i="70"/>
  <c r="E38" i="70"/>
  <c r="E39" i="66"/>
  <c r="E30" i="70"/>
  <c r="E31" i="66"/>
  <c r="E66" i="24"/>
  <c r="E54" i="66"/>
  <c r="E62" i="24"/>
  <c r="E50" i="66"/>
  <c r="E55" i="70"/>
  <c r="E45" i="70"/>
  <c r="E46" i="66"/>
  <c r="E51" i="70"/>
  <c r="E41" i="70"/>
  <c r="E42" i="66"/>
  <c r="E37" i="70"/>
  <c r="E38" i="66"/>
  <c r="E33" i="70"/>
  <c r="E34" i="66"/>
  <c r="E29" i="70"/>
  <c r="E30" i="66"/>
  <c r="E64" i="24"/>
  <c r="E52" i="66"/>
  <c r="E47" i="70"/>
  <c r="E57" i="70"/>
  <c r="E48" i="66"/>
  <c r="E39" i="70"/>
  <c r="E49" i="70"/>
  <c r="E40" i="66"/>
  <c r="E28" i="66"/>
  <c r="E63" i="24"/>
  <c r="E51" i="66"/>
  <c r="E42" i="70"/>
  <c r="E52" i="70"/>
  <c r="E43" i="66"/>
  <c r="E34" i="70"/>
  <c r="E35" i="66"/>
  <c r="E69" i="24"/>
  <c r="E57" i="66"/>
  <c r="E65" i="24"/>
  <c r="E53" i="66"/>
  <c r="E61" i="24"/>
  <c r="E49" i="66"/>
  <c r="E54" i="70"/>
  <c r="E44" i="70"/>
  <c r="E45" i="66"/>
  <c r="E50" i="70"/>
  <c r="E40" i="70"/>
  <c r="E41" i="66"/>
  <c r="E36" i="70"/>
  <c r="E37" i="66"/>
  <c r="E32" i="70"/>
  <c r="E33" i="66"/>
  <c r="E28" i="70"/>
  <c r="E29" i="66"/>
  <c r="E45" i="43"/>
  <c r="E45" i="42"/>
  <c r="E33" i="43"/>
  <c r="E33" i="42"/>
  <c r="E44" i="43"/>
  <c r="E44" i="42"/>
  <c r="E40" i="42"/>
  <c r="E40" i="43"/>
  <c r="E36" i="43"/>
  <c r="E36" i="42"/>
  <c r="E32" i="42"/>
  <c r="E32" i="43"/>
  <c r="E28" i="42"/>
  <c r="E28" i="43"/>
  <c r="E47" i="42"/>
  <c r="E47" i="43"/>
  <c r="E43" i="42"/>
  <c r="E43" i="43"/>
  <c r="E39" i="42"/>
  <c r="E39" i="43"/>
  <c r="E35" i="42"/>
  <c r="E35" i="43"/>
  <c r="E31" i="42"/>
  <c r="E31" i="43"/>
  <c r="E41" i="43"/>
  <c r="E41" i="42"/>
  <c r="E37" i="43"/>
  <c r="E37" i="42"/>
  <c r="E29" i="43"/>
  <c r="M29" i="43" s="1"/>
  <c r="E29" i="42"/>
  <c r="M29" i="42" s="1"/>
  <c r="E46" i="42"/>
  <c r="E46" i="43"/>
  <c r="E42" i="42"/>
  <c r="E42" i="43"/>
  <c r="E38" i="42"/>
  <c r="E38" i="43"/>
  <c r="E34" i="42"/>
  <c r="E34" i="43"/>
  <c r="E30" i="42"/>
  <c r="E30" i="43"/>
  <c r="E40" i="24"/>
  <c r="E39" i="24"/>
  <c r="E57" i="24"/>
  <c r="E53" i="24"/>
  <c r="E49" i="24"/>
  <c r="E45" i="24"/>
  <c r="E41" i="24"/>
  <c r="E60" i="24"/>
  <c r="E56" i="24"/>
  <c r="E52" i="24"/>
  <c r="E48" i="24"/>
  <c r="E44" i="24"/>
  <c r="E59" i="24"/>
  <c r="E55" i="24"/>
  <c r="E51" i="24"/>
  <c r="E47" i="24"/>
  <c r="E43" i="24"/>
  <c r="E58" i="24"/>
  <c r="E54" i="24"/>
  <c r="E50" i="24"/>
  <c r="E46" i="24"/>
  <c r="E42" i="24"/>
  <c r="CA293" i="5"/>
  <c r="BY293" i="5"/>
  <c r="CA292" i="5"/>
  <c r="BY292" i="5"/>
  <c r="CA291" i="5"/>
  <c r="BY291" i="5"/>
  <c r="CA290" i="5"/>
  <c r="BY290" i="5"/>
  <c r="CA289" i="5"/>
  <c r="BY289" i="5"/>
  <c r="CA288" i="5"/>
  <c r="BY288" i="5"/>
  <c r="CA287" i="5"/>
  <c r="BY287" i="5"/>
  <c r="CA286" i="5"/>
  <c r="BY286" i="5"/>
  <c r="CA285" i="5"/>
  <c r="BY285" i="5"/>
  <c r="CA284" i="5"/>
  <c r="BY284" i="5"/>
  <c r="CA283" i="5"/>
  <c r="BY283" i="5"/>
  <c r="CA282" i="5"/>
  <c r="BY282" i="5"/>
  <c r="CA281" i="5"/>
  <c r="BY281" i="5"/>
  <c r="CA280" i="5"/>
  <c r="BY280" i="5"/>
  <c r="CA279" i="5"/>
  <c r="BY279" i="5"/>
  <c r="CA278" i="5"/>
  <c r="BY278" i="5"/>
  <c r="CA277" i="5"/>
  <c r="BY277" i="5"/>
  <c r="CA276" i="5"/>
  <c r="BY276" i="5"/>
  <c r="CA275" i="5"/>
  <c r="BY275" i="5"/>
  <c r="CA274" i="5"/>
  <c r="BY274" i="5"/>
  <c r="CA273" i="5"/>
  <c r="BY273" i="5"/>
  <c r="CA272" i="5"/>
  <c r="BY272" i="5"/>
  <c r="CA271" i="5"/>
  <c r="BY271" i="5"/>
  <c r="CA270" i="5"/>
  <c r="BY270" i="5"/>
  <c r="CA269" i="5"/>
  <c r="BY269" i="5"/>
  <c r="CA268" i="5"/>
  <c r="BY268" i="5"/>
  <c r="CA267" i="5"/>
  <c r="BY267" i="5"/>
  <c r="CA266" i="5"/>
  <c r="BY266" i="5"/>
  <c r="CA265" i="5"/>
  <c r="BY265" i="5"/>
  <c r="CA264" i="5"/>
  <c r="BY264" i="5"/>
  <c r="CA263" i="5"/>
  <c r="BY263" i="5"/>
  <c r="CA262" i="5"/>
  <c r="BY262" i="5"/>
  <c r="CA261" i="5"/>
  <c r="BY261" i="5"/>
  <c r="CA260" i="5"/>
  <c r="BY260" i="5"/>
  <c r="CA259" i="5"/>
  <c r="BY259" i="5"/>
  <c r="CA258" i="5"/>
  <c r="BY258" i="5"/>
  <c r="CA257" i="5"/>
  <c r="BY257" i="5"/>
  <c r="CA256" i="5"/>
  <c r="BY256" i="5"/>
  <c r="CA255" i="5"/>
  <c r="BY255" i="5"/>
  <c r="CA254" i="5"/>
  <c r="BY254" i="5"/>
  <c r="CA253" i="5"/>
  <c r="BY253" i="5"/>
  <c r="CA252" i="5"/>
  <c r="BY252" i="5"/>
  <c r="CA251" i="5"/>
  <c r="BY251" i="5"/>
  <c r="CA250" i="5"/>
  <c r="BY250" i="5"/>
  <c r="CA249" i="5"/>
  <c r="BY249" i="5"/>
  <c r="CA248" i="5"/>
  <c r="BY248" i="5"/>
  <c r="CA247" i="5"/>
  <c r="BY247" i="5"/>
  <c r="CA246" i="5"/>
  <c r="BY246" i="5"/>
  <c r="CA245" i="5"/>
  <c r="BY245" i="5"/>
  <c r="CA244" i="5"/>
  <c r="BY244" i="5"/>
  <c r="CA243" i="5"/>
  <c r="BY243" i="5"/>
  <c r="CA242" i="5"/>
  <c r="BY242" i="5"/>
  <c r="CA241" i="5"/>
  <c r="BY241" i="5"/>
  <c r="CA240" i="5"/>
  <c r="BY240" i="5"/>
  <c r="CA239" i="5"/>
  <c r="BY239" i="5"/>
  <c r="CA238" i="5"/>
  <c r="BY238" i="5"/>
  <c r="CA237" i="5"/>
  <c r="BY237" i="5"/>
  <c r="CA236" i="5"/>
  <c r="BY236" i="5"/>
  <c r="CA235" i="5"/>
  <c r="BY235" i="5"/>
  <c r="CA234" i="5"/>
  <c r="BY234" i="5"/>
  <c r="CA233" i="5"/>
  <c r="BY233" i="5"/>
  <c r="CA232" i="5"/>
  <c r="BY232" i="5"/>
  <c r="CA231" i="5"/>
  <c r="BY231" i="5"/>
  <c r="CA230" i="5"/>
  <c r="BY230" i="5"/>
  <c r="CA229" i="5"/>
  <c r="BY229" i="5"/>
  <c r="CA228" i="5"/>
  <c r="BY228" i="5"/>
  <c r="CA227" i="5"/>
  <c r="BY227" i="5"/>
  <c r="CA226" i="5"/>
  <c r="BY226" i="5"/>
  <c r="CA225" i="5"/>
  <c r="BY225" i="5"/>
  <c r="CA224" i="5"/>
  <c r="BY224" i="5"/>
  <c r="CA223" i="5"/>
  <c r="BY223" i="5"/>
  <c r="CA222" i="5"/>
  <c r="BY222" i="5"/>
  <c r="CA221" i="5"/>
  <c r="BY221" i="5"/>
  <c r="CA220" i="5"/>
  <c r="BY220" i="5"/>
  <c r="CA219" i="5"/>
  <c r="BY219" i="5"/>
  <c r="CA218" i="5"/>
  <c r="BY218" i="5"/>
  <c r="CA217" i="5"/>
  <c r="BY217" i="5"/>
  <c r="CA216" i="5"/>
  <c r="BY216" i="5"/>
  <c r="CA215" i="5"/>
  <c r="BY215" i="5"/>
  <c r="CA214" i="5"/>
  <c r="BY214" i="5"/>
  <c r="CA213" i="5"/>
  <c r="BY213" i="5"/>
  <c r="CA212" i="5"/>
  <c r="BY212" i="5"/>
  <c r="CA211" i="5"/>
  <c r="BY211" i="5"/>
  <c r="CA210" i="5"/>
  <c r="BY210" i="5"/>
  <c r="CA209" i="5"/>
  <c r="BY209" i="5"/>
  <c r="CA208" i="5"/>
  <c r="BY208" i="5"/>
  <c r="CA207" i="5"/>
  <c r="BY207" i="5"/>
  <c r="CA206" i="5"/>
  <c r="BY206" i="5"/>
  <c r="CA205" i="5"/>
  <c r="BY205" i="5"/>
  <c r="CA204" i="5"/>
  <c r="BY204" i="5"/>
  <c r="CA203" i="5"/>
  <c r="BY203" i="5"/>
  <c r="CA202" i="5"/>
  <c r="BY202" i="5"/>
  <c r="CA201" i="5"/>
  <c r="BY201" i="5"/>
  <c r="CA200" i="5"/>
  <c r="BY200" i="5"/>
  <c r="CA199" i="5"/>
  <c r="BY199" i="5"/>
  <c r="CA198" i="5"/>
  <c r="BY198" i="5"/>
  <c r="CA197" i="5"/>
  <c r="BY197" i="5"/>
  <c r="CA196" i="5"/>
  <c r="BY196" i="5"/>
  <c r="CA195" i="5"/>
  <c r="BY195" i="5"/>
  <c r="CA194" i="5"/>
  <c r="BY194" i="5"/>
  <c r="CA193" i="5"/>
  <c r="BY193" i="5"/>
  <c r="CA192" i="5"/>
  <c r="BY192" i="5"/>
  <c r="CA191" i="5"/>
  <c r="BY191" i="5"/>
  <c r="CA190" i="5"/>
  <c r="BY190" i="5"/>
  <c r="CA189" i="5"/>
  <c r="BY189" i="5"/>
  <c r="CA188" i="5"/>
  <c r="BY188" i="5"/>
  <c r="CA187" i="5"/>
  <c r="BY187" i="5"/>
  <c r="CA186" i="5"/>
  <c r="BY186" i="5"/>
  <c r="CA185" i="5"/>
  <c r="BY185" i="5"/>
  <c r="CA184" i="5"/>
  <c r="BY184" i="5"/>
  <c r="CA183" i="5"/>
  <c r="BY183" i="5"/>
  <c r="CA182" i="5"/>
  <c r="BY182" i="5"/>
  <c r="CA181" i="5"/>
  <c r="BY181" i="5"/>
  <c r="CA180" i="5"/>
  <c r="BY180" i="5"/>
  <c r="CA179" i="5"/>
  <c r="BY179" i="5"/>
  <c r="CA178" i="5"/>
  <c r="BY178" i="5"/>
  <c r="CA177" i="5"/>
  <c r="BY177" i="5"/>
  <c r="CA176" i="5"/>
  <c r="BY176" i="5"/>
  <c r="CA175" i="5"/>
  <c r="BY175" i="5"/>
  <c r="CA174" i="5"/>
  <c r="BY174" i="5"/>
  <c r="CA173" i="5"/>
  <c r="BY173" i="5"/>
  <c r="CA172" i="5"/>
  <c r="BY172" i="5"/>
  <c r="CA171" i="5"/>
  <c r="BY171" i="5"/>
  <c r="CA170" i="5"/>
  <c r="BY170" i="5"/>
  <c r="CA169" i="5"/>
  <c r="BY169" i="5"/>
  <c r="CA168" i="5"/>
  <c r="BY168" i="5"/>
  <c r="CA167" i="5"/>
  <c r="BY167" i="5"/>
  <c r="CA166" i="5"/>
  <c r="BY166" i="5"/>
  <c r="CA165" i="5"/>
  <c r="BY165" i="5"/>
  <c r="CA164" i="5"/>
  <c r="BY164" i="5"/>
  <c r="CA163" i="5"/>
  <c r="BY163" i="5"/>
  <c r="CA162" i="5"/>
  <c r="BY162" i="5"/>
  <c r="CA161" i="5"/>
  <c r="BY161" i="5"/>
  <c r="CA160" i="5"/>
  <c r="BY160" i="5"/>
  <c r="CA159" i="5"/>
  <c r="BY159" i="5"/>
  <c r="CA158" i="5"/>
  <c r="BY158" i="5"/>
  <c r="CA157" i="5"/>
  <c r="BY157" i="5"/>
  <c r="CA156" i="5"/>
  <c r="BY156" i="5"/>
  <c r="CA155" i="5"/>
  <c r="BY155" i="5"/>
  <c r="CA154" i="5"/>
  <c r="BY154" i="5"/>
  <c r="CA153" i="5"/>
  <c r="BY153" i="5"/>
  <c r="CA152" i="5"/>
  <c r="BY152" i="5"/>
  <c r="CA151" i="5"/>
  <c r="BY151" i="5"/>
  <c r="CA150" i="5"/>
  <c r="BY150" i="5"/>
  <c r="CA149" i="5"/>
  <c r="BY149" i="5"/>
  <c r="CA148" i="5"/>
  <c r="BY148" i="5"/>
  <c r="CA147" i="5"/>
  <c r="BY147" i="5"/>
  <c r="CA146" i="5"/>
  <c r="BY146" i="5"/>
  <c r="CA145" i="5"/>
  <c r="BY145" i="5"/>
  <c r="CA144" i="5"/>
  <c r="BY144" i="5"/>
  <c r="CA143" i="5"/>
  <c r="BY143" i="5"/>
  <c r="CA142" i="5"/>
  <c r="BY142" i="5"/>
  <c r="CA141" i="5"/>
  <c r="BY141" i="5"/>
  <c r="CA140" i="5"/>
  <c r="BY140" i="5"/>
  <c r="CA139" i="5"/>
  <c r="BY139" i="5"/>
  <c r="CA138" i="5"/>
  <c r="BY138" i="5"/>
  <c r="CA137" i="5"/>
  <c r="BY137" i="5"/>
  <c r="CA136" i="5"/>
  <c r="BY136" i="5"/>
  <c r="CA135" i="5"/>
  <c r="BY135" i="5"/>
  <c r="CA134" i="5"/>
  <c r="BY134" i="5"/>
  <c r="CA133" i="5"/>
  <c r="BY133" i="5"/>
  <c r="CA132" i="5"/>
  <c r="BY132" i="5"/>
  <c r="CA131" i="5"/>
  <c r="BY131" i="5"/>
  <c r="CA130" i="5"/>
  <c r="BY130" i="5"/>
  <c r="CA129" i="5"/>
  <c r="BY129" i="5"/>
  <c r="CA128" i="5"/>
  <c r="BY128" i="5"/>
  <c r="CA127" i="5"/>
  <c r="BY127" i="5"/>
  <c r="CA126" i="5"/>
  <c r="BY126" i="5"/>
  <c r="CA125" i="5"/>
  <c r="BY125" i="5"/>
  <c r="CA124" i="5"/>
  <c r="BY124" i="5"/>
  <c r="CA123" i="5"/>
  <c r="BY123" i="5"/>
  <c r="CA122" i="5"/>
  <c r="BY122" i="5"/>
  <c r="CA121" i="5"/>
  <c r="BY121" i="5"/>
  <c r="CA120" i="5"/>
  <c r="BY120" i="5"/>
  <c r="CA119" i="5"/>
  <c r="BY119" i="5"/>
  <c r="CA118" i="5"/>
  <c r="BY118" i="5"/>
  <c r="CA117" i="5"/>
  <c r="BY117" i="5"/>
  <c r="CA116" i="5"/>
  <c r="BY116" i="5"/>
  <c r="CA115" i="5"/>
  <c r="BY115" i="5"/>
  <c r="CA114" i="5"/>
  <c r="BY114" i="5"/>
  <c r="CA113" i="5"/>
  <c r="BY113" i="5"/>
  <c r="CA112" i="5"/>
  <c r="BY112" i="5"/>
  <c r="CA111" i="5"/>
  <c r="BY111" i="5"/>
  <c r="CA110" i="5"/>
  <c r="BY110" i="5"/>
  <c r="CA109" i="5"/>
  <c r="BY109" i="5"/>
  <c r="CA108" i="5"/>
  <c r="BY108" i="5"/>
  <c r="CA107" i="5"/>
  <c r="BY107" i="5"/>
  <c r="CA106" i="5"/>
  <c r="BY106" i="5"/>
  <c r="CA105" i="5"/>
  <c r="BY105" i="5"/>
  <c r="CA104" i="5"/>
  <c r="BY104" i="5"/>
  <c r="CA103" i="5"/>
  <c r="BY103" i="5"/>
  <c r="CA102" i="5"/>
  <c r="BY102" i="5"/>
  <c r="CA101" i="5"/>
  <c r="BY101" i="5"/>
  <c r="CA100" i="5"/>
  <c r="BY100" i="5"/>
  <c r="CA99" i="5"/>
  <c r="BY99" i="5"/>
  <c r="CA98" i="5"/>
  <c r="BY98" i="5"/>
  <c r="CA97" i="5"/>
  <c r="BY97" i="5"/>
  <c r="CA96" i="5"/>
  <c r="BY96" i="5"/>
  <c r="CA95" i="5"/>
  <c r="BY95" i="5"/>
  <c r="CA94" i="5"/>
  <c r="BY94" i="5"/>
  <c r="CA93" i="5"/>
  <c r="BY93" i="5"/>
  <c r="CA92" i="5"/>
  <c r="BY92" i="5"/>
  <c r="CA91" i="5"/>
  <c r="BY91" i="5"/>
  <c r="CA90" i="5"/>
  <c r="BY90" i="5"/>
  <c r="CA89" i="5"/>
  <c r="BY89" i="5"/>
  <c r="CA88" i="5"/>
  <c r="BY88" i="5"/>
  <c r="CA87" i="5"/>
  <c r="BY87" i="5"/>
  <c r="CA86" i="5"/>
  <c r="BY86" i="5"/>
  <c r="CA85" i="5"/>
  <c r="BY85" i="5"/>
  <c r="CA84" i="5"/>
  <c r="BY84" i="5"/>
  <c r="CA83" i="5"/>
  <c r="BY83" i="5"/>
  <c r="CA82" i="5"/>
  <c r="BY82" i="5"/>
  <c r="CA81" i="5"/>
  <c r="BY81" i="5"/>
  <c r="CA80" i="5"/>
  <c r="BY80" i="5"/>
  <c r="CA79" i="5"/>
  <c r="BY79" i="5"/>
  <c r="CA78" i="5"/>
  <c r="BY78" i="5"/>
  <c r="CA77" i="5"/>
  <c r="BY77" i="5"/>
  <c r="CA76" i="5"/>
  <c r="BY76" i="5"/>
  <c r="CA75" i="5"/>
  <c r="BY75" i="5"/>
  <c r="CA74" i="5"/>
  <c r="BY74" i="5"/>
  <c r="CA73" i="5"/>
  <c r="BY73" i="5"/>
  <c r="CA72" i="5"/>
  <c r="BY72" i="5"/>
  <c r="CA70" i="5"/>
  <c r="BY70" i="5"/>
  <c r="CA69" i="5"/>
  <c r="BY69" i="5"/>
  <c r="CA68" i="5"/>
  <c r="BY68" i="5"/>
  <c r="CA67" i="5"/>
  <c r="BY67" i="5"/>
  <c r="CA66" i="5"/>
  <c r="BY66" i="5"/>
  <c r="CA65" i="5"/>
  <c r="BY65" i="5"/>
  <c r="CA64" i="5"/>
  <c r="BY64" i="5"/>
  <c r="CA63" i="5"/>
  <c r="BY63" i="5"/>
  <c r="CA62" i="5"/>
  <c r="BY62" i="5"/>
  <c r="CA61" i="5"/>
  <c r="BY61" i="5"/>
  <c r="CA60" i="5"/>
  <c r="BY60" i="5"/>
  <c r="CA59" i="5"/>
  <c r="BY59" i="5"/>
  <c r="CA58" i="5"/>
  <c r="BY58" i="5"/>
  <c r="CA57" i="5"/>
  <c r="BY57" i="5"/>
  <c r="CA56" i="5"/>
  <c r="BY56" i="5"/>
  <c r="CA55" i="5"/>
  <c r="BY55" i="5"/>
  <c r="CA54" i="5"/>
  <c r="BY54" i="5"/>
  <c r="CA53" i="5"/>
  <c r="BY53" i="5"/>
  <c r="CA52" i="5"/>
  <c r="BY52" i="5"/>
  <c r="CA51" i="5"/>
  <c r="BY51" i="5"/>
  <c r="CA50" i="5"/>
  <c r="BY50" i="5"/>
  <c r="CA49" i="5"/>
  <c r="BY49" i="5"/>
  <c r="CA48" i="5"/>
  <c r="BY48" i="5"/>
  <c r="CA47" i="5"/>
  <c r="BY47" i="5"/>
  <c r="CA46" i="5"/>
  <c r="BY46" i="5"/>
  <c r="CA45" i="5"/>
  <c r="BY45" i="5"/>
  <c r="CA44" i="5"/>
  <c r="BY44" i="5"/>
  <c r="CA43" i="5"/>
  <c r="BY43" i="5"/>
  <c r="CA42" i="5"/>
  <c r="BY42" i="5"/>
  <c r="CA41" i="5"/>
  <c r="BY41" i="5"/>
  <c r="CA40" i="5"/>
  <c r="BY40" i="5"/>
  <c r="CA39" i="5"/>
  <c r="BY39" i="5"/>
  <c r="CA38" i="5"/>
  <c r="BY38" i="5"/>
  <c r="CA37" i="5"/>
  <c r="BY37" i="5"/>
  <c r="CA36" i="5"/>
  <c r="BY36" i="5"/>
  <c r="CA35" i="5"/>
  <c r="BY35" i="5"/>
  <c r="CA34" i="5"/>
  <c r="BY34" i="5"/>
  <c r="CA33" i="5"/>
  <c r="BY33" i="5"/>
  <c r="CA32" i="5"/>
  <c r="BY32" i="5"/>
  <c r="CA31" i="5"/>
  <c r="BY31" i="5"/>
  <c r="CA30" i="5"/>
  <c r="BY30" i="5"/>
  <c r="CA29" i="5"/>
  <c r="BY29" i="5"/>
  <c r="CA28" i="5"/>
  <c r="BY28" i="5"/>
  <c r="CA27" i="5"/>
  <c r="BY27" i="5"/>
  <c r="CA26" i="5"/>
  <c r="BY26" i="5"/>
  <c r="CA25" i="5"/>
  <c r="BY25" i="5"/>
  <c r="CA24" i="5"/>
  <c r="BY24" i="5"/>
  <c r="CA23" i="5"/>
  <c r="BY23" i="5"/>
  <c r="CA22" i="5"/>
  <c r="BY22" i="5"/>
  <c r="CA21" i="5"/>
  <c r="BY21" i="5"/>
  <c r="CA20" i="5"/>
  <c r="BY20" i="5"/>
  <c r="CA19" i="5"/>
  <c r="BY19" i="5"/>
  <c r="CA18" i="5"/>
  <c r="BY18" i="5"/>
  <c r="CA17" i="5"/>
  <c r="BY17" i="5"/>
  <c r="AR28" i="47" l="1"/>
  <c r="M29" i="66"/>
  <c r="I28" i="66"/>
  <c r="AR28" i="66"/>
  <c r="AF28" i="66"/>
  <c r="BB28" i="66"/>
  <c r="K28" i="66"/>
  <c r="M68" i="70"/>
  <c r="I28" i="70"/>
  <c r="BB28" i="70"/>
  <c r="K28" i="70"/>
  <c r="AF29" i="47"/>
  <c r="AF30" i="47" s="1"/>
  <c r="AF31" i="47" s="1"/>
  <c r="M30" i="42"/>
  <c r="M31" i="42" s="1"/>
  <c r="M32" i="42" s="1"/>
  <c r="M33" i="42" s="1"/>
  <c r="M34" i="42" s="1"/>
  <c r="M35" i="42" s="1"/>
  <c r="M36" i="42" s="1"/>
  <c r="M37" i="42" s="1"/>
  <c r="M38" i="42" s="1"/>
  <c r="M39" i="42" s="1"/>
  <c r="M40" i="42" s="1"/>
  <c r="M41" i="42" s="1"/>
  <c r="M42" i="42" s="1"/>
  <c r="M43" i="42" s="1"/>
  <c r="M44" i="42" s="1"/>
  <c r="M45" i="42" s="1"/>
  <c r="M46" i="42" s="1"/>
  <c r="M58" i="42" s="1"/>
  <c r="I28" i="43"/>
  <c r="BB28" i="43"/>
  <c r="M30" i="43"/>
  <c r="M31" i="43" s="1"/>
  <c r="M32" i="43" s="1"/>
  <c r="M33" i="43" s="1"/>
  <c r="M34" i="43" s="1"/>
  <c r="M35" i="43" s="1"/>
  <c r="M36" i="43" s="1"/>
  <c r="M37" i="43" s="1"/>
  <c r="M38" i="43" s="1"/>
  <c r="M39" i="43" s="1"/>
  <c r="M40" i="43" s="1"/>
  <c r="M41" i="43" s="1"/>
  <c r="M42" i="43" s="1"/>
  <c r="M43" i="43" s="1"/>
  <c r="M44" i="43" s="1"/>
  <c r="M45" i="43" s="1"/>
  <c r="M46" i="43" s="1"/>
  <c r="M58" i="43" s="1"/>
  <c r="BB28" i="42"/>
  <c r="I28" i="42"/>
  <c r="AZ203" i="5"/>
  <c r="S28" i="70" l="1"/>
  <c r="K29" i="70"/>
  <c r="K30" i="70" s="1"/>
  <c r="K31" i="70" s="1"/>
  <c r="K32" i="70" s="1"/>
  <c r="K33" i="70" s="1"/>
  <c r="K34" i="70" s="1"/>
  <c r="K35" i="70" s="1"/>
  <c r="K36" i="70" s="1"/>
  <c r="K37" i="70" s="1"/>
  <c r="K38" i="70" s="1"/>
  <c r="K39" i="70" s="1"/>
  <c r="K40" i="70" s="1"/>
  <c r="K41" i="70" s="1"/>
  <c r="K42" i="70" s="1"/>
  <c r="K43" i="70" s="1"/>
  <c r="K44" i="70" s="1"/>
  <c r="K45" i="70" s="1"/>
  <c r="K46" i="70" s="1"/>
  <c r="K47" i="70" s="1"/>
  <c r="K48" i="70" s="1"/>
  <c r="K49" i="70" s="1"/>
  <c r="K50" i="70" s="1"/>
  <c r="K51" i="70" s="1"/>
  <c r="K52" i="70" s="1"/>
  <c r="K53" i="70" s="1"/>
  <c r="K54" i="70" s="1"/>
  <c r="K55" i="70" s="1"/>
  <c r="K56" i="70" s="1"/>
  <c r="K57" i="70" s="1"/>
  <c r="K68" i="70" s="1"/>
  <c r="I29" i="66"/>
  <c r="I30" i="66" s="1"/>
  <c r="I31" i="66" s="1"/>
  <c r="I32" i="66" s="1"/>
  <c r="I33" i="66" s="1"/>
  <c r="I34" i="66" s="1"/>
  <c r="I35" i="66" s="1"/>
  <c r="I36" i="66" s="1"/>
  <c r="I37" i="66" s="1"/>
  <c r="I38" i="66" s="1"/>
  <c r="I39" i="66" s="1"/>
  <c r="I40" i="66" s="1"/>
  <c r="I41" i="66" s="1"/>
  <c r="I42" i="66" s="1"/>
  <c r="I43" i="66" s="1"/>
  <c r="I44" i="66" s="1"/>
  <c r="I45" i="66" s="1"/>
  <c r="I46" i="66" s="1"/>
  <c r="I47" i="66" s="1"/>
  <c r="I48" i="66" s="1"/>
  <c r="I49" i="66" s="1"/>
  <c r="I50" i="66" s="1"/>
  <c r="I51" i="66" s="1"/>
  <c r="I52" i="66" s="1"/>
  <c r="I53" i="66" s="1"/>
  <c r="I54" i="66" s="1"/>
  <c r="I55" i="66" s="1"/>
  <c r="I56" i="66" s="1"/>
  <c r="I57" i="66" s="1"/>
  <c r="BB29" i="66"/>
  <c r="BB30" i="66" s="1"/>
  <c r="BB31" i="66" s="1"/>
  <c r="BB32" i="66" s="1"/>
  <c r="BB33" i="66" s="1"/>
  <c r="BB34" i="66" s="1"/>
  <c r="BB35" i="66" s="1"/>
  <c r="BB36" i="66" s="1"/>
  <c r="BB37" i="66" s="1"/>
  <c r="BB38" i="66" s="1"/>
  <c r="BB39" i="66" s="1"/>
  <c r="BB40" i="66" s="1"/>
  <c r="BB41" i="66" s="1"/>
  <c r="BB42" i="66" s="1"/>
  <c r="BB43" i="66" s="1"/>
  <c r="BB44" i="66" s="1"/>
  <c r="BB45" i="66" s="1"/>
  <c r="BB46" i="66" s="1"/>
  <c r="BB47" i="66" s="1"/>
  <c r="BB48" i="66" s="1"/>
  <c r="BB49" i="66" s="1"/>
  <c r="BB50" i="66" s="1"/>
  <c r="BB51" i="66" s="1"/>
  <c r="BB52" i="66" s="1"/>
  <c r="BB53" i="66" s="1"/>
  <c r="BB54" i="66" s="1"/>
  <c r="BB55" i="66" s="1"/>
  <c r="BB56" i="66" s="1"/>
  <c r="BB57" i="66" s="1"/>
  <c r="AR29" i="66"/>
  <c r="BB29" i="70"/>
  <c r="I29" i="70"/>
  <c r="I30" i="70" s="1"/>
  <c r="I31" i="70" s="1"/>
  <c r="I32" i="70" s="1"/>
  <c r="I33" i="70" s="1"/>
  <c r="I34" i="70" s="1"/>
  <c r="I35" i="70" s="1"/>
  <c r="I36" i="70" s="1"/>
  <c r="I37" i="70" s="1"/>
  <c r="I38" i="70" s="1"/>
  <c r="I39" i="70" s="1"/>
  <c r="I40" i="70" s="1"/>
  <c r="I41" i="70" s="1"/>
  <c r="I42" i="70" s="1"/>
  <c r="I43" i="70" s="1"/>
  <c r="I44" i="70" s="1"/>
  <c r="I45" i="70" s="1"/>
  <c r="I46" i="70" s="1"/>
  <c r="I47" i="70" s="1"/>
  <c r="I48" i="70" s="1"/>
  <c r="I49" i="70" s="1"/>
  <c r="I50" i="70" s="1"/>
  <c r="I51" i="70" s="1"/>
  <c r="I52" i="70" s="1"/>
  <c r="I53" i="70" s="1"/>
  <c r="I54" i="70" s="1"/>
  <c r="I55" i="70" s="1"/>
  <c r="I56" i="70" s="1"/>
  <c r="I57" i="70" s="1"/>
  <c r="K29" i="66"/>
  <c r="K30" i="66" s="1"/>
  <c r="K31" i="66" s="1"/>
  <c r="K32" i="66" s="1"/>
  <c r="K33" i="66" s="1"/>
  <c r="K34" i="66" s="1"/>
  <c r="K35" i="66" s="1"/>
  <c r="K36" i="66" s="1"/>
  <c r="K37" i="66" s="1"/>
  <c r="K38" i="66" s="1"/>
  <c r="K39" i="66" s="1"/>
  <c r="K40" i="66" s="1"/>
  <c r="K41" i="66" s="1"/>
  <c r="K42" i="66" s="1"/>
  <c r="K43" i="66" s="1"/>
  <c r="K44" i="66" s="1"/>
  <c r="K45" i="66" s="1"/>
  <c r="K46" i="66" s="1"/>
  <c r="K47" i="66" s="1"/>
  <c r="K48" i="66" s="1"/>
  <c r="K49" i="66" s="1"/>
  <c r="K50" i="66" s="1"/>
  <c r="K51" i="66" s="1"/>
  <c r="K52" i="66" s="1"/>
  <c r="K53" i="66" s="1"/>
  <c r="K54" i="66" s="1"/>
  <c r="K55" i="66" s="1"/>
  <c r="K56" i="66" s="1"/>
  <c r="K57" i="66" s="1"/>
  <c r="AF29" i="66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F56" i="66" s="1"/>
  <c r="AF57" i="66" s="1"/>
  <c r="M30" i="66"/>
  <c r="M31" i="66" s="1"/>
  <c r="M32" i="66" s="1"/>
  <c r="M33" i="66" s="1"/>
  <c r="M34" i="66" s="1"/>
  <c r="M35" i="66" s="1"/>
  <c r="M36" i="66" s="1"/>
  <c r="M37" i="66" s="1"/>
  <c r="M38" i="66" s="1"/>
  <c r="M39" i="66" s="1"/>
  <c r="M40" i="66" s="1"/>
  <c r="M41" i="66" s="1"/>
  <c r="M42" i="66" s="1"/>
  <c r="M43" i="66" s="1"/>
  <c r="M44" i="66" s="1"/>
  <c r="M45" i="66" s="1"/>
  <c r="M46" i="66" s="1"/>
  <c r="M47" i="66" s="1"/>
  <c r="M48" i="66" s="1"/>
  <c r="M49" i="66" s="1"/>
  <c r="M50" i="66" s="1"/>
  <c r="M51" i="66" s="1"/>
  <c r="M52" i="66" s="1"/>
  <c r="M53" i="66" s="1"/>
  <c r="M54" i="66" s="1"/>
  <c r="M55" i="66" s="1"/>
  <c r="M56" i="66" s="1"/>
  <c r="M57" i="66" s="1"/>
  <c r="S28" i="42"/>
  <c r="I29" i="42"/>
  <c r="BB29" i="42"/>
  <c r="BB29" i="43"/>
  <c r="I29" i="43"/>
  <c r="S28" i="43"/>
  <c r="BK15" i="24"/>
  <c r="BK14" i="24"/>
  <c r="AR16" i="24"/>
  <c r="M59" i="66" l="1"/>
  <c r="K59" i="66"/>
  <c r="S38" i="70"/>
  <c r="S29" i="70"/>
  <c r="AR30" i="66"/>
  <c r="BB59" i="66"/>
  <c r="I59" i="66"/>
  <c r="S39" i="70"/>
  <c r="BB30" i="70"/>
  <c r="AF59" i="66"/>
  <c r="I30" i="43"/>
  <c r="S29" i="43"/>
  <c r="BB30" i="42"/>
  <c r="BB30" i="43"/>
  <c r="S29" i="42"/>
  <c r="I30" i="42"/>
  <c r="BB31" i="70" l="1"/>
  <c r="S30" i="70"/>
  <c r="S40" i="70"/>
  <c r="AR31" i="66"/>
  <c r="I31" i="42"/>
  <c r="S30" i="42"/>
  <c r="BB31" i="43"/>
  <c r="BB31" i="42"/>
  <c r="S30" i="43"/>
  <c r="I31" i="43"/>
  <c r="N41" i="4"/>
  <c r="BI16" i="24" s="1"/>
  <c r="AJ11" i="68" l="1"/>
  <c r="AJ11" i="67"/>
  <c r="AJ11" i="66"/>
  <c r="AH28" i="66" s="1"/>
  <c r="AR32" i="66"/>
  <c r="S31" i="70"/>
  <c r="S41" i="70"/>
  <c r="BB32" i="70"/>
  <c r="AJ11" i="47"/>
  <c r="AJ11" i="49"/>
  <c r="AJ11" i="50"/>
  <c r="AJ11" i="48"/>
  <c r="BB32" i="43"/>
  <c r="BB32" i="42"/>
  <c r="S31" i="43"/>
  <c r="I32" i="43"/>
  <c r="I32" i="42"/>
  <c r="S31" i="42"/>
  <c r="AP37" i="24"/>
  <c r="AH29" i="66" l="1"/>
  <c r="AH30" i="66" s="1"/>
  <c r="AH31" i="66" s="1"/>
  <c r="AH32" i="66" s="1"/>
  <c r="AH33" i="66" s="1"/>
  <c r="AH34" i="66" s="1"/>
  <c r="AH35" i="66" s="1"/>
  <c r="AH36" i="66" s="1"/>
  <c r="AH37" i="66" s="1"/>
  <c r="AH38" i="66" s="1"/>
  <c r="AH39" i="66" s="1"/>
  <c r="AH40" i="66" s="1"/>
  <c r="AH41" i="66" s="1"/>
  <c r="AH42" i="66" s="1"/>
  <c r="AH43" i="66" s="1"/>
  <c r="AH44" i="66" s="1"/>
  <c r="AH45" i="66" s="1"/>
  <c r="AH46" i="66" s="1"/>
  <c r="AH47" i="66" s="1"/>
  <c r="AH48" i="66" s="1"/>
  <c r="AH49" i="66" s="1"/>
  <c r="AH50" i="66" s="1"/>
  <c r="AH51" i="66" s="1"/>
  <c r="AH52" i="66" s="1"/>
  <c r="AH53" i="66" s="1"/>
  <c r="AH54" i="66" s="1"/>
  <c r="AH55" i="66" s="1"/>
  <c r="AH56" i="66" s="1"/>
  <c r="AH57" i="66" s="1"/>
  <c r="S42" i="70"/>
  <c r="AR33" i="66"/>
  <c r="BB33" i="70"/>
  <c r="S32" i="70"/>
  <c r="BB33" i="42"/>
  <c r="I33" i="42"/>
  <c r="S32" i="42"/>
  <c r="BB33" i="43"/>
  <c r="S32" i="43"/>
  <c r="I33" i="43"/>
  <c r="Q71" i="24"/>
  <c r="AH59" i="66" l="1"/>
  <c r="S33" i="70"/>
  <c r="BB34" i="70"/>
  <c r="AR34" i="66"/>
  <c r="S43" i="70"/>
  <c r="BB34" i="42"/>
  <c r="BB34" i="43"/>
  <c r="S33" i="43"/>
  <c r="I34" i="43"/>
  <c r="S33" i="42"/>
  <c r="I34" i="42"/>
  <c r="K28" i="24"/>
  <c r="BB35" i="70" l="1"/>
  <c r="BB36" i="70" s="1"/>
  <c r="S34" i="70"/>
  <c r="S44" i="70"/>
  <c r="AR35" i="66"/>
  <c r="BB35" i="43"/>
  <c r="BB35" i="42"/>
  <c r="S34" i="43"/>
  <c r="I35" i="43"/>
  <c r="S34" i="42"/>
  <c r="I35" i="42"/>
  <c r="BB37" i="70" l="1"/>
  <c r="S45" i="70"/>
  <c r="S35" i="70"/>
  <c r="AR36" i="66"/>
  <c r="S35" i="43"/>
  <c r="I36" i="43"/>
  <c r="S35" i="42"/>
  <c r="I36" i="42"/>
  <c r="BB36" i="42"/>
  <c r="BB36" i="43"/>
  <c r="G71" i="24"/>
  <c r="AZ403" i="5"/>
  <c r="AZ401" i="5"/>
  <c r="AZ399" i="5"/>
  <c r="AZ397" i="5"/>
  <c r="AZ395" i="5"/>
  <c r="AY390" i="5"/>
  <c r="AZ390" i="5"/>
  <c r="AY391" i="5"/>
  <c r="AY392" i="5"/>
  <c r="AZ392" i="5"/>
  <c r="AY394" i="5"/>
  <c r="AZ394" i="5"/>
  <c r="AY395" i="5"/>
  <c r="AY396" i="5"/>
  <c r="AZ396" i="5"/>
  <c r="AY398" i="5"/>
  <c r="AZ398" i="5"/>
  <c r="AY399" i="5"/>
  <c r="AY400" i="5"/>
  <c r="AZ400" i="5"/>
  <c r="AY402" i="5"/>
  <c r="AZ402" i="5"/>
  <c r="AY403" i="5"/>
  <c r="AY404" i="5"/>
  <c r="AZ404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T62" i="5"/>
  <c r="BT63" i="5"/>
  <c r="BT64" i="5"/>
  <c r="BT65" i="5"/>
  <c r="BT66" i="5"/>
  <c r="BT67" i="5"/>
  <c r="BT68" i="5"/>
  <c r="BT69" i="5"/>
  <c r="BT70" i="5"/>
  <c r="BT72" i="5"/>
  <c r="BT73" i="5"/>
  <c r="BT74" i="5"/>
  <c r="BT75" i="5"/>
  <c r="BT7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8" i="5"/>
  <c r="BT99" i="5"/>
  <c r="BT100" i="5"/>
  <c r="BT101" i="5"/>
  <c r="BT102" i="5"/>
  <c r="BT103" i="5"/>
  <c r="BT104" i="5"/>
  <c r="BT105" i="5"/>
  <c r="BT106" i="5"/>
  <c r="BT107" i="5"/>
  <c r="BT108" i="5"/>
  <c r="BT109" i="5"/>
  <c r="BT110" i="5"/>
  <c r="BT111" i="5"/>
  <c r="BT112" i="5"/>
  <c r="BT113" i="5"/>
  <c r="BT114" i="5"/>
  <c r="BT115" i="5"/>
  <c r="BT116" i="5"/>
  <c r="BT117" i="5"/>
  <c r="BT118" i="5"/>
  <c r="BT119" i="5"/>
  <c r="BT120" i="5"/>
  <c r="BT121" i="5"/>
  <c r="BT122" i="5"/>
  <c r="BT123" i="5"/>
  <c r="BT124" i="5"/>
  <c r="BT125" i="5"/>
  <c r="BT126" i="5"/>
  <c r="BT127" i="5"/>
  <c r="BT128" i="5"/>
  <c r="BT129" i="5"/>
  <c r="BT130" i="5"/>
  <c r="BT131" i="5"/>
  <c r="BT132" i="5"/>
  <c r="BT133" i="5"/>
  <c r="BT134" i="5"/>
  <c r="BT135" i="5"/>
  <c r="BT136" i="5"/>
  <c r="BT137" i="5"/>
  <c r="BT138" i="5"/>
  <c r="BT139" i="5"/>
  <c r="BT140" i="5"/>
  <c r="BT141" i="5"/>
  <c r="BT142" i="5"/>
  <c r="BT143" i="5"/>
  <c r="BT144" i="5"/>
  <c r="BT145" i="5"/>
  <c r="BT146" i="5"/>
  <c r="BT147" i="5"/>
  <c r="BT148" i="5"/>
  <c r="BT149" i="5"/>
  <c r="BT150" i="5"/>
  <c r="BT151" i="5"/>
  <c r="BT152" i="5"/>
  <c r="BT153" i="5"/>
  <c r="BT154" i="5"/>
  <c r="BT155" i="5"/>
  <c r="BT156" i="5"/>
  <c r="BT157" i="5"/>
  <c r="BT158" i="5"/>
  <c r="BT159" i="5"/>
  <c r="BT160" i="5"/>
  <c r="BT161" i="5"/>
  <c r="BT162" i="5"/>
  <c r="BT163" i="5"/>
  <c r="BT164" i="5"/>
  <c r="BT165" i="5"/>
  <c r="BT166" i="5"/>
  <c r="BT167" i="5"/>
  <c r="BT168" i="5"/>
  <c r="BT169" i="5"/>
  <c r="BT170" i="5"/>
  <c r="BT171" i="5"/>
  <c r="BT172" i="5"/>
  <c r="BT173" i="5"/>
  <c r="BT174" i="5"/>
  <c r="BT175" i="5"/>
  <c r="BT176" i="5"/>
  <c r="BT177" i="5"/>
  <c r="BT178" i="5"/>
  <c r="BT179" i="5"/>
  <c r="BT180" i="5"/>
  <c r="BT181" i="5"/>
  <c r="BT182" i="5"/>
  <c r="BT183" i="5"/>
  <c r="BT184" i="5"/>
  <c r="BT185" i="5"/>
  <c r="BT186" i="5"/>
  <c r="BT187" i="5"/>
  <c r="BT188" i="5"/>
  <c r="BT189" i="5"/>
  <c r="BT190" i="5"/>
  <c r="BT191" i="5"/>
  <c r="BT192" i="5"/>
  <c r="BT193" i="5"/>
  <c r="BT194" i="5"/>
  <c r="BT195" i="5"/>
  <c r="BT196" i="5"/>
  <c r="BT197" i="5"/>
  <c r="BT198" i="5"/>
  <c r="BT199" i="5"/>
  <c r="BT200" i="5"/>
  <c r="BT201" i="5"/>
  <c r="BT202" i="5"/>
  <c r="BT203" i="5"/>
  <c r="BT204" i="5"/>
  <c r="BT205" i="5"/>
  <c r="BT206" i="5"/>
  <c r="BT207" i="5"/>
  <c r="BT208" i="5"/>
  <c r="BT209" i="5"/>
  <c r="BT210" i="5"/>
  <c r="BT211" i="5"/>
  <c r="BT212" i="5"/>
  <c r="BT213" i="5"/>
  <c r="BT214" i="5"/>
  <c r="BT215" i="5"/>
  <c r="BT216" i="5"/>
  <c r="BT217" i="5"/>
  <c r="BT218" i="5"/>
  <c r="BT219" i="5"/>
  <c r="BT220" i="5"/>
  <c r="BT221" i="5"/>
  <c r="BT222" i="5"/>
  <c r="BT223" i="5"/>
  <c r="BT224" i="5"/>
  <c r="BT225" i="5"/>
  <c r="BT226" i="5"/>
  <c r="BT227" i="5"/>
  <c r="BT228" i="5"/>
  <c r="BT229" i="5"/>
  <c r="BT230" i="5"/>
  <c r="BT231" i="5"/>
  <c r="BT232" i="5"/>
  <c r="BT233" i="5"/>
  <c r="BT234" i="5"/>
  <c r="BT235" i="5"/>
  <c r="BT236" i="5"/>
  <c r="BT237" i="5"/>
  <c r="BT238" i="5"/>
  <c r="BT239" i="5"/>
  <c r="BT240" i="5"/>
  <c r="BT241" i="5"/>
  <c r="BT242" i="5"/>
  <c r="BT243" i="5"/>
  <c r="BT244" i="5"/>
  <c r="BT245" i="5"/>
  <c r="BT246" i="5"/>
  <c r="BT247" i="5"/>
  <c r="BT248" i="5"/>
  <c r="BT249" i="5"/>
  <c r="BT250" i="5"/>
  <c r="BT251" i="5"/>
  <c r="BT252" i="5"/>
  <c r="BT253" i="5"/>
  <c r="BT254" i="5"/>
  <c r="BT255" i="5"/>
  <c r="BT256" i="5"/>
  <c r="BT257" i="5"/>
  <c r="BT258" i="5"/>
  <c r="BT259" i="5"/>
  <c r="BT260" i="5"/>
  <c r="BT261" i="5"/>
  <c r="BT262" i="5"/>
  <c r="BT263" i="5"/>
  <c r="BT264" i="5"/>
  <c r="BT265" i="5"/>
  <c r="BT266" i="5"/>
  <c r="BT267" i="5"/>
  <c r="BT268" i="5"/>
  <c r="BT269" i="5"/>
  <c r="BT270" i="5"/>
  <c r="BT271" i="5"/>
  <c r="BT272" i="5"/>
  <c r="BT273" i="5"/>
  <c r="BT274" i="5"/>
  <c r="BT275" i="5"/>
  <c r="BT276" i="5"/>
  <c r="BT277" i="5"/>
  <c r="BT278" i="5"/>
  <c r="BT279" i="5"/>
  <c r="BT280" i="5"/>
  <c r="BT281" i="5"/>
  <c r="BT282" i="5"/>
  <c r="BT283" i="5"/>
  <c r="BT284" i="5"/>
  <c r="BT285" i="5"/>
  <c r="BT286" i="5"/>
  <c r="BT287" i="5"/>
  <c r="BT288" i="5"/>
  <c r="BT289" i="5"/>
  <c r="BT290" i="5"/>
  <c r="BT291" i="5"/>
  <c r="BT292" i="5"/>
  <c r="BT293" i="5"/>
  <c r="BT294" i="5"/>
  <c r="BT295" i="5"/>
  <c r="BT296" i="5"/>
  <c r="BT297" i="5"/>
  <c r="BT298" i="5"/>
  <c r="BT299" i="5"/>
  <c r="BT300" i="5"/>
  <c r="BT301" i="5"/>
  <c r="BT302" i="5"/>
  <c r="BT303" i="5"/>
  <c r="BT304" i="5"/>
  <c r="BT305" i="5"/>
  <c r="BT306" i="5"/>
  <c r="BT307" i="5"/>
  <c r="BT308" i="5"/>
  <c r="BT309" i="5"/>
  <c r="BT310" i="5"/>
  <c r="BT311" i="5"/>
  <c r="BT312" i="5"/>
  <c r="BT313" i="5"/>
  <c r="BT314" i="5"/>
  <c r="BT315" i="5"/>
  <c r="BT316" i="5"/>
  <c r="BT317" i="5"/>
  <c r="BT318" i="5"/>
  <c r="BT319" i="5"/>
  <c r="BT320" i="5"/>
  <c r="BT321" i="5"/>
  <c r="BT322" i="5"/>
  <c r="BT323" i="5"/>
  <c r="BT324" i="5"/>
  <c r="BT325" i="5"/>
  <c r="BT326" i="5"/>
  <c r="BT327" i="5"/>
  <c r="BT328" i="5"/>
  <c r="BT329" i="5"/>
  <c r="BT330" i="5"/>
  <c r="BT331" i="5"/>
  <c r="BT332" i="5"/>
  <c r="BT333" i="5"/>
  <c r="BT334" i="5"/>
  <c r="BT335" i="5"/>
  <c r="BT336" i="5"/>
  <c r="BT337" i="5"/>
  <c r="BT338" i="5"/>
  <c r="BT339" i="5"/>
  <c r="BT340" i="5"/>
  <c r="BT341" i="5"/>
  <c r="BT342" i="5"/>
  <c r="BT343" i="5"/>
  <c r="BT344" i="5"/>
  <c r="BT345" i="5"/>
  <c r="BT346" i="5"/>
  <c r="BT347" i="5"/>
  <c r="BT348" i="5"/>
  <c r="BT349" i="5"/>
  <c r="BT350" i="5"/>
  <c r="BT351" i="5"/>
  <c r="BT352" i="5"/>
  <c r="BT353" i="5"/>
  <c r="BT354" i="5"/>
  <c r="BT355" i="5"/>
  <c r="BT356" i="5"/>
  <c r="BT97" i="5"/>
  <c r="BB38" i="70" l="1"/>
  <c r="S46" i="70"/>
  <c r="S47" i="70"/>
  <c r="S36" i="70"/>
  <c r="AR37" i="66"/>
  <c r="BV355" i="5"/>
  <c r="BV343" i="5"/>
  <c r="BV339" i="5"/>
  <c r="BV331" i="5"/>
  <c r="BV327" i="5"/>
  <c r="BV323" i="5"/>
  <c r="BV315" i="5"/>
  <c r="BV311" i="5"/>
  <c r="S36" i="42"/>
  <c r="I37" i="42"/>
  <c r="I37" i="43"/>
  <c r="S36" i="43"/>
  <c r="BB37" i="43"/>
  <c r="BB37" i="42"/>
  <c r="BV307" i="5"/>
  <c r="BV349" i="5"/>
  <c r="BV334" i="5"/>
  <c r="BV340" i="5"/>
  <c r="BV336" i="5"/>
  <c r="BV332" i="5"/>
  <c r="BV328" i="5"/>
  <c r="BV324" i="5"/>
  <c r="BV320" i="5"/>
  <c r="BV316" i="5"/>
  <c r="BV312" i="5"/>
  <c r="BV308" i="5"/>
  <c r="BV304" i="5"/>
  <c r="BV321" i="5"/>
  <c r="BV301" i="5"/>
  <c r="BV335" i="5"/>
  <c r="BV319" i="5"/>
  <c r="BV303" i="5"/>
  <c r="BV353" i="5"/>
  <c r="BV345" i="5"/>
  <c r="BV341" i="5"/>
  <c r="BV337" i="5"/>
  <c r="BV333" i="5"/>
  <c r="BV329" i="5"/>
  <c r="BV325" i="5"/>
  <c r="BV317" i="5"/>
  <c r="BV313" i="5"/>
  <c r="BV309" i="5"/>
  <c r="BV305" i="5"/>
  <c r="BV354" i="5"/>
  <c r="BV350" i="5"/>
  <c r="BV346" i="5"/>
  <c r="BV342" i="5"/>
  <c r="BV338" i="5"/>
  <c r="BV330" i="5"/>
  <c r="BV326" i="5"/>
  <c r="BV322" i="5"/>
  <c r="BV318" i="5"/>
  <c r="BV314" i="5"/>
  <c r="BV310" i="5"/>
  <c r="BV306" i="5"/>
  <c r="BV302" i="5"/>
  <c r="AY421" i="5"/>
  <c r="AY411" i="5"/>
  <c r="AZ391" i="5"/>
  <c r="AY427" i="5"/>
  <c r="AZ393" i="5"/>
  <c r="AY393" i="5"/>
  <c r="AY417" i="5"/>
  <c r="AY425" i="5"/>
  <c r="AY397" i="5"/>
  <c r="AY401" i="5"/>
  <c r="AZ405" i="5"/>
  <c r="AZ407" i="5"/>
  <c r="AZ413" i="5"/>
  <c r="AZ415" i="5"/>
  <c r="AZ419" i="5"/>
  <c r="AZ423" i="5"/>
  <c r="AY410" i="5"/>
  <c r="AY412" i="5"/>
  <c r="AY418" i="5"/>
  <c r="AY420" i="5"/>
  <c r="AY426" i="5"/>
  <c r="AY428" i="5"/>
  <c r="AY434" i="5"/>
  <c r="AY436" i="5"/>
  <c r="AZ406" i="5"/>
  <c r="AZ408" i="5"/>
  <c r="AZ414" i="5"/>
  <c r="AZ416" i="5"/>
  <c r="AZ422" i="5"/>
  <c r="AZ424" i="5"/>
  <c r="AZ430" i="5"/>
  <c r="AZ432" i="5"/>
  <c r="AZ438" i="5"/>
  <c r="AZ440" i="5"/>
  <c r="BV356" i="5"/>
  <c r="BV352" i="5"/>
  <c r="BV348" i="5"/>
  <c r="BV344" i="5"/>
  <c r="BV351" i="5"/>
  <c r="BV347" i="5"/>
  <c r="BB39" i="70" l="1"/>
  <c r="AR38" i="66"/>
  <c r="S37" i="70"/>
  <c r="BB38" i="43"/>
  <c r="S37" i="42"/>
  <c r="I38" i="42"/>
  <c r="BB38" i="42"/>
  <c r="I38" i="43"/>
  <c r="S37" i="43"/>
  <c r="AZ421" i="5"/>
  <c r="AY409" i="5"/>
  <c r="AY415" i="5"/>
  <c r="AY413" i="5"/>
  <c r="AY435" i="5"/>
  <c r="AY445" i="5"/>
  <c r="AY419" i="5"/>
  <c r="AY405" i="5"/>
  <c r="AY447" i="5"/>
  <c r="AY452" i="5"/>
  <c r="AZ436" i="5"/>
  <c r="AZ428" i="5"/>
  <c r="AZ420" i="5"/>
  <c r="AZ412" i="5"/>
  <c r="AZ456" i="5"/>
  <c r="AY440" i="5"/>
  <c r="AY432" i="5"/>
  <c r="AY424" i="5"/>
  <c r="AY416" i="5"/>
  <c r="AY408" i="5"/>
  <c r="AZ435" i="5"/>
  <c r="AZ427" i="5"/>
  <c r="AZ411" i="5"/>
  <c r="AY439" i="5"/>
  <c r="AY437" i="5"/>
  <c r="AY459" i="5"/>
  <c r="AY469" i="5"/>
  <c r="AY443" i="5"/>
  <c r="AY407" i="5"/>
  <c r="AY429" i="5"/>
  <c r="AZ448" i="5"/>
  <c r="AY460" i="5"/>
  <c r="AY444" i="5"/>
  <c r="AZ439" i="5"/>
  <c r="AZ474" i="5"/>
  <c r="AZ466" i="5"/>
  <c r="AY450" i="5"/>
  <c r="AY442" i="5"/>
  <c r="AZ434" i="5"/>
  <c r="AZ426" i="5"/>
  <c r="AZ418" i="5"/>
  <c r="AZ410" i="5"/>
  <c r="AY470" i="5"/>
  <c r="AY438" i="5"/>
  <c r="AY430" i="5"/>
  <c r="AY422" i="5"/>
  <c r="AY414" i="5"/>
  <c r="AY406" i="5"/>
  <c r="AZ433" i="5"/>
  <c r="AZ425" i="5"/>
  <c r="AZ417" i="5"/>
  <c r="AZ409" i="5"/>
  <c r="AY457" i="5"/>
  <c r="AY449" i="5"/>
  <c r="AY473" i="5"/>
  <c r="AY463" i="5"/>
  <c r="AY461" i="5"/>
  <c r="AY423" i="5"/>
  <c r="AZ431" i="5"/>
  <c r="AY453" i="5"/>
  <c r="BB40" i="70" l="1"/>
  <c r="S48" i="70"/>
  <c r="AR39" i="66"/>
  <c r="I39" i="42"/>
  <c r="S38" i="42"/>
  <c r="S38" i="43"/>
  <c r="I39" i="43"/>
  <c r="BB39" i="42"/>
  <c r="BB39" i="43"/>
  <c r="AZ468" i="5"/>
  <c r="AY468" i="5"/>
  <c r="AZ483" i="5"/>
  <c r="AZ441" i="5"/>
  <c r="AZ473" i="5"/>
  <c r="AY464" i="5"/>
  <c r="AZ460" i="5"/>
  <c r="AY433" i="5"/>
  <c r="AZ445" i="5"/>
  <c r="AZ462" i="5"/>
  <c r="AZ464" i="5"/>
  <c r="AY431" i="5"/>
  <c r="AZ449" i="5"/>
  <c r="AY446" i="5"/>
  <c r="AY478" i="5"/>
  <c r="AZ442" i="5"/>
  <c r="AZ478" i="5"/>
  <c r="AZ502" i="5"/>
  <c r="AZ443" i="5"/>
  <c r="AY466" i="5"/>
  <c r="AZ453" i="5"/>
  <c r="AY467" i="5"/>
  <c r="AY483" i="5"/>
  <c r="AZ457" i="5"/>
  <c r="AY454" i="5"/>
  <c r="AZ450" i="5"/>
  <c r="AZ510" i="5"/>
  <c r="AZ482" i="5"/>
  <c r="AZ514" i="5"/>
  <c r="AY474" i="5"/>
  <c r="AZ463" i="5"/>
  <c r="AY481" i="5"/>
  <c r="AZ451" i="5"/>
  <c r="AZ487" i="5"/>
  <c r="AY448" i="5"/>
  <c r="AZ444" i="5"/>
  <c r="AZ480" i="5"/>
  <c r="AZ470" i="5"/>
  <c r="AY441" i="5"/>
  <c r="AY479" i="5"/>
  <c r="AY497" i="5"/>
  <c r="AZ429" i="5"/>
  <c r="AZ461" i="5"/>
  <c r="AY458" i="5"/>
  <c r="AY485" i="5"/>
  <c r="AY493" i="5"/>
  <c r="AZ465" i="5"/>
  <c r="AY462" i="5"/>
  <c r="AY498" i="5"/>
  <c r="AY494" i="5"/>
  <c r="AZ458" i="5"/>
  <c r="AZ490" i="5"/>
  <c r="AZ454" i="5"/>
  <c r="AZ459" i="5"/>
  <c r="AY456" i="5"/>
  <c r="AY492" i="5"/>
  <c r="AZ452" i="5"/>
  <c r="AY477" i="5"/>
  <c r="AZ447" i="5"/>
  <c r="AY451" i="5"/>
  <c r="AZ437" i="5"/>
  <c r="AZ469" i="5"/>
  <c r="AZ446" i="5"/>
  <c r="BB41" i="70" l="1"/>
  <c r="AR40" i="66"/>
  <c r="S49" i="70"/>
  <c r="I40" i="43"/>
  <c r="S39" i="43"/>
  <c r="I40" i="42"/>
  <c r="S39" i="42"/>
  <c r="BB40" i="43"/>
  <c r="BB40" i="42"/>
  <c r="AZ484" i="5"/>
  <c r="AZ516" i="5"/>
  <c r="AZ488" i="5"/>
  <c r="AY521" i="5"/>
  <c r="AY504" i="5"/>
  <c r="AY512" i="5"/>
  <c r="AY484" i="5"/>
  <c r="AY518" i="5"/>
  <c r="AY509" i="5"/>
  <c r="AY455" i="5"/>
  <c r="AZ455" i="5"/>
  <c r="AY517" i="5"/>
  <c r="AY475" i="5"/>
  <c r="AZ498" i="5"/>
  <c r="AZ475" i="5"/>
  <c r="AY480" i="5"/>
  <c r="AZ486" i="5"/>
  <c r="AZ522" i="5"/>
  <c r="AY514" i="5"/>
  <c r="AZ493" i="5"/>
  <c r="AY472" i="5"/>
  <c r="AZ472" i="5"/>
  <c r="AZ479" i="5"/>
  <c r="AZ526" i="5"/>
  <c r="AY482" i="5"/>
  <c r="AZ485" i="5"/>
  <c r="AZ524" i="5"/>
  <c r="AZ518" i="5"/>
  <c r="AZ497" i="5"/>
  <c r="AY471" i="5"/>
  <c r="AY519" i="5"/>
  <c r="AZ471" i="5"/>
  <c r="AZ528" i="5"/>
  <c r="AY540" i="5"/>
  <c r="AY529" i="5"/>
  <c r="AZ495" i="5"/>
  <c r="AY510" i="5"/>
  <c r="AZ481" i="5"/>
  <c r="AZ545" i="5"/>
  <c r="AZ467" i="5"/>
  <c r="AY487" i="5"/>
  <c r="AY502" i="5"/>
  <c r="AZ501" i="5"/>
  <c r="AZ499" i="5"/>
  <c r="AZ512" i="5"/>
  <c r="AY488" i="5"/>
  <c r="AZ494" i="5"/>
  <c r="AY522" i="5"/>
  <c r="AZ476" i="5"/>
  <c r="AY476" i="5"/>
  <c r="AZ548" i="5"/>
  <c r="AY508" i="5"/>
  <c r="AZ534" i="5"/>
  <c r="AY490" i="5"/>
  <c r="AY507" i="5"/>
  <c r="AY511" i="5"/>
  <c r="AY543" i="5"/>
  <c r="AY503" i="5"/>
  <c r="AZ538" i="5"/>
  <c r="AY542" i="5"/>
  <c r="AZ533" i="5"/>
  <c r="AY465" i="5"/>
  <c r="AZ496" i="5"/>
  <c r="AY500" i="5"/>
  <c r="AZ477" i="5"/>
  <c r="AZ492" i="5"/>
  <c r="AY486" i="5"/>
  <c r="BB42" i="70" l="1"/>
  <c r="S50" i="70"/>
  <c r="AR41" i="66"/>
  <c r="I41" i="42"/>
  <c r="S40" i="42"/>
  <c r="BB41" i="43"/>
  <c r="BB41" i="42"/>
  <c r="I41" i="43"/>
  <c r="S40" i="43"/>
  <c r="AY489" i="5"/>
  <c r="AY526" i="5"/>
  <c r="AY491" i="5"/>
  <c r="AZ508" i="5"/>
  <c r="AY538" i="5"/>
  <c r="AY533" i="5"/>
  <c r="AZ543" i="5"/>
  <c r="AZ513" i="5"/>
  <c r="AZ542" i="5"/>
  <c r="AY499" i="5"/>
  <c r="AY523" i="5"/>
  <c r="AY547" i="5"/>
  <c r="AY535" i="5"/>
  <c r="AY527" i="5"/>
  <c r="AY557" i="5"/>
  <c r="AZ517" i="5"/>
  <c r="AZ503" i="5"/>
  <c r="AZ515" i="5"/>
  <c r="AY495" i="5"/>
  <c r="AY555" i="5"/>
  <c r="AY545" i="5"/>
  <c r="AY528" i="5"/>
  <c r="AY548" i="5"/>
  <c r="AZ491" i="5"/>
  <c r="AZ489" i="5"/>
  <c r="AZ519" i="5"/>
  <c r="AY496" i="5"/>
  <c r="AY520" i="5"/>
  <c r="AY501" i="5"/>
  <c r="AZ504" i="5"/>
  <c r="AZ552" i="5"/>
  <c r="AY516" i="5"/>
  <c r="AZ521" i="5"/>
  <c r="AZ555" i="5"/>
  <c r="AZ507" i="5"/>
  <c r="AZ527" i="5"/>
  <c r="AZ520" i="5"/>
  <c r="AY506" i="5"/>
  <c r="AZ500" i="5"/>
  <c r="AZ536" i="5"/>
  <c r="AY550" i="5"/>
  <c r="AY525" i="5"/>
  <c r="AZ540" i="5"/>
  <c r="AY534" i="5"/>
  <c r="AY558" i="5"/>
  <c r="AY553" i="5"/>
  <c r="AY505" i="5"/>
  <c r="AZ505" i="5"/>
  <c r="AY544" i="5"/>
  <c r="AZ529" i="5"/>
  <c r="AY559" i="5"/>
  <c r="AY541" i="5"/>
  <c r="AZ506" i="5"/>
  <c r="AZ511" i="5"/>
  <c r="AZ532" i="5"/>
  <c r="AY530" i="5"/>
  <c r="AZ509" i="5"/>
  <c r="AY524" i="5"/>
  <c r="BB43" i="70" l="1"/>
  <c r="AR42" i="66"/>
  <c r="S51" i="70"/>
  <c r="S41" i="43"/>
  <c r="I42" i="43"/>
  <c r="BB42" i="43"/>
  <c r="S41" i="42"/>
  <c r="I42" i="42"/>
  <c r="BB42" i="42"/>
  <c r="AZ558" i="5"/>
  <c r="AY549" i="5"/>
  <c r="AZ525" i="5"/>
  <c r="AZ550" i="5"/>
  <c r="AZ557" i="5"/>
  <c r="AY536" i="5"/>
  <c r="AZ560" i="5"/>
  <c r="AZ554" i="5"/>
  <c r="AY554" i="5"/>
  <c r="AZ553" i="5"/>
  <c r="AZ546" i="5"/>
  <c r="AY546" i="5"/>
  <c r="AZ523" i="5"/>
  <c r="AY513" i="5"/>
  <c r="AY552" i="5"/>
  <c r="AZ549" i="5"/>
  <c r="AY531" i="5"/>
  <c r="AZ531" i="5"/>
  <c r="AZ547" i="5"/>
  <c r="AZ541" i="5"/>
  <c r="AY515" i="5"/>
  <c r="AY551" i="5"/>
  <c r="AZ535" i="5"/>
  <c r="AY532" i="5"/>
  <c r="AZ559" i="5"/>
  <c r="AZ530" i="5"/>
  <c r="AZ544" i="5"/>
  <c r="AY556" i="5"/>
  <c r="AZ537" i="5"/>
  <c r="BB44" i="70" l="1"/>
  <c r="AR43" i="66"/>
  <c r="S52" i="70"/>
  <c r="S42" i="42"/>
  <c r="I43" i="42"/>
  <c r="I43" i="43"/>
  <c r="S42" i="43"/>
  <c r="BB43" i="42"/>
  <c r="BB43" i="43"/>
  <c r="AZ551" i="5"/>
  <c r="AY537" i="5"/>
  <c r="AZ556" i="5"/>
  <c r="AY539" i="5"/>
  <c r="AZ539" i="5"/>
  <c r="AY560" i="5"/>
  <c r="BB45" i="70" l="1"/>
  <c r="AR44" i="66"/>
  <c r="S53" i="70"/>
  <c r="BB44" i="43"/>
  <c r="I44" i="43"/>
  <c r="S43" i="43"/>
  <c r="I44" i="42"/>
  <c r="S43" i="42"/>
  <c r="BB44" i="42"/>
  <c r="BG24" i="5"/>
  <c r="AR15" i="24"/>
  <c r="AV11" i="24"/>
  <c r="AJ16" i="68" l="1"/>
  <c r="AF11" i="68" s="1"/>
  <c r="AJ16" i="67"/>
  <c r="AJ16" i="66"/>
  <c r="BD15" i="74"/>
  <c r="BD15" i="62"/>
  <c r="BD15" i="61"/>
  <c r="BD15" i="63"/>
  <c r="BD15" i="60"/>
  <c r="BD15" i="58"/>
  <c r="BD15" i="59"/>
  <c r="BB16" i="68"/>
  <c r="BB16" i="67"/>
  <c r="BB16" i="66"/>
  <c r="BD28" i="66" s="1"/>
  <c r="BB46" i="70"/>
  <c r="S54" i="70"/>
  <c r="AR45" i="66"/>
  <c r="AV16" i="24"/>
  <c r="AJ16" i="49"/>
  <c r="AF11" i="49" s="1"/>
  <c r="AJ16" i="48"/>
  <c r="AF11" i="48" s="1"/>
  <c r="BD11" i="48" s="1"/>
  <c r="AJ16" i="47"/>
  <c r="AF11" i="47" s="1"/>
  <c r="AJ16" i="50"/>
  <c r="AF11" i="50" s="1"/>
  <c r="BD11" i="50" s="1"/>
  <c r="BB16" i="48"/>
  <c r="BB16" i="50"/>
  <c r="BB16" i="47"/>
  <c r="BB16" i="49"/>
  <c r="S44" i="43"/>
  <c r="I45" i="43"/>
  <c r="BB45" i="42"/>
  <c r="S44" i="42"/>
  <c r="I45" i="42"/>
  <c r="BB45" i="43"/>
  <c r="E39" i="57"/>
  <c r="M39" i="57" s="1"/>
  <c r="E39" i="74"/>
  <c r="E40" i="74"/>
  <c r="E41" i="74"/>
  <c r="E42" i="74"/>
  <c r="E43" i="74"/>
  <c r="E44" i="74"/>
  <c r="E45" i="74"/>
  <c r="E46" i="74"/>
  <c r="E47" i="74"/>
  <c r="E48" i="74"/>
  <c r="E49" i="74"/>
  <c r="E50" i="74"/>
  <c r="E51" i="74"/>
  <c r="E52" i="74"/>
  <c r="E53" i="74"/>
  <c r="E54" i="74"/>
  <c r="E55" i="74"/>
  <c r="E56" i="74"/>
  <c r="E57" i="74"/>
  <c r="E58" i="74"/>
  <c r="E59" i="74"/>
  <c r="E60" i="74"/>
  <c r="E61" i="74"/>
  <c r="E62" i="74"/>
  <c r="E63" i="74"/>
  <c r="E64" i="74"/>
  <c r="E65" i="74"/>
  <c r="E66" i="74"/>
  <c r="E67" i="74"/>
  <c r="E68" i="74"/>
  <c r="BD39" i="74" l="1"/>
  <c r="M39" i="74"/>
  <c r="BB39" i="74"/>
  <c r="AJ13" i="68"/>
  <c r="AJ13" i="67"/>
  <c r="AJ13" i="66"/>
  <c r="AJ28" i="66" s="1"/>
  <c r="AR16" i="74"/>
  <c r="AF38" i="74" s="1"/>
  <c r="AF16" i="70"/>
  <c r="AF28" i="70" s="1"/>
  <c r="AR16" i="65"/>
  <c r="AF38" i="65" s="1"/>
  <c r="AR16" i="63"/>
  <c r="AF38" i="63" s="1"/>
  <c r="AR16" i="62"/>
  <c r="AF38" i="62" s="1"/>
  <c r="AR16" i="61"/>
  <c r="AF38" i="61" s="1"/>
  <c r="AR16" i="60"/>
  <c r="AF38" i="60" s="1"/>
  <c r="AR16" i="59"/>
  <c r="AF38" i="59" s="1"/>
  <c r="AR16" i="58"/>
  <c r="AF38" i="58" s="1"/>
  <c r="AR16" i="57"/>
  <c r="AF39" i="57" s="1"/>
  <c r="AR16" i="31"/>
  <c r="BD29" i="66"/>
  <c r="BD30" i="66" s="1"/>
  <c r="BD31" i="66" s="1"/>
  <c r="BD32" i="66" s="1"/>
  <c r="BD33" i="66" s="1"/>
  <c r="BD34" i="66" s="1"/>
  <c r="BD35" i="66" s="1"/>
  <c r="BD36" i="66" s="1"/>
  <c r="BD37" i="66" s="1"/>
  <c r="BD38" i="66" s="1"/>
  <c r="BD39" i="66" s="1"/>
  <c r="BD40" i="66" s="1"/>
  <c r="BD41" i="66" s="1"/>
  <c r="BD42" i="66" s="1"/>
  <c r="BD43" i="66" s="1"/>
  <c r="BD44" i="66" s="1"/>
  <c r="BD45" i="66" s="1"/>
  <c r="BD46" i="66" s="1"/>
  <c r="BD47" i="66" s="1"/>
  <c r="BD48" i="66" s="1"/>
  <c r="BD49" i="66" s="1"/>
  <c r="BD50" i="66" s="1"/>
  <c r="BD51" i="66" s="1"/>
  <c r="BD52" i="66" s="1"/>
  <c r="BD53" i="66" s="1"/>
  <c r="BD54" i="66" s="1"/>
  <c r="BD55" i="66" s="1"/>
  <c r="BD56" i="66" s="1"/>
  <c r="BD57" i="66" s="1"/>
  <c r="BD11" i="68"/>
  <c r="AF12" i="68"/>
  <c r="E48" i="69"/>
  <c r="E47" i="68"/>
  <c r="E47" i="67"/>
  <c r="E60" i="63"/>
  <c r="E60" i="61"/>
  <c r="E60" i="62"/>
  <c r="E60" i="60"/>
  <c r="E60" i="59"/>
  <c r="E40" i="69"/>
  <c r="E39" i="68"/>
  <c r="E39" i="67"/>
  <c r="E52" i="62"/>
  <c r="E52" i="63"/>
  <c r="E52" i="61"/>
  <c r="E52" i="60"/>
  <c r="E52" i="59"/>
  <c r="E28" i="69"/>
  <c r="E40" i="61"/>
  <c r="E40" i="63"/>
  <c r="E40" i="62"/>
  <c r="E40" i="60"/>
  <c r="E40" i="59"/>
  <c r="E54" i="67"/>
  <c r="E54" i="68"/>
  <c r="E67" i="61"/>
  <c r="E67" i="63"/>
  <c r="E67" i="62"/>
  <c r="E67" i="60"/>
  <c r="E67" i="59"/>
  <c r="E51" i="69"/>
  <c r="E50" i="68"/>
  <c r="E50" i="67"/>
  <c r="E63" i="63"/>
  <c r="E63" i="61"/>
  <c r="E63" i="62"/>
  <c r="E63" i="60"/>
  <c r="E63" i="59"/>
  <c r="E47" i="69"/>
  <c r="E46" i="67"/>
  <c r="E46" i="68"/>
  <c r="E59" i="63"/>
  <c r="E59" i="61"/>
  <c r="E59" i="62"/>
  <c r="E59" i="60"/>
  <c r="E59" i="59"/>
  <c r="E43" i="69"/>
  <c r="E42" i="67"/>
  <c r="E42" i="68"/>
  <c r="E55" i="62"/>
  <c r="E55" i="61"/>
  <c r="E55" i="63"/>
  <c r="E55" i="60"/>
  <c r="E55" i="59"/>
  <c r="E39" i="69"/>
  <c r="E38" i="67"/>
  <c r="E38" i="68"/>
  <c r="E51" i="62"/>
  <c r="E51" i="63"/>
  <c r="E51" i="61"/>
  <c r="E51" i="60"/>
  <c r="E51" i="59"/>
  <c r="E35" i="69"/>
  <c r="E34" i="67"/>
  <c r="E34" i="68"/>
  <c r="E47" i="62"/>
  <c r="E47" i="61"/>
  <c r="E47" i="63"/>
  <c r="E47" i="60"/>
  <c r="E47" i="59"/>
  <c r="E31" i="69"/>
  <c r="E30" i="68"/>
  <c r="E30" i="67"/>
  <c r="E43" i="62"/>
  <c r="E43" i="63"/>
  <c r="E43" i="61"/>
  <c r="E43" i="60"/>
  <c r="E43" i="59"/>
  <c r="E39" i="63"/>
  <c r="E39" i="62"/>
  <c r="E39" i="61"/>
  <c r="E39" i="60"/>
  <c r="E39" i="59"/>
  <c r="E52" i="69"/>
  <c r="E51" i="68"/>
  <c r="E51" i="67"/>
  <c r="E64" i="63"/>
  <c r="E64" i="61"/>
  <c r="E64" i="62"/>
  <c r="E64" i="60"/>
  <c r="E64" i="59"/>
  <c r="E36" i="69"/>
  <c r="E35" i="68"/>
  <c r="E35" i="67"/>
  <c r="E48" i="63"/>
  <c r="E48" i="62"/>
  <c r="E48" i="61"/>
  <c r="E48" i="60"/>
  <c r="E48" i="59"/>
  <c r="E42" i="69"/>
  <c r="E41" i="67"/>
  <c r="E41" i="68"/>
  <c r="E54" i="63"/>
  <c r="E54" i="62"/>
  <c r="E54" i="61"/>
  <c r="E54" i="60"/>
  <c r="E54" i="59"/>
  <c r="E30" i="69"/>
  <c r="E29" i="67"/>
  <c r="M29" i="67" s="1"/>
  <c r="E29" i="68"/>
  <c r="M29" i="68" s="1"/>
  <c r="E42" i="61"/>
  <c r="E42" i="63"/>
  <c r="E42" i="62"/>
  <c r="E42" i="60"/>
  <c r="E42" i="59"/>
  <c r="BB47" i="70"/>
  <c r="E55" i="68"/>
  <c r="E55" i="67"/>
  <c r="E68" i="61"/>
  <c r="E68" i="62"/>
  <c r="E68" i="63"/>
  <c r="E68" i="60"/>
  <c r="E68" i="59"/>
  <c r="E44" i="69"/>
  <c r="E43" i="68"/>
  <c r="E43" i="67"/>
  <c r="E56" i="62"/>
  <c r="E56" i="63"/>
  <c r="E56" i="61"/>
  <c r="E56" i="60"/>
  <c r="E56" i="59"/>
  <c r="E32" i="69"/>
  <c r="E31" i="68"/>
  <c r="E31" i="67"/>
  <c r="E44" i="63"/>
  <c r="E44" i="62"/>
  <c r="E44" i="61"/>
  <c r="E44" i="60"/>
  <c r="E44" i="59"/>
  <c r="E57" i="67"/>
  <c r="E57" i="68"/>
  <c r="E53" i="67"/>
  <c r="E53" i="68"/>
  <c r="E66" i="62"/>
  <c r="E66" i="61"/>
  <c r="E66" i="63"/>
  <c r="E66" i="60"/>
  <c r="E66" i="59"/>
  <c r="E50" i="69"/>
  <c r="E49" i="67"/>
  <c r="E49" i="68"/>
  <c r="E62" i="62"/>
  <c r="E62" i="63"/>
  <c r="E62" i="61"/>
  <c r="E62" i="60"/>
  <c r="E62" i="59"/>
  <c r="E46" i="69"/>
  <c r="E45" i="67"/>
  <c r="E45" i="68"/>
  <c r="E58" i="61"/>
  <c r="E58" i="63"/>
  <c r="E58" i="62"/>
  <c r="E58" i="60"/>
  <c r="E58" i="59"/>
  <c r="E38" i="69"/>
  <c r="E37" i="67"/>
  <c r="E37" i="68"/>
  <c r="E50" i="63"/>
  <c r="E50" i="62"/>
  <c r="E50" i="61"/>
  <c r="E50" i="60"/>
  <c r="E50" i="59"/>
  <c r="E34" i="69"/>
  <c r="E33" i="67"/>
  <c r="E33" i="68"/>
  <c r="E46" i="61"/>
  <c r="E46" i="63"/>
  <c r="E46" i="62"/>
  <c r="E46" i="60"/>
  <c r="E46" i="59"/>
  <c r="E70" i="31"/>
  <c r="E56" i="67"/>
  <c r="E56" i="68"/>
  <c r="E53" i="69"/>
  <c r="E52" i="67"/>
  <c r="E52" i="68"/>
  <c r="E65" i="62"/>
  <c r="E65" i="61"/>
  <c r="E65" i="63"/>
  <c r="E65" i="60"/>
  <c r="E65" i="59"/>
  <c r="E49" i="69"/>
  <c r="E48" i="67"/>
  <c r="E48" i="68"/>
  <c r="E61" i="63"/>
  <c r="E61" i="61"/>
  <c r="E61" i="62"/>
  <c r="E61" i="60"/>
  <c r="E61" i="59"/>
  <c r="E45" i="69"/>
  <c r="E44" i="67"/>
  <c r="E44" i="68"/>
  <c r="E57" i="63"/>
  <c r="E57" i="62"/>
  <c r="E57" i="61"/>
  <c r="E57" i="60"/>
  <c r="E57" i="59"/>
  <c r="E41" i="69"/>
  <c r="E40" i="67"/>
  <c r="E40" i="68"/>
  <c r="E53" i="61"/>
  <c r="E53" i="63"/>
  <c r="E53" i="62"/>
  <c r="E53" i="60"/>
  <c r="E53" i="59"/>
  <c r="E37" i="69"/>
  <c r="E36" i="67"/>
  <c r="E36" i="68"/>
  <c r="E49" i="62"/>
  <c r="E49" i="61"/>
  <c r="E49" i="63"/>
  <c r="E49" i="60"/>
  <c r="E49" i="59"/>
  <c r="E33" i="69"/>
  <c r="E32" i="67"/>
  <c r="E32" i="68"/>
  <c r="E45" i="62"/>
  <c r="E45" i="61"/>
  <c r="E45" i="63"/>
  <c r="E45" i="60"/>
  <c r="E45" i="59"/>
  <c r="E29" i="69"/>
  <c r="E28" i="67"/>
  <c r="E28" i="68"/>
  <c r="E41" i="63"/>
  <c r="E41" i="62"/>
  <c r="E41" i="61"/>
  <c r="E41" i="60"/>
  <c r="E41" i="59"/>
  <c r="AR46" i="66"/>
  <c r="S55" i="70"/>
  <c r="E69" i="31"/>
  <c r="E69" i="57"/>
  <c r="E68" i="58"/>
  <c r="E57" i="31"/>
  <c r="E57" i="57"/>
  <c r="E56" i="58"/>
  <c r="E45" i="31"/>
  <c r="E45" i="57"/>
  <c r="E44" i="58"/>
  <c r="E68" i="31"/>
  <c r="E67" i="58"/>
  <c r="E68" i="57"/>
  <c r="E64" i="31"/>
  <c r="E64" i="57"/>
  <c r="E63" i="58"/>
  <c r="E60" i="31"/>
  <c r="E60" i="57"/>
  <c r="E59" i="58"/>
  <c r="E56" i="31"/>
  <c r="E55" i="58"/>
  <c r="E56" i="57"/>
  <c r="E52" i="31"/>
  <c r="E52" i="57"/>
  <c r="E51" i="58"/>
  <c r="E48" i="31"/>
  <c r="E47" i="58"/>
  <c r="E48" i="57"/>
  <c r="E44" i="31"/>
  <c r="E43" i="58"/>
  <c r="E44" i="57"/>
  <c r="E40" i="31"/>
  <c r="M40" i="31" s="1"/>
  <c r="E39" i="58"/>
  <c r="AF39" i="58" s="1"/>
  <c r="E40" i="57"/>
  <c r="M40" i="57" s="1"/>
  <c r="E61" i="31"/>
  <c r="E61" i="57"/>
  <c r="E60" i="58"/>
  <c r="E41" i="31"/>
  <c r="BD41" i="31" s="1"/>
  <c r="E41" i="57"/>
  <c r="E40" i="58"/>
  <c r="AF40" i="31"/>
  <c r="AR16" i="30"/>
  <c r="E67" i="31"/>
  <c r="E67" i="57"/>
  <c r="E66" i="58"/>
  <c r="E59" i="31"/>
  <c r="E58" i="58"/>
  <c r="E59" i="57"/>
  <c r="E55" i="31"/>
  <c r="E54" i="58"/>
  <c r="E55" i="57"/>
  <c r="E51" i="31"/>
  <c r="E50" i="58"/>
  <c r="E51" i="57"/>
  <c r="E47" i="31"/>
  <c r="E46" i="58"/>
  <c r="E47" i="57"/>
  <c r="E43" i="31"/>
  <c r="E42" i="58"/>
  <c r="E43" i="57"/>
  <c r="E65" i="31"/>
  <c r="E65" i="57"/>
  <c r="E64" i="58"/>
  <c r="E53" i="31"/>
  <c r="E53" i="57"/>
  <c r="E52" i="58"/>
  <c r="E49" i="31"/>
  <c r="E49" i="57"/>
  <c r="E48" i="58"/>
  <c r="E63" i="31"/>
  <c r="E62" i="58"/>
  <c r="E63" i="57"/>
  <c r="E66" i="31"/>
  <c r="E66" i="57"/>
  <c r="E65" i="58"/>
  <c r="E62" i="31"/>
  <c r="E62" i="57"/>
  <c r="E61" i="58"/>
  <c r="E58" i="31"/>
  <c r="E58" i="57"/>
  <c r="E57" i="58"/>
  <c r="E54" i="31"/>
  <c r="E54" i="57"/>
  <c r="E53" i="58"/>
  <c r="E50" i="31"/>
  <c r="E50" i="57"/>
  <c r="E49" i="58"/>
  <c r="E46" i="31"/>
  <c r="E45" i="58"/>
  <c r="E46" i="57"/>
  <c r="E42" i="31"/>
  <c r="E42" i="57"/>
  <c r="E41" i="58"/>
  <c r="E46" i="50"/>
  <c r="E42" i="50"/>
  <c r="E38" i="50"/>
  <c r="E34" i="50"/>
  <c r="E30" i="50"/>
  <c r="E45" i="50"/>
  <c r="E41" i="50"/>
  <c r="E37" i="50"/>
  <c r="E33" i="50"/>
  <c r="M29" i="47"/>
  <c r="M30" i="47" s="1"/>
  <c r="M31" i="47" s="1"/>
  <c r="M32" i="47" s="1"/>
  <c r="M33" i="47" s="1"/>
  <c r="M34" i="47" s="1"/>
  <c r="M35" i="47" s="1"/>
  <c r="M36" i="47" s="1"/>
  <c r="M37" i="47" s="1"/>
  <c r="M38" i="47" s="1"/>
  <c r="M39" i="47" s="1"/>
  <c r="M40" i="47" s="1"/>
  <c r="M41" i="47" s="1"/>
  <c r="M42" i="47" s="1"/>
  <c r="M43" i="47" s="1"/>
  <c r="M44" i="47" s="1"/>
  <c r="M45" i="47" s="1"/>
  <c r="M46" i="47" s="1"/>
  <c r="M29" i="49"/>
  <c r="M29" i="48"/>
  <c r="E29" i="50"/>
  <c r="M29" i="50" s="1"/>
  <c r="E48" i="50"/>
  <c r="E44" i="50"/>
  <c r="E40" i="50"/>
  <c r="E36" i="50"/>
  <c r="E32" i="50"/>
  <c r="E28" i="50"/>
  <c r="BD28" i="49"/>
  <c r="BD29" i="49" s="1"/>
  <c r="E47" i="50"/>
  <c r="E43" i="50"/>
  <c r="E39" i="50"/>
  <c r="E35" i="50"/>
  <c r="E31" i="50"/>
  <c r="L53" i="4"/>
  <c r="BD11" i="49"/>
  <c r="AF12" i="49"/>
  <c r="AF12" i="50"/>
  <c r="AV13" i="24"/>
  <c r="AJ39" i="24" s="1"/>
  <c r="AJ13" i="49"/>
  <c r="AJ13" i="48"/>
  <c r="AJ13" i="50"/>
  <c r="AJ13" i="47"/>
  <c r="AJ28" i="47" s="1"/>
  <c r="BD11" i="47"/>
  <c r="AF12" i="47"/>
  <c r="AF12" i="48"/>
  <c r="AF16" i="43"/>
  <c r="AF16" i="42"/>
  <c r="BD28" i="47"/>
  <c r="I28" i="47"/>
  <c r="AH28" i="47"/>
  <c r="BB28" i="47"/>
  <c r="I46" i="43"/>
  <c r="S45" i="43"/>
  <c r="BB46" i="43"/>
  <c r="I46" i="42"/>
  <c r="S45" i="42"/>
  <c r="BB46" i="42"/>
  <c r="BD39" i="24"/>
  <c r="AF39" i="24"/>
  <c r="BB39" i="24"/>
  <c r="AH39" i="24"/>
  <c r="N52" i="4"/>
  <c r="I52" i="4"/>
  <c r="D53" i="4"/>
  <c r="M53" i="4"/>
  <c r="I51" i="4"/>
  <c r="N51" i="4"/>
  <c r="BB41" i="31" l="1"/>
  <c r="AF41" i="31"/>
  <c r="AF42" i="31" s="1"/>
  <c r="AJ28" i="50"/>
  <c r="BB40" i="74"/>
  <c r="BF39" i="74"/>
  <c r="S39" i="74"/>
  <c r="M40" i="74"/>
  <c r="BD40" i="74"/>
  <c r="BD41" i="74" s="1"/>
  <c r="BD42" i="74" s="1"/>
  <c r="BD43" i="74" s="1"/>
  <c r="BD44" i="74" s="1"/>
  <c r="BD45" i="74" s="1"/>
  <c r="BD46" i="74" s="1"/>
  <c r="BD47" i="74" s="1"/>
  <c r="BD48" i="74" s="1"/>
  <c r="BD49" i="74" s="1"/>
  <c r="BD50" i="74" s="1"/>
  <c r="BD51" i="74" s="1"/>
  <c r="BD52" i="74" s="1"/>
  <c r="BD53" i="74" s="1"/>
  <c r="BD54" i="74" s="1"/>
  <c r="BD55" i="74" s="1"/>
  <c r="BD56" i="74" s="1"/>
  <c r="BD57" i="74" s="1"/>
  <c r="BD58" i="74" s="1"/>
  <c r="BD59" i="74" s="1"/>
  <c r="BD60" i="74" s="1"/>
  <c r="BD61" i="74" s="1"/>
  <c r="BD62" i="74" s="1"/>
  <c r="BD63" i="74" s="1"/>
  <c r="BD64" i="74" s="1"/>
  <c r="BD65" i="74" s="1"/>
  <c r="BD66" i="74" s="1"/>
  <c r="BD67" i="74" s="1"/>
  <c r="BD68" i="74" s="1"/>
  <c r="BD59" i="66"/>
  <c r="AF39" i="74"/>
  <c r="AF14" i="68"/>
  <c r="AF14" i="67"/>
  <c r="AF14" i="66"/>
  <c r="AJ29" i="66"/>
  <c r="AJ30" i="66" s="1"/>
  <c r="AJ31" i="66" s="1"/>
  <c r="AJ32" i="66" s="1"/>
  <c r="AJ33" i="66" s="1"/>
  <c r="AJ34" i="66" s="1"/>
  <c r="AJ35" i="66" s="1"/>
  <c r="AJ36" i="66" s="1"/>
  <c r="AJ37" i="66" s="1"/>
  <c r="AJ38" i="66" s="1"/>
  <c r="AJ39" i="66" s="1"/>
  <c r="AJ40" i="66" s="1"/>
  <c r="AJ41" i="66" s="1"/>
  <c r="AJ42" i="66" s="1"/>
  <c r="AJ43" i="66" s="1"/>
  <c r="AJ44" i="66" s="1"/>
  <c r="AJ45" i="66" s="1"/>
  <c r="AJ46" i="66" s="1"/>
  <c r="AJ47" i="66" s="1"/>
  <c r="AJ48" i="66" s="1"/>
  <c r="AJ49" i="66" s="1"/>
  <c r="AJ50" i="66" s="1"/>
  <c r="AJ51" i="66" s="1"/>
  <c r="AJ52" i="66" s="1"/>
  <c r="AJ53" i="66" s="1"/>
  <c r="AJ54" i="66" s="1"/>
  <c r="AJ55" i="66" s="1"/>
  <c r="AJ56" i="66" s="1"/>
  <c r="AJ57" i="66" s="1"/>
  <c r="AV16" i="74"/>
  <c r="AR11" i="74" s="1"/>
  <c r="AJ16" i="70"/>
  <c r="AF11" i="70" s="1"/>
  <c r="AV16" i="62"/>
  <c r="AR11" i="62" s="1"/>
  <c r="AV16" i="61"/>
  <c r="AR11" i="61" s="1"/>
  <c r="AV16" i="65"/>
  <c r="AR11" i="65" s="1"/>
  <c r="AV16" i="63"/>
  <c r="AR11" i="63" s="1"/>
  <c r="AV16" i="60"/>
  <c r="AR11" i="60" s="1"/>
  <c r="AV16" i="59"/>
  <c r="AR11" i="59" s="1"/>
  <c r="AV16" i="58"/>
  <c r="AR11" i="58" s="1"/>
  <c r="BK11" i="58" s="1"/>
  <c r="AV16" i="57"/>
  <c r="AV16" i="31"/>
  <c r="AF29" i="70"/>
  <c r="AF39" i="63"/>
  <c r="BD39" i="63"/>
  <c r="M39" i="63"/>
  <c r="BB39" i="63"/>
  <c r="BD42" i="31"/>
  <c r="BD43" i="31" s="1"/>
  <c r="BD44" i="31" s="1"/>
  <c r="BD45" i="31" s="1"/>
  <c r="BD46" i="31" s="1"/>
  <c r="BD47" i="31" s="1"/>
  <c r="BD48" i="31" s="1"/>
  <c r="BD49" i="31" s="1"/>
  <c r="BD50" i="31" s="1"/>
  <c r="BD51" i="31" s="1"/>
  <c r="BD52" i="31" s="1"/>
  <c r="BD53" i="31" s="1"/>
  <c r="BD54" i="31" s="1"/>
  <c r="BD55" i="31" s="1"/>
  <c r="BD56" i="31" s="1"/>
  <c r="BD57" i="31" s="1"/>
  <c r="BD58" i="31" s="1"/>
  <c r="BD59" i="31" s="1"/>
  <c r="BD60" i="31" s="1"/>
  <c r="BD61" i="31" s="1"/>
  <c r="BD62" i="31" s="1"/>
  <c r="BD63" i="31" s="1"/>
  <c r="BD64" i="31" s="1"/>
  <c r="BD65" i="31" s="1"/>
  <c r="BD66" i="31" s="1"/>
  <c r="BD67" i="31" s="1"/>
  <c r="BD68" i="31" s="1"/>
  <c r="BD69" i="31" s="1"/>
  <c r="BD70" i="31" s="1"/>
  <c r="K28" i="67"/>
  <c r="AF28" i="67"/>
  <c r="AH28" i="67"/>
  <c r="BD28" i="67"/>
  <c r="AJ28" i="67"/>
  <c r="BB28" i="67"/>
  <c r="I28" i="67"/>
  <c r="AR28" i="67"/>
  <c r="M30" i="68"/>
  <c r="M31" i="68" s="1"/>
  <c r="M32" i="68" s="1"/>
  <c r="M33" i="68" s="1"/>
  <c r="M34" i="68" s="1"/>
  <c r="M35" i="68" s="1"/>
  <c r="M36" i="68" s="1"/>
  <c r="M37" i="68" s="1"/>
  <c r="M38" i="68" s="1"/>
  <c r="M39" i="68" s="1"/>
  <c r="M40" i="68" s="1"/>
  <c r="M41" i="68" s="1"/>
  <c r="M42" i="68" s="1"/>
  <c r="M43" i="68" s="1"/>
  <c r="M44" i="68" s="1"/>
  <c r="M45" i="68" s="1"/>
  <c r="M46" i="68" s="1"/>
  <c r="M47" i="68" s="1"/>
  <c r="M48" i="68" s="1"/>
  <c r="M49" i="68" s="1"/>
  <c r="M50" i="68" s="1"/>
  <c r="M51" i="68" s="1"/>
  <c r="M52" i="68" s="1"/>
  <c r="M53" i="68" s="1"/>
  <c r="M54" i="68" s="1"/>
  <c r="M55" i="68" s="1"/>
  <c r="M56" i="68" s="1"/>
  <c r="M57" i="68" s="1"/>
  <c r="AF39" i="60"/>
  <c r="BD39" i="60"/>
  <c r="M39" i="60"/>
  <c r="BB39" i="60"/>
  <c r="K28" i="68"/>
  <c r="AJ28" i="68"/>
  <c r="AH28" i="68"/>
  <c r="I28" i="68"/>
  <c r="AR28" i="68"/>
  <c r="AF28" i="68"/>
  <c r="BB28" i="68"/>
  <c r="BD28" i="68"/>
  <c r="AF39" i="59"/>
  <c r="M39" i="59"/>
  <c r="BD39" i="59"/>
  <c r="BB39" i="59"/>
  <c r="AJ28" i="49"/>
  <c r="AJ29" i="49" s="1"/>
  <c r="BB48" i="70"/>
  <c r="M30" i="67"/>
  <c r="M31" i="67" s="1"/>
  <c r="M32" i="67" s="1"/>
  <c r="M33" i="67" s="1"/>
  <c r="M34" i="67" s="1"/>
  <c r="M35" i="67" s="1"/>
  <c r="M36" i="67" s="1"/>
  <c r="M37" i="67" s="1"/>
  <c r="M38" i="67" s="1"/>
  <c r="M39" i="67" s="1"/>
  <c r="M40" i="67" s="1"/>
  <c r="M41" i="67" s="1"/>
  <c r="M42" i="67" s="1"/>
  <c r="M43" i="67" s="1"/>
  <c r="M44" i="67" s="1"/>
  <c r="M45" i="67" s="1"/>
  <c r="M46" i="67" s="1"/>
  <c r="M47" i="67" s="1"/>
  <c r="M48" i="67" s="1"/>
  <c r="M49" i="67" s="1"/>
  <c r="M50" i="67" s="1"/>
  <c r="M51" i="67" s="1"/>
  <c r="M52" i="67" s="1"/>
  <c r="M53" i="67" s="1"/>
  <c r="M54" i="67" s="1"/>
  <c r="M55" i="67" s="1"/>
  <c r="M56" i="67" s="1"/>
  <c r="M57" i="67" s="1"/>
  <c r="AF39" i="61"/>
  <c r="BD39" i="61"/>
  <c r="M39" i="61"/>
  <c r="BB39" i="61"/>
  <c r="M39" i="62"/>
  <c r="BD39" i="62"/>
  <c r="AF39" i="62"/>
  <c r="BB39" i="62"/>
  <c r="BB28" i="69"/>
  <c r="S56" i="70"/>
  <c r="AR47" i="66"/>
  <c r="M41" i="57"/>
  <c r="BD39" i="58"/>
  <c r="BB39" i="58"/>
  <c r="M39" i="58"/>
  <c r="BB42" i="31"/>
  <c r="BB43" i="31" s="1"/>
  <c r="BB44" i="31" s="1"/>
  <c r="BB45" i="31" s="1"/>
  <c r="BB46" i="31" s="1"/>
  <c r="BB47" i="31" s="1"/>
  <c r="BB48" i="31" s="1"/>
  <c r="BB49" i="31" s="1"/>
  <c r="BB50" i="31" s="1"/>
  <c r="BB51" i="31" s="1"/>
  <c r="BB52" i="31" s="1"/>
  <c r="BB53" i="31" s="1"/>
  <c r="BB54" i="31" s="1"/>
  <c r="BB55" i="31" s="1"/>
  <c r="BB56" i="31" s="1"/>
  <c r="BB57" i="31" s="1"/>
  <c r="BB58" i="31" s="1"/>
  <c r="BB59" i="31" s="1"/>
  <c r="BB60" i="31" s="1"/>
  <c r="BB61" i="31" s="1"/>
  <c r="BB62" i="31" s="1"/>
  <c r="BB63" i="31" s="1"/>
  <c r="BB64" i="31" s="1"/>
  <c r="BB65" i="31" s="1"/>
  <c r="BB66" i="31" s="1"/>
  <c r="BB67" i="31" s="1"/>
  <c r="BB68" i="31" s="1"/>
  <c r="BB69" i="31" s="1"/>
  <c r="BB70" i="31" s="1"/>
  <c r="AV16" i="30"/>
  <c r="AR11" i="30" s="1"/>
  <c r="BD40" i="57"/>
  <c r="AF40" i="57"/>
  <c r="BB40" i="57"/>
  <c r="P53" i="4"/>
  <c r="AJ15" i="42" s="1"/>
  <c r="AR28" i="42" s="1"/>
  <c r="AR29" i="42" s="1"/>
  <c r="AR30" i="42" s="1"/>
  <c r="AR31" i="42" s="1"/>
  <c r="AR32" i="42" s="1"/>
  <c r="AR33" i="42" s="1"/>
  <c r="AR34" i="42" s="1"/>
  <c r="AR35" i="42" s="1"/>
  <c r="AR36" i="42" s="1"/>
  <c r="AR37" i="42" s="1"/>
  <c r="AR38" i="42" s="1"/>
  <c r="AR39" i="42" s="1"/>
  <c r="AR40" i="42" s="1"/>
  <c r="AR41" i="42" s="1"/>
  <c r="AR42" i="42" s="1"/>
  <c r="AR43" i="42" s="1"/>
  <c r="AR44" i="42" s="1"/>
  <c r="AR45" i="42" s="1"/>
  <c r="AR46" i="42" s="1"/>
  <c r="AR47" i="42" s="1"/>
  <c r="AR58" i="42" s="1"/>
  <c r="BF41" i="31"/>
  <c r="M41" i="31"/>
  <c r="AJ28" i="48"/>
  <c r="AJ29" i="48" s="1"/>
  <c r="I28" i="50"/>
  <c r="BB28" i="50"/>
  <c r="AF28" i="50"/>
  <c r="AR28" i="50"/>
  <c r="AH28" i="50"/>
  <c r="AH29" i="50" s="1"/>
  <c r="AH30" i="50" s="1"/>
  <c r="AH31" i="50" s="1"/>
  <c r="AH32" i="50" s="1"/>
  <c r="AH33" i="50" s="1"/>
  <c r="AH34" i="50" s="1"/>
  <c r="AH35" i="50" s="1"/>
  <c r="AH36" i="50" s="1"/>
  <c r="AH37" i="50" s="1"/>
  <c r="AH38" i="50" s="1"/>
  <c r="AH39" i="50" s="1"/>
  <c r="AH40" i="50" s="1"/>
  <c r="AH41" i="50" s="1"/>
  <c r="AH42" i="50" s="1"/>
  <c r="AH43" i="50" s="1"/>
  <c r="AH44" i="50" s="1"/>
  <c r="M30" i="49"/>
  <c r="M31" i="49" s="1"/>
  <c r="M32" i="49" s="1"/>
  <c r="M33" i="49" s="1"/>
  <c r="M34" i="49" s="1"/>
  <c r="M35" i="49" s="1"/>
  <c r="M36" i="49" s="1"/>
  <c r="M37" i="49" s="1"/>
  <c r="M38" i="49" s="1"/>
  <c r="M39" i="49" s="1"/>
  <c r="M40" i="49" s="1"/>
  <c r="M41" i="49" s="1"/>
  <c r="M42" i="49" s="1"/>
  <c r="M43" i="49" s="1"/>
  <c r="M44" i="49" s="1"/>
  <c r="M45" i="49" s="1"/>
  <c r="M46" i="49" s="1"/>
  <c r="I28" i="48"/>
  <c r="BB28" i="48"/>
  <c r="AF28" i="48"/>
  <c r="AR28" i="48"/>
  <c r="AH28" i="48"/>
  <c r="AH29" i="48" s="1"/>
  <c r="AH30" i="48" s="1"/>
  <c r="AH31" i="48" s="1"/>
  <c r="AH32" i="48" s="1"/>
  <c r="AH33" i="48" s="1"/>
  <c r="AH34" i="48" s="1"/>
  <c r="AH35" i="48" s="1"/>
  <c r="AH36" i="48" s="1"/>
  <c r="AH37" i="48" s="1"/>
  <c r="AH38" i="48" s="1"/>
  <c r="AH39" i="48" s="1"/>
  <c r="AH40" i="48" s="1"/>
  <c r="AH41" i="48" s="1"/>
  <c r="AH42" i="48" s="1"/>
  <c r="AH43" i="48" s="1"/>
  <c r="BD28" i="48"/>
  <c r="BD29" i="48" s="1"/>
  <c r="BD30" i="48" s="1"/>
  <c r="M30" i="50"/>
  <c r="M31" i="50" s="1"/>
  <c r="M32" i="50" s="1"/>
  <c r="M33" i="50" s="1"/>
  <c r="M34" i="50" s="1"/>
  <c r="M35" i="50" s="1"/>
  <c r="M36" i="50" s="1"/>
  <c r="M37" i="50" s="1"/>
  <c r="M38" i="50" s="1"/>
  <c r="M39" i="50" s="1"/>
  <c r="M40" i="50" s="1"/>
  <c r="M41" i="50" s="1"/>
  <c r="M42" i="50" s="1"/>
  <c r="M43" i="50" s="1"/>
  <c r="M44" i="50" s="1"/>
  <c r="M45" i="50" s="1"/>
  <c r="M46" i="50" s="1"/>
  <c r="BB28" i="49"/>
  <c r="I28" i="49"/>
  <c r="AF28" i="49"/>
  <c r="AR28" i="49"/>
  <c r="AH28" i="49"/>
  <c r="AH29" i="49" s="1"/>
  <c r="AH30" i="49" s="1"/>
  <c r="AH31" i="49" s="1"/>
  <c r="AH32" i="49" s="1"/>
  <c r="AH33" i="49" s="1"/>
  <c r="AH34" i="49" s="1"/>
  <c r="AH35" i="49" s="1"/>
  <c r="AH36" i="49" s="1"/>
  <c r="AH37" i="49" s="1"/>
  <c r="AH38" i="49" s="1"/>
  <c r="AH39" i="49" s="1"/>
  <c r="AH40" i="49" s="1"/>
  <c r="AH41" i="49" s="1"/>
  <c r="AH42" i="49" s="1"/>
  <c r="AH43" i="49" s="1"/>
  <c r="M30" i="48"/>
  <c r="M31" i="48" s="1"/>
  <c r="M32" i="48" s="1"/>
  <c r="M33" i="48" s="1"/>
  <c r="M34" i="48" s="1"/>
  <c r="M35" i="48" s="1"/>
  <c r="M36" i="48" s="1"/>
  <c r="M37" i="48" s="1"/>
  <c r="M38" i="48" s="1"/>
  <c r="M39" i="48" s="1"/>
  <c r="M40" i="48" s="1"/>
  <c r="M41" i="48" s="1"/>
  <c r="M42" i="48" s="1"/>
  <c r="M43" i="48" s="1"/>
  <c r="M44" i="48" s="1"/>
  <c r="M45" i="48" s="1"/>
  <c r="M46" i="48" s="1"/>
  <c r="BD28" i="50"/>
  <c r="BD29" i="50" s="1"/>
  <c r="BD30" i="50" s="1"/>
  <c r="N53" i="4"/>
  <c r="AR14" i="24"/>
  <c r="AF14" i="50"/>
  <c r="AF14" i="48"/>
  <c r="AF14" i="47"/>
  <c r="AF14" i="49"/>
  <c r="AJ29" i="50"/>
  <c r="BD30" i="49"/>
  <c r="AJ16" i="42"/>
  <c r="AF11" i="42" s="1"/>
  <c r="AJ16" i="43"/>
  <c r="AF11" i="43" s="1"/>
  <c r="BB47" i="42"/>
  <c r="AJ29" i="47"/>
  <c r="AJ30" i="47" s="1"/>
  <c r="AJ31" i="47" s="1"/>
  <c r="AJ32" i="47" s="1"/>
  <c r="AJ33" i="47" s="1"/>
  <c r="AJ34" i="47" s="1"/>
  <c r="AJ35" i="47" s="1"/>
  <c r="AJ36" i="47" s="1"/>
  <c r="AJ37" i="47" s="1"/>
  <c r="AJ38" i="47" s="1"/>
  <c r="AJ39" i="47" s="1"/>
  <c r="AJ40" i="47" s="1"/>
  <c r="AJ41" i="47" s="1"/>
  <c r="AJ42" i="47" s="1"/>
  <c r="AJ43" i="47" s="1"/>
  <c r="AJ44" i="47" s="1"/>
  <c r="AJ45" i="47" s="1"/>
  <c r="AJ46" i="47" s="1"/>
  <c r="AJ47" i="47" s="1"/>
  <c r="AL28" i="47"/>
  <c r="S46" i="42"/>
  <c r="I47" i="42"/>
  <c r="BB47" i="43"/>
  <c r="I47" i="43"/>
  <c r="S46" i="43"/>
  <c r="BB29" i="47"/>
  <c r="BF28" i="47"/>
  <c r="M58" i="47"/>
  <c r="AH29" i="47"/>
  <c r="AH30" i="47" s="1"/>
  <c r="AH31" i="47" s="1"/>
  <c r="AH32" i="47" s="1"/>
  <c r="AH33" i="47" s="1"/>
  <c r="AH34" i="47" s="1"/>
  <c r="AH35" i="47" s="1"/>
  <c r="AH36" i="47" s="1"/>
  <c r="AH37" i="47" s="1"/>
  <c r="AH38" i="47" s="1"/>
  <c r="AH39" i="47" s="1"/>
  <c r="AH40" i="47" s="1"/>
  <c r="AH41" i="47" s="1"/>
  <c r="AH42" i="47" s="1"/>
  <c r="AH43" i="47" s="1"/>
  <c r="AH44" i="47" s="1"/>
  <c r="AH45" i="47" s="1"/>
  <c r="AH46" i="47" s="1"/>
  <c r="AH47" i="47" s="1"/>
  <c r="I29" i="47"/>
  <c r="S28" i="47"/>
  <c r="AR29" i="47"/>
  <c r="AR30" i="47" s="1"/>
  <c r="AR31" i="47" s="1"/>
  <c r="AR32" i="47" s="1"/>
  <c r="AR33" i="47" s="1"/>
  <c r="AR34" i="47" s="1"/>
  <c r="AR35" i="47" s="1"/>
  <c r="AR36" i="47" s="1"/>
  <c r="AR37" i="47" s="1"/>
  <c r="AR38" i="47" s="1"/>
  <c r="AR39" i="47" s="1"/>
  <c r="AR40" i="47" s="1"/>
  <c r="AR41" i="47" s="1"/>
  <c r="AR42" i="47" s="1"/>
  <c r="AR43" i="47" s="1"/>
  <c r="AR44" i="47" s="1"/>
  <c r="AR45" i="47" s="1"/>
  <c r="AR46" i="47" s="1"/>
  <c r="AR47" i="47" s="1"/>
  <c r="BD29" i="47"/>
  <c r="BD30" i="47" s="1"/>
  <c r="BD31" i="47" s="1"/>
  <c r="BD32" i="47" s="1"/>
  <c r="BD33" i="47" s="1"/>
  <c r="BD34" i="47" s="1"/>
  <c r="BD35" i="47" s="1"/>
  <c r="BD36" i="47" s="1"/>
  <c r="BD37" i="47" s="1"/>
  <c r="BD38" i="47" s="1"/>
  <c r="BD39" i="47" s="1"/>
  <c r="BD40" i="47" s="1"/>
  <c r="BD41" i="47" s="1"/>
  <c r="BD42" i="47" s="1"/>
  <c r="BD43" i="47" s="1"/>
  <c r="BD44" i="47" s="1"/>
  <c r="BD45" i="47" s="1"/>
  <c r="BD46" i="47" s="1"/>
  <c r="BD47" i="47" s="1"/>
  <c r="AF40" i="24"/>
  <c r="H53" i="4"/>
  <c r="O53" i="4"/>
  <c r="AJ15" i="43" l="1"/>
  <c r="AR28" i="43" s="1"/>
  <c r="BD70" i="74"/>
  <c r="M41" i="74"/>
  <c r="S40" i="74"/>
  <c r="BF40" i="74"/>
  <c r="BB41" i="74"/>
  <c r="AV13" i="74"/>
  <c r="AJ38" i="74" s="1"/>
  <c r="AJ13" i="70"/>
  <c r="AJ28" i="70" s="1"/>
  <c r="AV13" i="65"/>
  <c r="AJ38" i="65" s="1"/>
  <c r="AV13" i="62"/>
  <c r="AJ38" i="62" s="1"/>
  <c r="AJ39" i="62" s="1"/>
  <c r="AV13" i="61"/>
  <c r="AJ38" i="61" s="1"/>
  <c r="AJ39" i="61" s="1"/>
  <c r="AV13" i="63"/>
  <c r="AJ38" i="63" s="1"/>
  <c r="AJ39" i="63" s="1"/>
  <c r="AJ40" i="63" s="1"/>
  <c r="AV13" i="60"/>
  <c r="AJ38" i="60" s="1"/>
  <c r="AJ39" i="60" s="1"/>
  <c r="AJ40" i="60" s="1"/>
  <c r="AJ41" i="60" s="1"/>
  <c r="AJ42" i="60" s="1"/>
  <c r="AJ43" i="60" s="1"/>
  <c r="AJ44" i="60" s="1"/>
  <c r="AJ45" i="60" s="1"/>
  <c r="AJ46" i="60" s="1"/>
  <c r="AJ47" i="60" s="1"/>
  <c r="AJ48" i="60" s="1"/>
  <c r="AJ49" i="60" s="1"/>
  <c r="AJ50" i="60" s="1"/>
  <c r="AJ51" i="60" s="1"/>
  <c r="AJ52" i="60" s="1"/>
  <c r="AJ53" i="60" s="1"/>
  <c r="AJ54" i="60" s="1"/>
  <c r="AJ55" i="60" s="1"/>
  <c r="AJ56" i="60" s="1"/>
  <c r="AJ57" i="60" s="1"/>
  <c r="AJ58" i="60" s="1"/>
  <c r="AJ59" i="60" s="1"/>
  <c r="AJ60" i="60" s="1"/>
  <c r="AJ61" i="60" s="1"/>
  <c r="AJ62" i="60" s="1"/>
  <c r="AJ63" i="60" s="1"/>
  <c r="AJ64" i="60" s="1"/>
  <c r="AJ65" i="60" s="1"/>
  <c r="AJ66" i="60" s="1"/>
  <c r="AJ67" i="60" s="1"/>
  <c r="AJ68" i="60" s="1"/>
  <c r="AV13" i="59"/>
  <c r="AJ38" i="59" s="1"/>
  <c r="AJ39" i="59" s="1"/>
  <c r="AJ40" i="59" s="1"/>
  <c r="AJ41" i="59" s="1"/>
  <c r="AJ42" i="59" s="1"/>
  <c r="AJ43" i="59" s="1"/>
  <c r="AJ44" i="59" s="1"/>
  <c r="AJ45" i="59" s="1"/>
  <c r="AJ46" i="59" s="1"/>
  <c r="AJ47" i="59" s="1"/>
  <c r="AJ48" i="59" s="1"/>
  <c r="AJ49" i="59" s="1"/>
  <c r="AJ50" i="59" s="1"/>
  <c r="AJ51" i="59" s="1"/>
  <c r="AJ52" i="59" s="1"/>
  <c r="AJ53" i="59" s="1"/>
  <c r="AJ54" i="59" s="1"/>
  <c r="AJ55" i="59" s="1"/>
  <c r="AJ56" i="59" s="1"/>
  <c r="AJ57" i="59" s="1"/>
  <c r="AJ58" i="59" s="1"/>
  <c r="AJ59" i="59" s="1"/>
  <c r="AJ60" i="59" s="1"/>
  <c r="AJ61" i="59" s="1"/>
  <c r="AJ62" i="59" s="1"/>
  <c r="AJ63" i="59" s="1"/>
  <c r="AJ64" i="59" s="1"/>
  <c r="AJ65" i="59" s="1"/>
  <c r="AJ66" i="59" s="1"/>
  <c r="AJ67" i="59" s="1"/>
  <c r="AJ68" i="59" s="1"/>
  <c r="AV13" i="31"/>
  <c r="AV13" i="58"/>
  <c r="AJ38" i="58" s="1"/>
  <c r="AJ39" i="58" s="1"/>
  <c r="AJ40" i="58" s="1"/>
  <c r="AJ41" i="58" s="1"/>
  <c r="AJ42" i="58" s="1"/>
  <c r="AJ43" i="58" s="1"/>
  <c r="AJ44" i="58" s="1"/>
  <c r="AJ45" i="58" s="1"/>
  <c r="AJ46" i="58" s="1"/>
  <c r="AJ47" i="58" s="1"/>
  <c r="AJ48" i="58" s="1"/>
  <c r="AJ49" i="58" s="1"/>
  <c r="AJ50" i="58" s="1"/>
  <c r="AJ51" i="58" s="1"/>
  <c r="AJ52" i="58" s="1"/>
  <c r="AJ53" i="58" s="1"/>
  <c r="AJ54" i="58" s="1"/>
  <c r="AJ55" i="58" s="1"/>
  <c r="AJ56" i="58" s="1"/>
  <c r="AJ57" i="58" s="1"/>
  <c r="AJ58" i="58" s="1"/>
  <c r="AJ59" i="58" s="1"/>
  <c r="AJ60" i="58" s="1"/>
  <c r="AJ61" i="58" s="1"/>
  <c r="AJ62" i="58" s="1"/>
  <c r="AJ63" i="58" s="1"/>
  <c r="AJ64" i="58" s="1"/>
  <c r="AJ65" i="58" s="1"/>
  <c r="AJ66" i="58" s="1"/>
  <c r="AJ67" i="58" s="1"/>
  <c r="AJ68" i="58" s="1"/>
  <c r="AV13" i="57"/>
  <c r="AJ39" i="57" s="1"/>
  <c r="AJ40" i="57" s="1"/>
  <c r="AF30" i="70"/>
  <c r="BK11" i="59"/>
  <c r="AR12" i="59"/>
  <c r="BK11" i="61"/>
  <c r="AR12" i="61"/>
  <c r="AJ59" i="66"/>
  <c r="AF40" i="74"/>
  <c r="BK11" i="60"/>
  <c r="AR12" i="60"/>
  <c r="BK11" i="62"/>
  <c r="AR12" i="62"/>
  <c r="AV11" i="74"/>
  <c r="AH38" i="74" s="1"/>
  <c r="AJ11" i="70"/>
  <c r="AH28" i="70" s="1"/>
  <c r="AV11" i="61"/>
  <c r="AH38" i="61" s="1"/>
  <c r="AV11" i="65"/>
  <c r="AH38" i="65" s="1"/>
  <c r="AV11" i="63"/>
  <c r="AH38" i="63" s="1"/>
  <c r="AV11" i="62"/>
  <c r="AH38" i="62" s="1"/>
  <c r="AV11" i="60"/>
  <c r="AH38" i="60" s="1"/>
  <c r="AV11" i="57"/>
  <c r="AH39" i="57" s="1"/>
  <c r="AH40" i="57" s="1"/>
  <c r="AH41" i="57" s="1"/>
  <c r="AH42" i="57" s="1"/>
  <c r="AH43" i="57" s="1"/>
  <c r="AH44" i="57" s="1"/>
  <c r="AH45" i="57" s="1"/>
  <c r="AH46" i="57" s="1"/>
  <c r="AH47" i="57" s="1"/>
  <c r="AH48" i="57" s="1"/>
  <c r="AH49" i="57" s="1"/>
  <c r="AH50" i="57" s="1"/>
  <c r="AH51" i="57" s="1"/>
  <c r="AH52" i="57" s="1"/>
  <c r="AH53" i="57" s="1"/>
  <c r="AH54" i="57" s="1"/>
  <c r="AH55" i="57" s="1"/>
  <c r="AH56" i="57" s="1"/>
  <c r="AH57" i="57" s="1"/>
  <c r="AH58" i="57" s="1"/>
  <c r="AH59" i="57" s="1"/>
  <c r="AH60" i="57" s="1"/>
  <c r="AH61" i="57" s="1"/>
  <c r="AH62" i="57" s="1"/>
  <c r="AH63" i="57" s="1"/>
  <c r="AH64" i="57" s="1"/>
  <c r="AH65" i="57" s="1"/>
  <c r="AH66" i="57" s="1"/>
  <c r="AH67" i="57" s="1"/>
  <c r="AH68" i="57" s="1"/>
  <c r="AH69" i="57" s="1"/>
  <c r="AV11" i="59"/>
  <c r="AH38" i="59" s="1"/>
  <c r="AV11" i="31"/>
  <c r="AV11" i="58"/>
  <c r="AH38" i="58" s="1"/>
  <c r="AH39" i="58" s="1"/>
  <c r="AH40" i="58" s="1"/>
  <c r="AH41" i="58" s="1"/>
  <c r="AH42" i="58" s="1"/>
  <c r="AH43" i="58" s="1"/>
  <c r="AH44" i="58" s="1"/>
  <c r="AH45" i="58" s="1"/>
  <c r="AH46" i="58" s="1"/>
  <c r="AH47" i="58" s="1"/>
  <c r="AH48" i="58" s="1"/>
  <c r="AH49" i="58" s="1"/>
  <c r="AH50" i="58" s="1"/>
  <c r="AH51" i="58" s="1"/>
  <c r="AH52" i="58" s="1"/>
  <c r="AH53" i="58" s="1"/>
  <c r="AH54" i="58" s="1"/>
  <c r="AH55" i="58" s="1"/>
  <c r="AH56" i="58" s="1"/>
  <c r="AH57" i="58" s="1"/>
  <c r="AH58" i="58" s="1"/>
  <c r="AH59" i="58" s="1"/>
  <c r="AH60" i="58" s="1"/>
  <c r="AH61" i="58" s="1"/>
  <c r="AH62" i="58" s="1"/>
  <c r="AH63" i="58" s="1"/>
  <c r="AH64" i="58" s="1"/>
  <c r="AH65" i="58" s="1"/>
  <c r="AH66" i="58" s="1"/>
  <c r="AH67" i="58" s="1"/>
  <c r="AH68" i="58" s="1"/>
  <c r="BK11" i="63"/>
  <c r="AR12" i="63"/>
  <c r="BD11" i="70"/>
  <c r="AF12" i="70"/>
  <c r="AR14" i="74"/>
  <c r="AR14" i="62"/>
  <c r="AR14" i="61"/>
  <c r="AR14" i="63"/>
  <c r="AR14" i="65"/>
  <c r="AR14" i="60"/>
  <c r="AR14" i="58"/>
  <c r="AR14" i="57"/>
  <c r="AR14" i="59"/>
  <c r="AR14" i="31"/>
  <c r="AF14" i="70"/>
  <c r="AV15" i="74"/>
  <c r="AR38" i="74" s="1"/>
  <c r="AJ15" i="70"/>
  <c r="AR28" i="70" s="1"/>
  <c r="AV15" i="65"/>
  <c r="AR38" i="65" s="1"/>
  <c r="AV15" i="62"/>
  <c r="AR38" i="62" s="1"/>
  <c r="AV15" i="61"/>
  <c r="AR38" i="61" s="1"/>
  <c r="AV15" i="63"/>
  <c r="AR38" i="63" s="1"/>
  <c r="AV15" i="60"/>
  <c r="AR38" i="60" s="1"/>
  <c r="AV15" i="59"/>
  <c r="AR38" i="59" s="1"/>
  <c r="AV15" i="57"/>
  <c r="AR39" i="57" s="1"/>
  <c r="AV15" i="58"/>
  <c r="AR38" i="58" s="1"/>
  <c r="AR39" i="58" s="1"/>
  <c r="AR40" i="58" s="1"/>
  <c r="AR41" i="58" s="1"/>
  <c r="AR42" i="58" s="1"/>
  <c r="AR43" i="58" s="1"/>
  <c r="AR44" i="58" s="1"/>
  <c r="AR45" i="58" s="1"/>
  <c r="AR46" i="58" s="1"/>
  <c r="AR47" i="58" s="1"/>
  <c r="AR48" i="58" s="1"/>
  <c r="AR49" i="58" s="1"/>
  <c r="AR50" i="58" s="1"/>
  <c r="AR51" i="58" s="1"/>
  <c r="AR52" i="58" s="1"/>
  <c r="AR53" i="58" s="1"/>
  <c r="AR54" i="58" s="1"/>
  <c r="AR55" i="58" s="1"/>
  <c r="AR56" i="58" s="1"/>
  <c r="AR57" i="58" s="1"/>
  <c r="AR58" i="58" s="1"/>
  <c r="AR59" i="58" s="1"/>
  <c r="AR60" i="58" s="1"/>
  <c r="AR61" i="58" s="1"/>
  <c r="AR62" i="58" s="1"/>
  <c r="AR63" i="58" s="1"/>
  <c r="AR64" i="58" s="1"/>
  <c r="AR65" i="58" s="1"/>
  <c r="AR66" i="58" s="1"/>
  <c r="AR67" i="58" s="1"/>
  <c r="AR68" i="58" s="1"/>
  <c r="AR12" i="65"/>
  <c r="BK11" i="65"/>
  <c r="BK11" i="74"/>
  <c r="AR12" i="74"/>
  <c r="AF40" i="61"/>
  <c r="M40" i="59"/>
  <c r="S39" i="59"/>
  <c r="K29" i="68"/>
  <c r="K30" i="68" s="1"/>
  <c r="K31" i="68" s="1"/>
  <c r="K32" i="68" s="1"/>
  <c r="K33" i="68" s="1"/>
  <c r="K34" i="68" s="1"/>
  <c r="K35" i="68" s="1"/>
  <c r="K36" i="68" s="1"/>
  <c r="K37" i="68" s="1"/>
  <c r="K38" i="68" s="1"/>
  <c r="K39" i="68" s="1"/>
  <c r="K40" i="68" s="1"/>
  <c r="K41" i="68" s="1"/>
  <c r="K42" i="68" s="1"/>
  <c r="K43" i="68" s="1"/>
  <c r="K44" i="68" s="1"/>
  <c r="K45" i="68" s="1"/>
  <c r="K46" i="68" s="1"/>
  <c r="K47" i="68" s="1"/>
  <c r="K48" i="68" s="1"/>
  <c r="K49" i="68" s="1"/>
  <c r="K50" i="68" s="1"/>
  <c r="K51" i="68" s="1"/>
  <c r="K52" i="68" s="1"/>
  <c r="K53" i="68" s="1"/>
  <c r="K54" i="68" s="1"/>
  <c r="K55" i="68" s="1"/>
  <c r="K56" i="68" s="1"/>
  <c r="K57" i="68" s="1"/>
  <c r="BB29" i="69"/>
  <c r="AJ40" i="62"/>
  <c r="AJ41" i="62" s="1"/>
  <c r="AJ42" i="62" s="1"/>
  <c r="AJ43" i="62" s="1"/>
  <c r="AJ44" i="62" s="1"/>
  <c r="AJ45" i="62" s="1"/>
  <c r="AJ46" i="62" s="1"/>
  <c r="AJ47" i="62" s="1"/>
  <c r="AJ48" i="62" s="1"/>
  <c r="AJ49" i="62" s="1"/>
  <c r="AJ50" i="62" s="1"/>
  <c r="AJ51" i="62" s="1"/>
  <c r="AJ52" i="62" s="1"/>
  <c r="AJ53" i="62" s="1"/>
  <c r="AJ54" i="62" s="1"/>
  <c r="AJ55" i="62" s="1"/>
  <c r="AJ56" i="62" s="1"/>
  <c r="AJ57" i="62" s="1"/>
  <c r="AJ58" i="62" s="1"/>
  <c r="AJ59" i="62" s="1"/>
  <c r="AJ60" i="62" s="1"/>
  <c r="AJ61" i="62" s="1"/>
  <c r="AJ62" i="62" s="1"/>
  <c r="AJ63" i="62" s="1"/>
  <c r="AJ64" i="62" s="1"/>
  <c r="AJ65" i="62" s="1"/>
  <c r="AJ66" i="62" s="1"/>
  <c r="AJ67" i="62" s="1"/>
  <c r="AJ68" i="62" s="1"/>
  <c r="AJ40" i="61"/>
  <c r="AJ41" i="61" s="1"/>
  <c r="AJ42" i="61" s="1"/>
  <c r="AJ43" i="61" s="1"/>
  <c r="AJ44" i="61" s="1"/>
  <c r="AJ45" i="61" s="1"/>
  <c r="AJ46" i="61" s="1"/>
  <c r="AJ47" i="61" s="1"/>
  <c r="AJ48" i="61" s="1"/>
  <c r="AJ49" i="61" s="1"/>
  <c r="AJ50" i="61" s="1"/>
  <c r="AJ51" i="61" s="1"/>
  <c r="AJ52" i="61" s="1"/>
  <c r="AJ53" i="61" s="1"/>
  <c r="AJ54" i="61" s="1"/>
  <c r="AJ55" i="61" s="1"/>
  <c r="AJ56" i="61" s="1"/>
  <c r="AJ57" i="61" s="1"/>
  <c r="AJ58" i="61" s="1"/>
  <c r="AJ59" i="61" s="1"/>
  <c r="AJ60" i="61" s="1"/>
  <c r="AJ61" i="61" s="1"/>
  <c r="AJ62" i="61" s="1"/>
  <c r="AJ63" i="61" s="1"/>
  <c r="AJ64" i="61" s="1"/>
  <c r="AJ65" i="61" s="1"/>
  <c r="AJ66" i="61" s="1"/>
  <c r="AJ67" i="61" s="1"/>
  <c r="AJ68" i="61" s="1"/>
  <c r="M59" i="67"/>
  <c r="AF40" i="59"/>
  <c r="BD29" i="68"/>
  <c r="BD30" i="68" s="1"/>
  <c r="BD31" i="68" s="1"/>
  <c r="BD32" i="68" s="1"/>
  <c r="BD33" i="68" s="1"/>
  <c r="BD34" i="68" s="1"/>
  <c r="BD35" i="68" s="1"/>
  <c r="BD36" i="68" s="1"/>
  <c r="BD37" i="68" s="1"/>
  <c r="BD38" i="68" s="1"/>
  <c r="BD39" i="68" s="1"/>
  <c r="BD40" i="68" s="1"/>
  <c r="BD41" i="68" s="1"/>
  <c r="BD42" i="68" s="1"/>
  <c r="BD43" i="68" s="1"/>
  <c r="BD44" i="68" s="1"/>
  <c r="BD45" i="68" s="1"/>
  <c r="BD46" i="68" s="1"/>
  <c r="BD47" i="68" s="1"/>
  <c r="BD48" i="68" s="1"/>
  <c r="BD49" i="68" s="1"/>
  <c r="BD50" i="68" s="1"/>
  <c r="BD51" i="68" s="1"/>
  <c r="BD52" i="68" s="1"/>
  <c r="BD53" i="68" s="1"/>
  <c r="BD54" i="68" s="1"/>
  <c r="BD55" i="68" s="1"/>
  <c r="BD56" i="68" s="1"/>
  <c r="BD57" i="68" s="1"/>
  <c r="S28" i="68"/>
  <c r="I29" i="68"/>
  <c r="I29" i="67"/>
  <c r="I30" i="67" s="1"/>
  <c r="I31" i="67" s="1"/>
  <c r="I32" i="67" s="1"/>
  <c r="I33" i="67" s="1"/>
  <c r="I34" i="67" s="1"/>
  <c r="I35" i="67" s="1"/>
  <c r="I36" i="67" s="1"/>
  <c r="I37" i="67" s="1"/>
  <c r="I38" i="67" s="1"/>
  <c r="I39" i="67" s="1"/>
  <c r="I40" i="67" s="1"/>
  <c r="I41" i="67" s="1"/>
  <c r="I42" i="67" s="1"/>
  <c r="I43" i="67" s="1"/>
  <c r="I44" i="67" s="1"/>
  <c r="I45" i="67" s="1"/>
  <c r="I46" i="67" s="1"/>
  <c r="I47" i="67" s="1"/>
  <c r="I48" i="67" s="1"/>
  <c r="I49" i="67" s="1"/>
  <c r="I50" i="67" s="1"/>
  <c r="I51" i="67" s="1"/>
  <c r="I52" i="67" s="1"/>
  <c r="I53" i="67" s="1"/>
  <c r="I54" i="67" s="1"/>
  <c r="I55" i="67" s="1"/>
  <c r="I56" i="67" s="1"/>
  <c r="I57" i="67" s="1"/>
  <c r="AH29" i="67"/>
  <c r="AH30" i="67" s="1"/>
  <c r="AH31" i="67" s="1"/>
  <c r="AH32" i="67" s="1"/>
  <c r="AH33" i="67" s="1"/>
  <c r="AH34" i="67" s="1"/>
  <c r="AH35" i="67" s="1"/>
  <c r="AH36" i="67" s="1"/>
  <c r="AH37" i="67" s="1"/>
  <c r="AH38" i="67" s="1"/>
  <c r="AH39" i="67" s="1"/>
  <c r="AH40" i="67" s="1"/>
  <c r="AH41" i="67" s="1"/>
  <c r="AH42" i="67" s="1"/>
  <c r="AH43" i="67" s="1"/>
  <c r="AH44" i="67" s="1"/>
  <c r="AH45" i="67" s="1"/>
  <c r="AH46" i="67" s="1"/>
  <c r="AH47" i="67" s="1"/>
  <c r="AH48" i="67" s="1"/>
  <c r="AH49" i="67" s="1"/>
  <c r="AH50" i="67" s="1"/>
  <c r="AH51" i="67" s="1"/>
  <c r="AH52" i="67" s="1"/>
  <c r="AH53" i="67" s="1"/>
  <c r="AH54" i="67" s="1"/>
  <c r="AH55" i="67" s="1"/>
  <c r="AH56" i="67" s="1"/>
  <c r="AH57" i="67" s="1"/>
  <c r="BB40" i="63"/>
  <c r="BF39" i="63"/>
  <c r="BD40" i="62"/>
  <c r="BD41" i="62" s="1"/>
  <c r="BD42" i="62" s="1"/>
  <c r="BD43" i="62" s="1"/>
  <c r="BD44" i="62" s="1"/>
  <c r="BD45" i="62" s="1"/>
  <c r="BD46" i="62" s="1"/>
  <c r="BD47" i="62" s="1"/>
  <c r="BD48" i="62" s="1"/>
  <c r="BD49" i="62" s="1"/>
  <c r="BD50" i="62" s="1"/>
  <c r="BD51" i="62" s="1"/>
  <c r="BD52" i="62" s="1"/>
  <c r="BD53" i="62" s="1"/>
  <c r="BD54" i="62" s="1"/>
  <c r="BD55" i="62" s="1"/>
  <c r="BD56" i="62" s="1"/>
  <c r="BD57" i="62" s="1"/>
  <c r="BD58" i="62" s="1"/>
  <c r="BD59" i="62" s="1"/>
  <c r="BD60" i="62" s="1"/>
  <c r="BD61" i="62" s="1"/>
  <c r="BD62" i="62" s="1"/>
  <c r="BD63" i="62" s="1"/>
  <c r="BD64" i="62" s="1"/>
  <c r="BD65" i="62" s="1"/>
  <c r="BD66" i="62" s="1"/>
  <c r="BD67" i="62" s="1"/>
  <c r="BD68" i="62" s="1"/>
  <c r="AR29" i="68"/>
  <c r="AR30" i="68" s="1"/>
  <c r="AR31" i="68" s="1"/>
  <c r="AR32" i="68" s="1"/>
  <c r="AR33" i="68" s="1"/>
  <c r="AR34" i="68" s="1"/>
  <c r="AR35" i="68" s="1"/>
  <c r="AR36" i="68" s="1"/>
  <c r="AR37" i="68" s="1"/>
  <c r="AR38" i="68" s="1"/>
  <c r="AR39" i="68" s="1"/>
  <c r="AR40" i="68" s="1"/>
  <c r="AR41" i="68" s="1"/>
  <c r="AR42" i="68" s="1"/>
  <c r="AR43" i="68" s="1"/>
  <c r="AR44" i="68" s="1"/>
  <c r="AR45" i="68" s="1"/>
  <c r="AR46" i="68" s="1"/>
  <c r="AR47" i="68" s="1"/>
  <c r="AR48" i="68" s="1"/>
  <c r="AR49" i="68" s="1"/>
  <c r="AR50" i="68" s="1"/>
  <c r="AR51" i="68" s="1"/>
  <c r="AR52" i="68" s="1"/>
  <c r="AR53" i="68" s="1"/>
  <c r="AR54" i="68" s="1"/>
  <c r="AR55" i="68" s="1"/>
  <c r="AR56" i="68" s="1"/>
  <c r="AR57" i="68" s="1"/>
  <c r="M40" i="60"/>
  <c r="M41" i="60" s="1"/>
  <c r="M42" i="60" s="1"/>
  <c r="M43" i="60" s="1"/>
  <c r="M44" i="60" s="1"/>
  <c r="M45" i="60" s="1"/>
  <c r="M46" i="60" s="1"/>
  <c r="M47" i="60" s="1"/>
  <c r="M48" i="60" s="1"/>
  <c r="M49" i="60" s="1"/>
  <c r="M50" i="60" s="1"/>
  <c r="M51" i="60" s="1"/>
  <c r="M52" i="60" s="1"/>
  <c r="M53" i="60" s="1"/>
  <c r="M54" i="60" s="1"/>
  <c r="M55" i="60" s="1"/>
  <c r="M56" i="60" s="1"/>
  <c r="M57" i="60" s="1"/>
  <c r="M58" i="60" s="1"/>
  <c r="M59" i="60" s="1"/>
  <c r="M60" i="60" s="1"/>
  <c r="M61" i="60" s="1"/>
  <c r="M62" i="60" s="1"/>
  <c r="M63" i="60" s="1"/>
  <c r="M64" i="60" s="1"/>
  <c r="M65" i="60" s="1"/>
  <c r="M66" i="60" s="1"/>
  <c r="M67" i="60" s="1"/>
  <c r="M68" i="60" s="1"/>
  <c r="AF40" i="60"/>
  <c r="AR29" i="67"/>
  <c r="AR30" i="67" s="1"/>
  <c r="AR31" i="67" s="1"/>
  <c r="AR32" i="67" s="1"/>
  <c r="AR33" i="67" s="1"/>
  <c r="AR34" i="67" s="1"/>
  <c r="AR35" i="67" s="1"/>
  <c r="AR36" i="67" s="1"/>
  <c r="AR37" i="67" s="1"/>
  <c r="AR38" i="67" s="1"/>
  <c r="AR39" i="67" s="1"/>
  <c r="AR40" i="67" s="1"/>
  <c r="AR41" i="67" s="1"/>
  <c r="AR42" i="67" s="1"/>
  <c r="AR43" i="67" s="1"/>
  <c r="AR44" i="67" s="1"/>
  <c r="AR45" i="67" s="1"/>
  <c r="AR46" i="67" s="1"/>
  <c r="AR47" i="67" s="1"/>
  <c r="AR48" i="67" s="1"/>
  <c r="AR49" i="67" s="1"/>
  <c r="AR50" i="67" s="1"/>
  <c r="AR51" i="67" s="1"/>
  <c r="AR52" i="67" s="1"/>
  <c r="AR53" i="67" s="1"/>
  <c r="AR54" i="67" s="1"/>
  <c r="AR55" i="67" s="1"/>
  <c r="AR56" i="67" s="1"/>
  <c r="AR57" i="67" s="1"/>
  <c r="BD29" i="67"/>
  <c r="BD30" i="67" s="1"/>
  <c r="BD31" i="67" s="1"/>
  <c r="BD32" i="67" s="1"/>
  <c r="BD33" i="67" s="1"/>
  <c r="BD34" i="67" s="1"/>
  <c r="BD35" i="67" s="1"/>
  <c r="BD36" i="67" s="1"/>
  <c r="BD37" i="67" s="1"/>
  <c r="BD38" i="67" s="1"/>
  <c r="BD39" i="67" s="1"/>
  <c r="BD40" i="67" s="1"/>
  <c r="BD41" i="67" s="1"/>
  <c r="BD42" i="67" s="1"/>
  <c r="BD43" i="67" s="1"/>
  <c r="BD44" i="67" s="1"/>
  <c r="BD45" i="67" s="1"/>
  <c r="BD46" i="67" s="1"/>
  <c r="BD47" i="67" s="1"/>
  <c r="BD48" i="67" s="1"/>
  <c r="BD49" i="67" s="1"/>
  <c r="BD50" i="67" s="1"/>
  <c r="BD51" i="67" s="1"/>
  <c r="BD52" i="67" s="1"/>
  <c r="BD53" i="67" s="1"/>
  <c r="BD54" i="67" s="1"/>
  <c r="BD55" i="67" s="1"/>
  <c r="BD56" i="67" s="1"/>
  <c r="BD57" i="67" s="1"/>
  <c r="AF40" i="63"/>
  <c r="BF39" i="62"/>
  <c r="BB40" i="62"/>
  <c r="M40" i="62"/>
  <c r="S39" i="62"/>
  <c r="BB40" i="61"/>
  <c r="BF39" i="61"/>
  <c r="BB40" i="59"/>
  <c r="BF39" i="59"/>
  <c r="BB29" i="68"/>
  <c r="BF28" i="68"/>
  <c r="AH29" i="68"/>
  <c r="AH30" i="68" s="1"/>
  <c r="AH31" i="68" s="1"/>
  <c r="AH32" i="68" s="1"/>
  <c r="AH33" i="68" s="1"/>
  <c r="AH34" i="68" s="1"/>
  <c r="AH35" i="68" s="1"/>
  <c r="AH36" i="68" s="1"/>
  <c r="AH37" i="68" s="1"/>
  <c r="AH38" i="68" s="1"/>
  <c r="AH39" i="68" s="1"/>
  <c r="AH40" i="68" s="1"/>
  <c r="AH41" i="68" s="1"/>
  <c r="AH42" i="68" s="1"/>
  <c r="AH43" i="68" s="1"/>
  <c r="AH44" i="68" s="1"/>
  <c r="AH45" i="68" s="1"/>
  <c r="AH46" i="68" s="1"/>
  <c r="AH47" i="68" s="1"/>
  <c r="AH48" i="68" s="1"/>
  <c r="AH49" i="68" s="1"/>
  <c r="AH50" i="68" s="1"/>
  <c r="AH51" i="68" s="1"/>
  <c r="AH52" i="68" s="1"/>
  <c r="AH53" i="68" s="1"/>
  <c r="AH54" i="68" s="1"/>
  <c r="AH55" i="68" s="1"/>
  <c r="AH56" i="68" s="1"/>
  <c r="AH57" i="68" s="1"/>
  <c r="M59" i="68"/>
  <c r="BB29" i="67"/>
  <c r="BB30" i="67" s="1"/>
  <c r="BB31" i="67" s="1"/>
  <c r="BB32" i="67" s="1"/>
  <c r="BB33" i="67" s="1"/>
  <c r="BB34" i="67" s="1"/>
  <c r="BB35" i="67" s="1"/>
  <c r="BB36" i="67" s="1"/>
  <c r="BB37" i="67" s="1"/>
  <c r="BB38" i="67" s="1"/>
  <c r="BB39" i="67" s="1"/>
  <c r="BB40" i="67" s="1"/>
  <c r="BB41" i="67" s="1"/>
  <c r="BB42" i="67" s="1"/>
  <c r="BB43" i="67" s="1"/>
  <c r="BB44" i="67" s="1"/>
  <c r="BB45" i="67" s="1"/>
  <c r="BB46" i="67" s="1"/>
  <c r="BB47" i="67" s="1"/>
  <c r="BB48" i="67" s="1"/>
  <c r="BB49" i="67" s="1"/>
  <c r="BB50" i="67" s="1"/>
  <c r="BB51" i="67" s="1"/>
  <c r="BB52" i="67" s="1"/>
  <c r="BB53" i="67" s="1"/>
  <c r="BB54" i="67" s="1"/>
  <c r="BB55" i="67" s="1"/>
  <c r="BB56" i="67" s="1"/>
  <c r="BB57" i="67" s="1"/>
  <c r="AF29" i="67"/>
  <c r="AF30" i="67" s="1"/>
  <c r="AF31" i="67" s="1"/>
  <c r="AF32" i="67" s="1"/>
  <c r="AF33" i="67" s="1"/>
  <c r="AF34" i="67" s="1"/>
  <c r="AF35" i="67" s="1"/>
  <c r="AF36" i="67" s="1"/>
  <c r="AF37" i="67" s="1"/>
  <c r="AF38" i="67" s="1"/>
  <c r="AF39" i="67" s="1"/>
  <c r="AF40" i="67" s="1"/>
  <c r="AF41" i="67" s="1"/>
  <c r="AF42" i="67" s="1"/>
  <c r="AF43" i="67" s="1"/>
  <c r="AF44" i="67" s="1"/>
  <c r="AF45" i="67" s="1"/>
  <c r="AF46" i="67" s="1"/>
  <c r="AF47" i="67" s="1"/>
  <c r="AF48" i="67" s="1"/>
  <c r="AF49" i="67" s="1"/>
  <c r="AF50" i="67" s="1"/>
  <c r="AF51" i="67" s="1"/>
  <c r="AF52" i="67" s="1"/>
  <c r="AF53" i="67" s="1"/>
  <c r="AF54" i="67" s="1"/>
  <c r="AF55" i="67" s="1"/>
  <c r="AF56" i="67" s="1"/>
  <c r="AF57" i="67" s="1"/>
  <c r="M40" i="63"/>
  <c r="S39" i="63"/>
  <c r="AF40" i="62"/>
  <c r="M40" i="61"/>
  <c r="S39" i="61"/>
  <c r="BD40" i="61"/>
  <c r="BD41" i="61" s="1"/>
  <c r="BD42" i="61" s="1"/>
  <c r="BD43" i="61" s="1"/>
  <c r="BD44" i="61" s="1"/>
  <c r="BD45" i="61" s="1"/>
  <c r="BD46" i="61" s="1"/>
  <c r="BD47" i="61" s="1"/>
  <c r="BD48" i="61" s="1"/>
  <c r="BD49" i="61" s="1"/>
  <c r="BD50" i="61" s="1"/>
  <c r="BD51" i="61" s="1"/>
  <c r="BD52" i="61" s="1"/>
  <c r="BD53" i="61" s="1"/>
  <c r="BD54" i="61" s="1"/>
  <c r="BD55" i="61" s="1"/>
  <c r="BD56" i="61" s="1"/>
  <c r="BD57" i="61" s="1"/>
  <c r="BD58" i="61" s="1"/>
  <c r="BD59" i="61" s="1"/>
  <c r="BD60" i="61" s="1"/>
  <c r="BD61" i="61" s="1"/>
  <c r="BD62" i="61" s="1"/>
  <c r="BD63" i="61" s="1"/>
  <c r="BD64" i="61" s="1"/>
  <c r="BD65" i="61" s="1"/>
  <c r="BD66" i="61" s="1"/>
  <c r="BD67" i="61" s="1"/>
  <c r="BD68" i="61" s="1"/>
  <c r="BB49" i="70"/>
  <c r="BD40" i="59"/>
  <c r="BD41" i="59" s="1"/>
  <c r="BD42" i="59" s="1"/>
  <c r="BD43" i="59" s="1"/>
  <c r="BD44" i="59" s="1"/>
  <c r="BD45" i="59" s="1"/>
  <c r="BD46" i="59" s="1"/>
  <c r="BD47" i="59" s="1"/>
  <c r="BD48" i="59" s="1"/>
  <c r="BD49" i="59" s="1"/>
  <c r="BD50" i="59" s="1"/>
  <c r="BD51" i="59" s="1"/>
  <c r="BD52" i="59" s="1"/>
  <c r="BD53" i="59" s="1"/>
  <c r="BD54" i="59" s="1"/>
  <c r="BD55" i="59" s="1"/>
  <c r="BD56" i="59" s="1"/>
  <c r="BD57" i="59" s="1"/>
  <c r="BD58" i="59" s="1"/>
  <c r="BD59" i="59" s="1"/>
  <c r="BD60" i="59" s="1"/>
  <c r="BD61" i="59" s="1"/>
  <c r="BD62" i="59" s="1"/>
  <c r="BD63" i="59" s="1"/>
  <c r="BD64" i="59" s="1"/>
  <c r="BD65" i="59" s="1"/>
  <c r="BD66" i="59" s="1"/>
  <c r="BD67" i="59" s="1"/>
  <c r="BD68" i="59" s="1"/>
  <c r="AL28" i="68"/>
  <c r="AF29" i="68"/>
  <c r="AJ29" i="68"/>
  <c r="AJ30" i="68" s="1"/>
  <c r="AJ31" i="68" s="1"/>
  <c r="AJ32" i="68" s="1"/>
  <c r="AJ33" i="68" s="1"/>
  <c r="AJ34" i="68" s="1"/>
  <c r="AJ35" i="68" s="1"/>
  <c r="AJ36" i="68" s="1"/>
  <c r="AJ37" i="68" s="1"/>
  <c r="AJ38" i="68" s="1"/>
  <c r="AJ39" i="68" s="1"/>
  <c r="AJ40" i="68" s="1"/>
  <c r="AJ41" i="68" s="1"/>
  <c r="AJ42" i="68" s="1"/>
  <c r="AJ43" i="68" s="1"/>
  <c r="AJ44" i="68" s="1"/>
  <c r="AJ45" i="68" s="1"/>
  <c r="AJ46" i="68" s="1"/>
  <c r="AJ47" i="68" s="1"/>
  <c r="AJ48" i="68" s="1"/>
  <c r="AJ49" i="68" s="1"/>
  <c r="AJ50" i="68" s="1"/>
  <c r="AJ51" i="68" s="1"/>
  <c r="AJ52" i="68" s="1"/>
  <c r="AJ53" i="68" s="1"/>
  <c r="AJ54" i="68" s="1"/>
  <c r="AJ55" i="68" s="1"/>
  <c r="AJ56" i="68" s="1"/>
  <c r="AJ57" i="68" s="1"/>
  <c r="BB40" i="60"/>
  <c r="BF39" i="60"/>
  <c r="BD40" i="60"/>
  <c r="BD41" i="60" s="1"/>
  <c r="BD42" i="60" s="1"/>
  <c r="BD43" i="60" s="1"/>
  <c r="BD44" i="60" s="1"/>
  <c r="BD45" i="60" s="1"/>
  <c r="BD46" i="60" s="1"/>
  <c r="BD47" i="60" s="1"/>
  <c r="BD48" i="60" s="1"/>
  <c r="BD49" i="60" s="1"/>
  <c r="BD50" i="60" s="1"/>
  <c r="BD51" i="60" s="1"/>
  <c r="BD52" i="60" s="1"/>
  <c r="BD53" i="60" s="1"/>
  <c r="BD54" i="60" s="1"/>
  <c r="BD55" i="60" s="1"/>
  <c r="BD56" i="60" s="1"/>
  <c r="BD57" i="60" s="1"/>
  <c r="BD58" i="60" s="1"/>
  <c r="BD59" i="60" s="1"/>
  <c r="BD60" i="60" s="1"/>
  <c r="BD61" i="60" s="1"/>
  <c r="BD62" i="60" s="1"/>
  <c r="BD63" i="60" s="1"/>
  <c r="BD64" i="60" s="1"/>
  <c r="BD65" i="60" s="1"/>
  <c r="BD66" i="60" s="1"/>
  <c r="BD67" i="60" s="1"/>
  <c r="BD68" i="60" s="1"/>
  <c r="AJ29" i="67"/>
  <c r="AJ30" i="67" s="1"/>
  <c r="AJ31" i="67" s="1"/>
  <c r="AJ32" i="67" s="1"/>
  <c r="AJ33" i="67" s="1"/>
  <c r="AJ34" i="67" s="1"/>
  <c r="AJ35" i="67" s="1"/>
  <c r="AJ36" i="67" s="1"/>
  <c r="AJ37" i="67" s="1"/>
  <c r="AJ38" i="67" s="1"/>
  <c r="AJ39" i="67" s="1"/>
  <c r="AJ40" i="67" s="1"/>
  <c r="AJ41" i="67" s="1"/>
  <c r="AJ42" i="67" s="1"/>
  <c r="AJ43" i="67" s="1"/>
  <c r="AJ44" i="67" s="1"/>
  <c r="AJ45" i="67" s="1"/>
  <c r="AJ46" i="67" s="1"/>
  <c r="AJ47" i="67" s="1"/>
  <c r="AJ48" i="67" s="1"/>
  <c r="AJ49" i="67" s="1"/>
  <c r="AJ50" i="67" s="1"/>
  <c r="AJ51" i="67" s="1"/>
  <c r="AJ52" i="67" s="1"/>
  <c r="AJ53" i="67" s="1"/>
  <c r="AJ54" i="67" s="1"/>
  <c r="AJ55" i="67" s="1"/>
  <c r="AJ56" i="67" s="1"/>
  <c r="AJ57" i="67" s="1"/>
  <c r="K29" i="67"/>
  <c r="K30" i="67" s="1"/>
  <c r="K31" i="67" s="1"/>
  <c r="K32" i="67" s="1"/>
  <c r="K33" i="67" s="1"/>
  <c r="K34" i="67" s="1"/>
  <c r="K35" i="67" s="1"/>
  <c r="K36" i="67" s="1"/>
  <c r="K37" i="67" s="1"/>
  <c r="K38" i="67" s="1"/>
  <c r="K39" i="67" s="1"/>
  <c r="K40" i="67" s="1"/>
  <c r="K41" i="67" s="1"/>
  <c r="K42" i="67" s="1"/>
  <c r="K43" i="67" s="1"/>
  <c r="K44" i="67" s="1"/>
  <c r="K45" i="67" s="1"/>
  <c r="K46" i="67" s="1"/>
  <c r="K47" i="67" s="1"/>
  <c r="K48" i="67" s="1"/>
  <c r="K49" i="67" s="1"/>
  <c r="K50" i="67" s="1"/>
  <c r="K51" i="67" s="1"/>
  <c r="K52" i="67" s="1"/>
  <c r="K53" i="67" s="1"/>
  <c r="K54" i="67" s="1"/>
  <c r="K55" i="67" s="1"/>
  <c r="K56" i="67" s="1"/>
  <c r="K57" i="67" s="1"/>
  <c r="BD40" i="63"/>
  <c r="BD41" i="63" s="1"/>
  <c r="BD42" i="63" s="1"/>
  <c r="BD43" i="63" s="1"/>
  <c r="BD44" i="63" s="1"/>
  <c r="BD45" i="63" s="1"/>
  <c r="BD46" i="63" s="1"/>
  <c r="BD47" i="63" s="1"/>
  <c r="BD48" i="63" s="1"/>
  <c r="BD49" i="63" s="1"/>
  <c r="BD50" i="63" s="1"/>
  <c r="BD51" i="63" s="1"/>
  <c r="BD52" i="63" s="1"/>
  <c r="BD53" i="63" s="1"/>
  <c r="BD54" i="63" s="1"/>
  <c r="BD55" i="63" s="1"/>
  <c r="BD56" i="63" s="1"/>
  <c r="BD57" i="63" s="1"/>
  <c r="BD58" i="63" s="1"/>
  <c r="BD59" i="63" s="1"/>
  <c r="BD60" i="63" s="1"/>
  <c r="BD61" i="63" s="1"/>
  <c r="BD62" i="63" s="1"/>
  <c r="BD63" i="63" s="1"/>
  <c r="BD64" i="63" s="1"/>
  <c r="BD65" i="63" s="1"/>
  <c r="BD66" i="63" s="1"/>
  <c r="BD67" i="63" s="1"/>
  <c r="BD68" i="63" s="1"/>
  <c r="AR48" i="66"/>
  <c r="S57" i="70"/>
  <c r="I68" i="70"/>
  <c r="BF42" i="31"/>
  <c r="AJ40" i="31"/>
  <c r="AV13" i="30"/>
  <c r="AJ41" i="30" s="1"/>
  <c r="BD40" i="58"/>
  <c r="BD41" i="58" s="1"/>
  <c r="BD42" i="58" s="1"/>
  <c r="BD43" i="58" s="1"/>
  <c r="BD44" i="58" s="1"/>
  <c r="BD45" i="58" s="1"/>
  <c r="BD46" i="58" s="1"/>
  <c r="BD47" i="58" s="1"/>
  <c r="BD48" i="58" s="1"/>
  <c r="BD49" i="58" s="1"/>
  <c r="BD50" i="58" s="1"/>
  <c r="BD51" i="58" s="1"/>
  <c r="BD52" i="58" s="1"/>
  <c r="BD53" i="58" s="1"/>
  <c r="BD54" i="58" s="1"/>
  <c r="BD55" i="58" s="1"/>
  <c r="BD56" i="58" s="1"/>
  <c r="BD57" i="58" s="1"/>
  <c r="BD58" i="58" s="1"/>
  <c r="BD59" i="58" s="1"/>
  <c r="BD60" i="58" s="1"/>
  <c r="BD61" i="58" s="1"/>
  <c r="BD62" i="58" s="1"/>
  <c r="BD63" i="58" s="1"/>
  <c r="BD64" i="58" s="1"/>
  <c r="BD65" i="58" s="1"/>
  <c r="BD66" i="58" s="1"/>
  <c r="BD67" i="58" s="1"/>
  <c r="BD68" i="58" s="1"/>
  <c r="AF41" i="57"/>
  <c r="AF40" i="58"/>
  <c r="AR14" i="30"/>
  <c r="BD72" i="31"/>
  <c r="M40" i="58"/>
  <c r="BB40" i="58"/>
  <c r="BF39" i="58"/>
  <c r="BF40" i="57"/>
  <c r="BB41" i="57"/>
  <c r="BD41" i="57"/>
  <c r="BD42" i="57" s="1"/>
  <c r="BD43" i="57" s="1"/>
  <c r="BD44" i="57" s="1"/>
  <c r="BD45" i="57" s="1"/>
  <c r="BD46" i="57" s="1"/>
  <c r="BD47" i="57" s="1"/>
  <c r="BD48" i="57" s="1"/>
  <c r="BD49" i="57" s="1"/>
  <c r="BD50" i="57" s="1"/>
  <c r="BD51" i="57" s="1"/>
  <c r="BD52" i="57" s="1"/>
  <c r="BD53" i="57" s="1"/>
  <c r="BD54" i="57" s="1"/>
  <c r="BD55" i="57" s="1"/>
  <c r="BD56" i="57" s="1"/>
  <c r="BD57" i="57" s="1"/>
  <c r="BD58" i="57" s="1"/>
  <c r="BD59" i="57" s="1"/>
  <c r="BD60" i="57" s="1"/>
  <c r="BD61" i="57" s="1"/>
  <c r="BD62" i="57" s="1"/>
  <c r="BD63" i="57" s="1"/>
  <c r="BD64" i="57" s="1"/>
  <c r="BD65" i="57" s="1"/>
  <c r="BD66" i="57" s="1"/>
  <c r="BD67" i="57" s="1"/>
  <c r="BD68" i="57" s="1"/>
  <c r="BD69" i="57" s="1"/>
  <c r="AJ11" i="42"/>
  <c r="AH28" i="42" s="1"/>
  <c r="AH29" i="42" s="1"/>
  <c r="AH30" i="42" s="1"/>
  <c r="AH31" i="42" s="1"/>
  <c r="AH32" i="42" s="1"/>
  <c r="AH33" i="42" s="1"/>
  <c r="AH34" i="42" s="1"/>
  <c r="AH35" i="42" s="1"/>
  <c r="AH36" i="42" s="1"/>
  <c r="AH37" i="42" s="1"/>
  <c r="AH38" i="42" s="1"/>
  <c r="AH39" i="42" s="1"/>
  <c r="AH40" i="42" s="1"/>
  <c r="AH41" i="42" s="1"/>
  <c r="AH42" i="42" s="1"/>
  <c r="AH43" i="42" s="1"/>
  <c r="AH44" i="42" s="1"/>
  <c r="AH45" i="42" s="1"/>
  <c r="AH46" i="42" s="1"/>
  <c r="AH47" i="42" s="1"/>
  <c r="AH58" i="42" s="1"/>
  <c r="AH40" i="31"/>
  <c r="AV11" i="30"/>
  <c r="AH41" i="30" s="1"/>
  <c r="AR40" i="31"/>
  <c r="AR41" i="31" s="1"/>
  <c r="AR42" i="31" s="1"/>
  <c r="AJ41" i="57"/>
  <c r="AJ42" i="57" s="1"/>
  <c r="AJ43" i="57" s="1"/>
  <c r="AJ44" i="57" s="1"/>
  <c r="AJ45" i="57" s="1"/>
  <c r="AJ46" i="57" s="1"/>
  <c r="AJ47" i="57" s="1"/>
  <c r="AJ48" i="57" s="1"/>
  <c r="AJ49" i="57" s="1"/>
  <c r="AJ50" i="57" s="1"/>
  <c r="AJ51" i="57" s="1"/>
  <c r="AJ52" i="57" s="1"/>
  <c r="AJ53" i="57" s="1"/>
  <c r="AJ54" i="57" s="1"/>
  <c r="AJ55" i="57" s="1"/>
  <c r="AJ56" i="57" s="1"/>
  <c r="AJ57" i="57" s="1"/>
  <c r="AJ58" i="57" s="1"/>
  <c r="AJ59" i="57" s="1"/>
  <c r="AJ60" i="57" s="1"/>
  <c r="AJ61" i="57" s="1"/>
  <c r="AJ62" i="57" s="1"/>
  <c r="AJ63" i="57" s="1"/>
  <c r="AJ64" i="57" s="1"/>
  <c r="AJ65" i="57" s="1"/>
  <c r="AJ66" i="57" s="1"/>
  <c r="AJ67" i="57" s="1"/>
  <c r="AJ68" i="57" s="1"/>
  <c r="AJ69" i="57" s="1"/>
  <c r="BK11" i="30"/>
  <c r="AR12" i="30"/>
  <c r="M42" i="57"/>
  <c r="AJ11" i="43"/>
  <c r="AH28" i="43" s="1"/>
  <c r="AH29" i="43" s="1"/>
  <c r="AH30" i="43" s="1"/>
  <c r="AH31" i="43" s="1"/>
  <c r="AH32" i="43" s="1"/>
  <c r="AH33" i="43" s="1"/>
  <c r="AH34" i="43" s="1"/>
  <c r="AH35" i="43" s="1"/>
  <c r="AH36" i="43" s="1"/>
  <c r="AH37" i="43" s="1"/>
  <c r="AH38" i="43" s="1"/>
  <c r="AH39" i="43" s="1"/>
  <c r="AH40" i="43" s="1"/>
  <c r="AH41" i="43" s="1"/>
  <c r="AH42" i="43" s="1"/>
  <c r="AH43" i="43" s="1"/>
  <c r="AH44" i="43" s="1"/>
  <c r="AH45" i="43" s="1"/>
  <c r="AH46" i="43" s="1"/>
  <c r="AH47" i="43" s="1"/>
  <c r="AF43" i="31"/>
  <c r="M58" i="50"/>
  <c r="M42" i="31"/>
  <c r="BF28" i="48"/>
  <c r="BF43" i="31"/>
  <c r="M58" i="49"/>
  <c r="AL28" i="50"/>
  <c r="I29" i="49"/>
  <c r="S28" i="49"/>
  <c r="AF29" i="48"/>
  <c r="AF30" i="48" s="1"/>
  <c r="AF31" i="48" s="1"/>
  <c r="AF32" i="48" s="1"/>
  <c r="AF33" i="48" s="1"/>
  <c r="AF34" i="48" s="1"/>
  <c r="AF35" i="48" s="1"/>
  <c r="AF36" i="48" s="1"/>
  <c r="AF37" i="48" s="1"/>
  <c r="AF38" i="48" s="1"/>
  <c r="AF39" i="48" s="1"/>
  <c r="AF40" i="48" s="1"/>
  <c r="AF41" i="48" s="1"/>
  <c r="AF42" i="48" s="1"/>
  <c r="AF43" i="48" s="1"/>
  <c r="AF44" i="48" s="1"/>
  <c r="AF45" i="48" s="1"/>
  <c r="AF46" i="48" s="1"/>
  <c r="AF47" i="48" s="1"/>
  <c r="AL28" i="48"/>
  <c r="AR29" i="50"/>
  <c r="AR30" i="50" s="1"/>
  <c r="AR31" i="50" s="1"/>
  <c r="AR32" i="50" s="1"/>
  <c r="AR33" i="50" s="1"/>
  <c r="AR34" i="50" s="1"/>
  <c r="AR35" i="50" s="1"/>
  <c r="AR36" i="50" s="1"/>
  <c r="AR37" i="50" s="1"/>
  <c r="AR38" i="50" s="1"/>
  <c r="AR39" i="50" s="1"/>
  <c r="AR40" i="50" s="1"/>
  <c r="AR41" i="50" s="1"/>
  <c r="AR42" i="50" s="1"/>
  <c r="AR43" i="50" s="1"/>
  <c r="AR44" i="50" s="1"/>
  <c r="AR45" i="50" s="1"/>
  <c r="AR46" i="50" s="1"/>
  <c r="AR47" i="50" s="1"/>
  <c r="AR48" i="50" s="1"/>
  <c r="AF29" i="50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BF28" i="50"/>
  <c r="S28" i="48"/>
  <c r="I29" i="48"/>
  <c r="BB29" i="50"/>
  <c r="BB29" i="49"/>
  <c r="BB29" i="48"/>
  <c r="AR29" i="49"/>
  <c r="AR30" i="49" s="1"/>
  <c r="AR31" i="49" s="1"/>
  <c r="AR32" i="49" s="1"/>
  <c r="AR33" i="49" s="1"/>
  <c r="AR34" i="49" s="1"/>
  <c r="AR35" i="49" s="1"/>
  <c r="AR36" i="49" s="1"/>
  <c r="AR37" i="49" s="1"/>
  <c r="AR38" i="49" s="1"/>
  <c r="AR39" i="49" s="1"/>
  <c r="AR40" i="49" s="1"/>
  <c r="AR41" i="49" s="1"/>
  <c r="AR42" i="49" s="1"/>
  <c r="AR43" i="49" s="1"/>
  <c r="AR44" i="49" s="1"/>
  <c r="AR45" i="49" s="1"/>
  <c r="AR46" i="49" s="1"/>
  <c r="AR47" i="49" s="1"/>
  <c r="AL28" i="49"/>
  <c r="M58" i="48"/>
  <c r="AF29" i="49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R29" i="48"/>
  <c r="AR30" i="48" s="1"/>
  <c r="AR31" i="48" s="1"/>
  <c r="AR32" i="48" s="1"/>
  <c r="AR33" i="48" s="1"/>
  <c r="AR34" i="48" s="1"/>
  <c r="AR35" i="48" s="1"/>
  <c r="AR36" i="48" s="1"/>
  <c r="AR37" i="48" s="1"/>
  <c r="AR38" i="48" s="1"/>
  <c r="AR39" i="48" s="1"/>
  <c r="AR40" i="48" s="1"/>
  <c r="AR41" i="48" s="1"/>
  <c r="AR42" i="48" s="1"/>
  <c r="AR43" i="48" s="1"/>
  <c r="AR44" i="48" s="1"/>
  <c r="AR45" i="48" s="1"/>
  <c r="AR46" i="48" s="1"/>
  <c r="AR47" i="48" s="1"/>
  <c r="BF28" i="49"/>
  <c r="I29" i="50"/>
  <c r="S28" i="50"/>
  <c r="AH45" i="50"/>
  <c r="AJ30" i="49"/>
  <c r="AH44" i="49"/>
  <c r="AH44" i="48"/>
  <c r="AJ30" i="50"/>
  <c r="AJ30" i="48"/>
  <c r="AJ13" i="43"/>
  <c r="AJ28" i="43" s="1"/>
  <c r="AJ13" i="42"/>
  <c r="AJ28" i="42" s="1"/>
  <c r="AJ29" i="42" s="1"/>
  <c r="AJ30" i="42" s="1"/>
  <c r="AJ31" i="42" s="1"/>
  <c r="AJ32" i="42" s="1"/>
  <c r="AJ33" i="42" s="1"/>
  <c r="AJ34" i="42" s="1"/>
  <c r="AJ35" i="42" s="1"/>
  <c r="AJ36" i="42" s="1"/>
  <c r="AJ37" i="42" s="1"/>
  <c r="AJ38" i="42" s="1"/>
  <c r="AJ39" i="42" s="1"/>
  <c r="AJ40" i="42" s="1"/>
  <c r="AJ41" i="42" s="1"/>
  <c r="AJ42" i="42" s="1"/>
  <c r="AJ43" i="42" s="1"/>
  <c r="AJ44" i="42" s="1"/>
  <c r="AJ45" i="42" s="1"/>
  <c r="AJ46" i="42" s="1"/>
  <c r="AJ47" i="42" s="1"/>
  <c r="AJ58" i="42" s="1"/>
  <c r="BD31" i="50"/>
  <c r="AF14" i="43"/>
  <c r="AF14" i="42"/>
  <c r="BD11" i="43"/>
  <c r="AF12" i="43"/>
  <c r="BD31" i="48"/>
  <c r="BD11" i="42"/>
  <c r="AF12" i="42"/>
  <c r="BD31" i="49"/>
  <c r="AR29" i="43"/>
  <c r="AR30" i="43" s="1"/>
  <c r="AR31" i="43" s="1"/>
  <c r="AR32" i="43" s="1"/>
  <c r="AR33" i="43" s="1"/>
  <c r="AR34" i="43" s="1"/>
  <c r="AR35" i="43" s="1"/>
  <c r="AR36" i="43" s="1"/>
  <c r="AR37" i="43" s="1"/>
  <c r="AR38" i="43" s="1"/>
  <c r="AR39" i="43" s="1"/>
  <c r="AR40" i="43" s="1"/>
  <c r="AR41" i="43" s="1"/>
  <c r="AR42" i="43" s="1"/>
  <c r="AR43" i="43" s="1"/>
  <c r="AR44" i="43" s="1"/>
  <c r="AR45" i="43" s="1"/>
  <c r="AR46" i="43" s="1"/>
  <c r="AR47" i="43" s="1"/>
  <c r="AH58" i="47"/>
  <c r="BB58" i="43"/>
  <c r="BB30" i="47"/>
  <c r="BF29" i="47"/>
  <c r="AT28" i="47"/>
  <c r="S47" i="42"/>
  <c r="I58" i="42"/>
  <c r="AL29" i="47"/>
  <c r="BB58" i="42"/>
  <c r="AR58" i="47"/>
  <c r="BD58" i="47"/>
  <c r="I30" i="47"/>
  <c r="S29" i="47"/>
  <c r="S47" i="43"/>
  <c r="I58" i="43"/>
  <c r="AJ58" i="47"/>
  <c r="BV300" i="5"/>
  <c r="BV299" i="5"/>
  <c r="BV298" i="5"/>
  <c r="BV297" i="5"/>
  <c r="BV296" i="5"/>
  <c r="BV295" i="5"/>
  <c r="BV294" i="5"/>
  <c r="BV293" i="5"/>
  <c r="BV292" i="5"/>
  <c r="BV291" i="5"/>
  <c r="BV290" i="5"/>
  <c r="BV289" i="5"/>
  <c r="BV288" i="5"/>
  <c r="BV287" i="5"/>
  <c r="BV286" i="5"/>
  <c r="BV285" i="5"/>
  <c r="BV284" i="5"/>
  <c r="BV283" i="5"/>
  <c r="BV282" i="5"/>
  <c r="BV281" i="5"/>
  <c r="BV280" i="5"/>
  <c r="BV279" i="5"/>
  <c r="BV278" i="5"/>
  <c r="BV277" i="5"/>
  <c r="BV276" i="5"/>
  <c r="BV275" i="5"/>
  <c r="BV274" i="5"/>
  <c r="BV273" i="5"/>
  <c r="BV272" i="5"/>
  <c r="BV271" i="5"/>
  <c r="BV270" i="5"/>
  <c r="BV269" i="5"/>
  <c r="BV268" i="5"/>
  <c r="BV267" i="5"/>
  <c r="BV266" i="5"/>
  <c r="BV265" i="5"/>
  <c r="BV264" i="5"/>
  <c r="BV263" i="5"/>
  <c r="BV262" i="5"/>
  <c r="BV261" i="5"/>
  <c r="BV260" i="5"/>
  <c r="BV259" i="5"/>
  <c r="BV258" i="5"/>
  <c r="BV257" i="5"/>
  <c r="BV256" i="5"/>
  <c r="BV255" i="5"/>
  <c r="BV254" i="5"/>
  <c r="BV253" i="5"/>
  <c r="BV252" i="5"/>
  <c r="BV251" i="5"/>
  <c r="BV250" i="5"/>
  <c r="BV249" i="5"/>
  <c r="BV248" i="5"/>
  <c r="BV247" i="5"/>
  <c r="BV246" i="5"/>
  <c r="BV245" i="5"/>
  <c r="BV244" i="5"/>
  <c r="BV243" i="5"/>
  <c r="BV242" i="5"/>
  <c r="BV241" i="5"/>
  <c r="BV240" i="5"/>
  <c r="BV239" i="5"/>
  <c r="BV238" i="5"/>
  <c r="BV237" i="5"/>
  <c r="BV236" i="5"/>
  <c r="BV235" i="5"/>
  <c r="BV234" i="5"/>
  <c r="BV233" i="5"/>
  <c r="BV232" i="5"/>
  <c r="BV231" i="5"/>
  <c r="BV230" i="5"/>
  <c r="BV229" i="5"/>
  <c r="BV228" i="5"/>
  <c r="BV227" i="5"/>
  <c r="BV226" i="5"/>
  <c r="BV225" i="5"/>
  <c r="BV224" i="5"/>
  <c r="BV223" i="5"/>
  <c r="BV222" i="5"/>
  <c r="BV221" i="5"/>
  <c r="BV220" i="5"/>
  <c r="BV219" i="5"/>
  <c r="BV218" i="5"/>
  <c r="BV217" i="5"/>
  <c r="BV216" i="5"/>
  <c r="BV215" i="5"/>
  <c r="BV214" i="5"/>
  <c r="BV213" i="5"/>
  <c r="BV212" i="5"/>
  <c r="BV211" i="5"/>
  <c r="BV210" i="5"/>
  <c r="BV209" i="5"/>
  <c r="BV208" i="5"/>
  <c r="BV207" i="5"/>
  <c r="BV206" i="5"/>
  <c r="BV205" i="5"/>
  <c r="BV204" i="5"/>
  <c r="BV203" i="5"/>
  <c r="BV202" i="5"/>
  <c r="BV201" i="5"/>
  <c r="BV200" i="5"/>
  <c r="BV199" i="5"/>
  <c r="BV198" i="5"/>
  <c r="BV197" i="5"/>
  <c r="BV196" i="5"/>
  <c r="BV195" i="5"/>
  <c r="BV194" i="5"/>
  <c r="BV193" i="5"/>
  <c r="BV192" i="5"/>
  <c r="BV191" i="5"/>
  <c r="BV190" i="5"/>
  <c r="BV189" i="5"/>
  <c r="BV188" i="5"/>
  <c r="BV187" i="5"/>
  <c r="BV186" i="5"/>
  <c r="BV185" i="5"/>
  <c r="BV184" i="5"/>
  <c r="BV183" i="5"/>
  <c r="BV182" i="5"/>
  <c r="BV181" i="5"/>
  <c r="BV180" i="5"/>
  <c r="BV179" i="5"/>
  <c r="BV178" i="5"/>
  <c r="BV177" i="5"/>
  <c r="BV176" i="5"/>
  <c r="BV175" i="5"/>
  <c r="BV174" i="5"/>
  <c r="BV173" i="5"/>
  <c r="BV172" i="5"/>
  <c r="BV171" i="5"/>
  <c r="BV170" i="5"/>
  <c r="BV169" i="5"/>
  <c r="BV168" i="5"/>
  <c r="BV167" i="5"/>
  <c r="BV166" i="5"/>
  <c r="BV165" i="5"/>
  <c r="BV164" i="5"/>
  <c r="BV163" i="5"/>
  <c r="BV162" i="5"/>
  <c r="BV161" i="5"/>
  <c r="BV160" i="5"/>
  <c r="BV159" i="5"/>
  <c r="BV158" i="5"/>
  <c r="BV157" i="5"/>
  <c r="BV156" i="5"/>
  <c r="BV155" i="5"/>
  <c r="BV154" i="5"/>
  <c r="BV153" i="5"/>
  <c r="BV152" i="5"/>
  <c r="BV151" i="5"/>
  <c r="BV150" i="5"/>
  <c r="BV149" i="5"/>
  <c r="BV148" i="5"/>
  <c r="BV147" i="5"/>
  <c r="BV146" i="5"/>
  <c r="BV145" i="5"/>
  <c r="BV144" i="5"/>
  <c r="BV143" i="5"/>
  <c r="BV142" i="5"/>
  <c r="BV141" i="5"/>
  <c r="BV140" i="5"/>
  <c r="BV139" i="5"/>
  <c r="BV138" i="5"/>
  <c r="BV137" i="5"/>
  <c r="BV136" i="5"/>
  <c r="BV135" i="5"/>
  <c r="BV134" i="5"/>
  <c r="BV133" i="5"/>
  <c r="BV132" i="5"/>
  <c r="BV131" i="5"/>
  <c r="BV130" i="5"/>
  <c r="BV129" i="5"/>
  <c r="BV128" i="5"/>
  <c r="BV127" i="5"/>
  <c r="BV126" i="5"/>
  <c r="BV125" i="5"/>
  <c r="BV124" i="5"/>
  <c r="BV123" i="5"/>
  <c r="BV122" i="5"/>
  <c r="BV121" i="5"/>
  <c r="BV120" i="5"/>
  <c r="BV119" i="5"/>
  <c r="BV118" i="5"/>
  <c r="BV117" i="5"/>
  <c r="BV116" i="5"/>
  <c r="BV115" i="5"/>
  <c r="BV114" i="5"/>
  <c r="BV113" i="5"/>
  <c r="BV112" i="5"/>
  <c r="BV111" i="5"/>
  <c r="BV110" i="5"/>
  <c r="BV109" i="5"/>
  <c r="BV108" i="5"/>
  <c r="BV107" i="5"/>
  <c r="BV106" i="5"/>
  <c r="BV105" i="5"/>
  <c r="BV104" i="5"/>
  <c r="BV103" i="5"/>
  <c r="BV102" i="5"/>
  <c r="BV101" i="5"/>
  <c r="BV100" i="5"/>
  <c r="BV99" i="5"/>
  <c r="BV98" i="5"/>
  <c r="BV97" i="5"/>
  <c r="BV96" i="5"/>
  <c r="BV95" i="5"/>
  <c r="BV94" i="5"/>
  <c r="BV93" i="5"/>
  <c r="BV92" i="5"/>
  <c r="BV91" i="5"/>
  <c r="BV90" i="5"/>
  <c r="BV89" i="5"/>
  <c r="BV88" i="5"/>
  <c r="BV87" i="5"/>
  <c r="BV86" i="5"/>
  <c r="BV85" i="5"/>
  <c r="BV84" i="5"/>
  <c r="BV83" i="5"/>
  <c r="BV82" i="5"/>
  <c r="BV81" i="5"/>
  <c r="BV80" i="5"/>
  <c r="BV79" i="5"/>
  <c r="BV78" i="5"/>
  <c r="BV77" i="5"/>
  <c r="BV76" i="5"/>
  <c r="BV75" i="5"/>
  <c r="BV74" i="5"/>
  <c r="BV73" i="5"/>
  <c r="BV72" i="5"/>
  <c r="BV70" i="5"/>
  <c r="BV69" i="5"/>
  <c r="BV68" i="5"/>
  <c r="BV67" i="5"/>
  <c r="BV66" i="5"/>
  <c r="BV65" i="5"/>
  <c r="BV64" i="5"/>
  <c r="BV63" i="5"/>
  <c r="BV62" i="5"/>
  <c r="BV61" i="5"/>
  <c r="BV60" i="5"/>
  <c r="BV59" i="5"/>
  <c r="BV58" i="5"/>
  <c r="BV57" i="5"/>
  <c r="BV56" i="5"/>
  <c r="BV55" i="5"/>
  <c r="BV54" i="5"/>
  <c r="BV53" i="5"/>
  <c r="BV52" i="5"/>
  <c r="BV51" i="5"/>
  <c r="BV50" i="5"/>
  <c r="BV49" i="5"/>
  <c r="BV48" i="5"/>
  <c r="BV47" i="5"/>
  <c r="BV46" i="5"/>
  <c r="BV45" i="5"/>
  <c r="BV44" i="5"/>
  <c r="BV43" i="5"/>
  <c r="BV42" i="5"/>
  <c r="BV41" i="5"/>
  <c r="BV40" i="5"/>
  <c r="BV39" i="5"/>
  <c r="BV38" i="5"/>
  <c r="BV37" i="5"/>
  <c r="BV36" i="5"/>
  <c r="BV35" i="5"/>
  <c r="BV34" i="5"/>
  <c r="BV33" i="5"/>
  <c r="BV32" i="5"/>
  <c r="BV31" i="5"/>
  <c r="BV30" i="5"/>
  <c r="BV29" i="5"/>
  <c r="BV28" i="5"/>
  <c r="BV27" i="5"/>
  <c r="BV26" i="5"/>
  <c r="BV25" i="5"/>
  <c r="BV24" i="5"/>
  <c r="BV23" i="5"/>
  <c r="BV22" i="5"/>
  <c r="BV21" i="5"/>
  <c r="BV20" i="5"/>
  <c r="BV19" i="5"/>
  <c r="BV18" i="5"/>
  <c r="BV17" i="5"/>
  <c r="AD28" i="24"/>
  <c r="C71" i="24"/>
  <c r="O71" i="24"/>
  <c r="M28" i="24"/>
  <c r="M29" i="24" s="1"/>
  <c r="M30" i="24" s="1"/>
  <c r="M31" i="24" s="1"/>
  <c r="M32" i="24" s="1"/>
  <c r="M33" i="24" s="1"/>
  <c r="M34" i="24" s="1"/>
  <c r="M35" i="24" s="1"/>
  <c r="M36" i="24" s="1"/>
  <c r="M37" i="24" s="1"/>
  <c r="M38" i="24" s="1"/>
  <c r="M39" i="24" s="1"/>
  <c r="M40" i="24" s="1"/>
  <c r="M41" i="24" s="1"/>
  <c r="M42" i="24" s="1"/>
  <c r="M43" i="24" s="1"/>
  <c r="M44" i="24" s="1"/>
  <c r="M45" i="24" s="1"/>
  <c r="M46" i="24" s="1"/>
  <c r="M47" i="24" s="1"/>
  <c r="M48" i="24" s="1"/>
  <c r="M49" i="24" s="1"/>
  <c r="M50" i="24" s="1"/>
  <c r="M51" i="24" s="1"/>
  <c r="M52" i="24" s="1"/>
  <c r="M53" i="24" s="1"/>
  <c r="M54" i="24" s="1"/>
  <c r="M55" i="24" s="1"/>
  <c r="M56" i="24" s="1"/>
  <c r="M57" i="24" s="1"/>
  <c r="M58" i="24" s="1"/>
  <c r="M59" i="24" s="1"/>
  <c r="M60" i="24" s="1"/>
  <c r="M61" i="24" s="1"/>
  <c r="M62" i="24" s="1"/>
  <c r="M63" i="24" s="1"/>
  <c r="M64" i="24" s="1"/>
  <c r="M65" i="24" s="1"/>
  <c r="M66" i="24" s="1"/>
  <c r="M67" i="24" s="1"/>
  <c r="M68" i="24" s="1"/>
  <c r="M69" i="24" s="1"/>
  <c r="AD40" i="24"/>
  <c r="AD42" i="24"/>
  <c r="AD46" i="24"/>
  <c r="AD50" i="24"/>
  <c r="AD52" i="24"/>
  <c r="AD54" i="24"/>
  <c r="AD56" i="24"/>
  <c r="AD58" i="24"/>
  <c r="AD60" i="24"/>
  <c r="AD68" i="24"/>
  <c r="AD62" i="24"/>
  <c r="AD66" i="24"/>
  <c r="AD51" i="24"/>
  <c r="AD67" i="24"/>
  <c r="AD59" i="24"/>
  <c r="AD43" i="24"/>
  <c r="AD49" i="24"/>
  <c r="AD64" i="24"/>
  <c r="AD48" i="24"/>
  <c r="AD65" i="24"/>
  <c r="AD63" i="24"/>
  <c r="AD61" i="24"/>
  <c r="AD57" i="24"/>
  <c r="AD55" i="24"/>
  <c r="AD53" i="24"/>
  <c r="AD47" i="24"/>
  <c r="AD45" i="24"/>
  <c r="AD44" i="24"/>
  <c r="AD41" i="24"/>
  <c r="AD39" i="24"/>
  <c r="AD38" i="24"/>
  <c r="AD37" i="24"/>
  <c r="AD36" i="24"/>
  <c r="AD35" i="24"/>
  <c r="AD34" i="24"/>
  <c r="AD33" i="24"/>
  <c r="AD32" i="24"/>
  <c r="AD31" i="24"/>
  <c r="AD30" i="24"/>
  <c r="BD29" i="24"/>
  <c r="BD30" i="24" s="1"/>
  <c r="BD31" i="24" s="1"/>
  <c r="BD32" i="24" s="1"/>
  <c r="BD33" i="24" s="1"/>
  <c r="BD34" i="24" s="1"/>
  <c r="BD35" i="24" s="1"/>
  <c r="BD36" i="24" s="1"/>
  <c r="BD37" i="24" s="1"/>
  <c r="BD38" i="24" s="1"/>
  <c r="BD40" i="24" s="1"/>
  <c r="BB29" i="24"/>
  <c r="AR29" i="24"/>
  <c r="AJ29" i="24"/>
  <c r="AH29" i="24"/>
  <c r="AF29" i="24"/>
  <c r="AD29" i="24"/>
  <c r="K29" i="24"/>
  <c r="I28" i="24"/>
  <c r="S28" i="24" s="1"/>
  <c r="C28" i="24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W26" i="24"/>
  <c r="U26" i="24"/>
  <c r="S26" i="24"/>
  <c r="Q26" i="24"/>
  <c r="O26" i="24"/>
  <c r="M26" i="24"/>
  <c r="K26" i="24"/>
  <c r="G19" i="24"/>
  <c r="A2" i="24"/>
  <c r="I92" i="4"/>
  <c r="AL29" i="50" l="1"/>
  <c r="K59" i="67"/>
  <c r="BD70" i="60"/>
  <c r="AJ41" i="63"/>
  <c r="AJ42" i="63" s="1"/>
  <c r="AJ43" i="63" s="1"/>
  <c r="AJ44" i="63" s="1"/>
  <c r="AJ45" i="63" s="1"/>
  <c r="AJ46" i="63" s="1"/>
  <c r="AJ47" i="63" s="1"/>
  <c r="AJ48" i="63" s="1"/>
  <c r="AJ49" i="63" s="1"/>
  <c r="AJ50" i="63" s="1"/>
  <c r="AJ51" i="63" s="1"/>
  <c r="AJ52" i="63" s="1"/>
  <c r="AJ53" i="63" s="1"/>
  <c r="AJ54" i="63" s="1"/>
  <c r="AJ55" i="63" s="1"/>
  <c r="AJ56" i="63" s="1"/>
  <c r="AJ57" i="63" s="1"/>
  <c r="AJ58" i="63" s="1"/>
  <c r="AJ59" i="63" s="1"/>
  <c r="AJ60" i="63" s="1"/>
  <c r="AJ61" i="63" s="1"/>
  <c r="AJ62" i="63" s="1"/>
  <c r="AJ63" i="63" s="1"/>
  <c r="AJ64" i="63" s="1"/>
  <c r="AJ65" i="63" s="1"/>
  <c r="AJ66" i="63" s="1"/>
  <c r="AJ67" i="63" s="1"/>
  <c r="AJ68" i="63" s="1"/>
  <c r="K59" i="68"/>
  <c r="M42" i="74"/>
  <c r="M43" i="74" s="1"/>
  <c r="S41" i="74"/>
  <c r="BD70" i="63"/>
  <c r="AJ59" i="67"/>
  <c r="BD70" i="61"/>
  <c r="BF41" i="74"/>
  <c r="BB42" i="74"/>
  <c r="BD70" i="59"/>
  <c r="AH59" i="68"/>
  <c r="BD59" i="67"/>
  <c r="AR39" i="59"/>
  <c r="AR40" i="59" s="1"/>
  <c r="AR41" i="59" s="1"/>
  <c r="AR42" i="59" s="1"/>
  <c r="AR43" i="59" s="1"/>
  <c r="AR44" i="59" s="1"/>
  <c r="AR45" i="59" s="1"/>
  <c r="AR46" i="59" s="1"/>
  <c r="AR47" i="59" s="1"/>
  <c r="AR48" i="59" s="1"/>
  <c r="AR49" i="59" s="1"/>
  <c r="AR50" i="59" s="1"/>
  <c r="AR51" i="59" s="1"/>
  <c r="AR52" i="59" s="1"/>
  <c r="AR53" i="59" s="1"/>
  <c r="AR54" i="59" s="1"/>
  <c r="AR55" i="59" s="1"/>
  <c r="AR56" i="59" s="1"/>
  <c r="AR57" i="59" s="1"/>
  <c r="AR58" i="59" s="1"/>
  <c r="AR59" i="59" s="1"/>
  <c r="AR60" i="59" s="1"/>
  <c r="AR61" i="59" s="1"/>
  <c r="AR62" i="59" s="1"/>
  <c r="AR63" i="59" s="1"/>
  <c r="AR64" i="59" s="1"/>
  <c r="AR65" i="59" s="1"/>
  <c r="AR66" i="59" s="1"/>
  <c r="AR67" i="59" s="1"/>
  <c r="AR68" i="59" s="1"/>
  <c r="AR39" i="62"/>
  <c r="AR40" i="62" s="1"/>
  <c r="AR41" i="62" s="1"/>
  <c r="AR42" i="62" s="1"/>
  <c r="AR43" i="62" s="1"/>
  <c r="AR44" i="62" s="1"/>
  <c r="AR45" i="62" s="1"/>
  <c r="AR46" i="62" s="1"/>
  <c r="AR47" i="62" s="1"/>
  <c r="AR48" i="62" s="1"/>
  <c r="AR49" i="62" s="1"/>
  <c r="AR50" i="62" s="1"/>
  <c r="AR51" i="62" s="1"/>
  <c r="AR52" i="62" s="1"/>
  <c r="AR53" i="62" s="1"/>
  <c r="AR54" i="62" s="1"/>
  <c r="AR55" i="62" s="1"/>
  <c r="AR56" i="62" s="1"/>
  <c r="AR57" i="62" s="1"/>
  <c r="AR58" i="62" s="1"/>
  <c r="AR59" i="62" s="1"/>
  <c r="AR60" i="62" s="1"/>
  <c r="AR61" i="62" s="1"/>
  <c r="AR62" i="62" s="1"/>
  <c r="AR63" i="62" s="1"/>
  <c r="AR64" i="62" s="1"/>
  <c r="AR65" i="62" s="1"/>
  <c r="AR66" i="62" s="1"/>
  <c r="AR67" i="62" s="1"/>
  <c r="AR68" i="62" s="1"/>
  <c r="AL38" i="65"/>
  <c r="AF41" i="74"/>
  <c r="AR39" i="60"/>
  <c r="AR40" i="60" s="1"/>
  <c r="AR41" i="60" s="1"/>
  <c r="AR42" i="60" s="1"/>
  <c r="AR43" i="60" s="1"/>
  <c r="AR44" i="60" s="1"/>
  <c r="AR45" i="60" s="1"/>
  <c r="AR46" i="60" s="1"/>
  <c r="AR47" i="60" s="1"/>
  <c r="AR48" i="60" s="1"/>
  <c r="AR49" i="60" s="1"/>
  <c r="AR50" i="60" s="1"/>
  <c r="AR51" i="60" s="1"/>
  <c r="AR52" i="60" s="1"/>
  <c r="AR53" i="60" s="1"/>
  <c r="AR54" i="60" s="1"/>
  <c r="AR55" i="60" s="1"/>
  <c r="AR56" i="60" s="1"/>
  <c r="AR57" i="60" s="1"/>
  <c r="AR58" i="60" s="1"/>
  <c r="AR59" i="60" s="1"/>
  <c r="AR60" i="60" s="1"/>
  <c r="AR61" i="60" s="1"/>
  <c r="AR62" i="60" s="1"/>
  <c r="AR63" i="60" s="1"/>
  <c r="AR64" i="60" s="1"/>
  <c r="AR65" i="60" s="1"/>
  <c r="AR66" i="60" s="1"/>
  <c r="AR67" i="60" s="1"/>
  <c r="AR68" i="60" s="1"/>
  <c r="AH39" i="60"/>
  <c r="AL38" i="60"/>
  <c r="AT38" i="60" s="1"/>
  <c r="AH39" i="61"/>
  <c r="AL38" i="61"/>
  <c r="AT38" i="61" s="1"/>
  <c r="AT28" i="50"/>
  <c r="AR59" i="67"/>
  <c r="AR39" i="63"/>
  <c r="AR29" i="70"/>
  <c r="AR30" i="70" s="1"/>
  <c r="AR31" i="70" s="1"/>
  <c r="AR32" i="70" s="1"/>
  <c r="AR33" i="70" s="1"/>
  <c r="AR34" i="70" s="1"/>
  <c r="AR35" i="70" s="1"/>
  <c r="AR36" i="70" s="1"/>
  <c r="AR37" i="70" s="1"/>
  <c r="AR38" i="70" s="1"/>
  <c r="AR39" i="70" s="1"/>
  <c r="AR40" i="70" s="1"/>
  <c r="AR41" i="70" s="1"/>
  <c r="AR42" i="70" s="1"/>
  <c r="AR43" i="70" s="1"/>
  <c r="AR44" i="70" s="1"/>
  <c r="AR45" i="70" s="1"/>
  <c r="AR46" i="70" s="1"/>
  <c r="AR47" i="70" s="1"/>
  <c r="AR48" i="70" s="1"/>
  <c r="AR49" i="70" s="1"/>
  <c r="AR50" i="70" s="1"/>
  <c r="AR51" i="70" s="1"/>
  <c r="AR52" i="70" s="1"/>
  <c r="AR53" i="70" s="1"/>
  <c r="AR54" i="70" s="1"/>
  <c r="AR55" i="70" s="1"/>
  <c r="AR56" i="70" s="1"/>
  <c r="AR57" i="70" s="1"/>
  <c r="AL38" i="62"/>
  <c r="AT38" i="62" s="1"/>
  <c r="AH39" i="62"/>
  <c r="AH29" i="70"/>
  <c r="AL28" i="70"/>
  <c r="AJ29" i="70"/>
  <c r="AJ30" i="70" s="1"/>
  <c r="AJ31" i="70" s="1"/>
  <c r="AJ32" i="70" s="1"/>
  <c r="AJ33" i="70" s="1"/>
  <c r="AJ34" i="70" s="1"/>
  <c r="AJ35" i="70" s="1"/>
  <c r="AJ36" i="70" s="1"/>
  <c r="AJ37" i="70" s="1"/>
  <c r="AJ38" i="70" s="1"/>
  <c r="AJ39" i="70" s="1"/>
  <c r="AJ40" i="70" s="1"/>
  <c r="AJ41" i="70" s="1"/>
  <c r="AJ42" i="70" s="1"/>
  <c r="AJ43" i="70" s="1"/>
  <c r="AJ44" i="70" s="1"/>
  <c r="AJ45" i="70" s="1"/>
  <c r="AJ46" i="70" s="1"/>
  <c r="AJ47" i="70" s="1"/>
  <c r="AJ48" i="70" s="1"/>
  <c r="AJ49" i="70" s="1"/>
  <c r="AJ50" i="70" s="1"/>
  <c r="AJ51" i="70" s="1"/>
  <c r="AJ52" i="70" s="1"/>
  <c r="AJ53" i="70" s="1"/>
  <c r="AJ54" i="70" s="1"/>
  <c r="AJ55" i="70" s="1"/>
  <c r="AJ56" i="70" s="1"/>
  <c r="AJ57" i="70" s="1"/>
  <c r="AR39" i="61"/>
  <c r="AR40" i="61" s="1"/>
  <c r="AR41" i="61" s="1"/>
  <c r="AR42" i="61" s="1"/>
  <c r="AR43" i="61" s="1"/>
  <c r="AR44" i="61" s="1"/>
  <c r="AR45" i="61" s="1"/>
  <c r="AR46" i="61" s="1"/>
  <c r="AR47" i="61" s="1"/>
  <c r="AR48" i="61" s="1"/>
  <c r="AR49" i="61" s="1"/>
  <c r="AR50" i="61" s="1"/>
  <c r="AR51" i="61" s="1"/>
  <c r="AR52" i="61" s="1"/>
  <c r="AR53" i="61" s="1"/>
  <c r="AR54" i="61" s="1"/>
  <c r="AR55" i="61" s="1"/>
  <c r="AR56" i="61" s="1"/>
  <c r="AR57" i="61" s="1"/>
  <c r="AR58" i="61" s="1"/>
  <c r="AR59" i="61" s="1"/>
  <c r="AR60" i="61" s="1"/>
  <c r="AR61" i="61" s="1"/>
  <c r="AR62" i="61" s="1"/>
  <c r="AR63" i="61" s="1"/>
  <c r="AR64" i="61" s="1"/>
  <c r="AR65" i="61" s="1"/>
  <c r="AR66" i="61" s="1"/>
  <c r="AR67" i="61" s="1"/>
  <c r="AR68" i="61" s="1"/>
  <c r="AR39" i="74"/>
  <c r="AL38" i="59"/>
  <c r="AT38" i="59" s="1"/>
  <c r="AH39" i="59"/>
  <c r="AL38" i="63"/>
  <c r="AT38" i="63" s="1"/>
  <c r="AH39" i="63"/>
  <c r="AH39" i="74"/>
  <c r="AL38" i="74"/>
  <c r="AF31" i="70"/>
  <c r="AJ39" i="74"/>
  <c r="AJ40" i="74" s="1"/>
  <c r="AJ41" i="74" s="1"/>
  <c r="AJ42" i="74" s="1"/>
  <c r="AJ43" i="74" s="1"/>
  <c r="AJ44" i="74" s="1"/>
  <c r="AJ45" i="74" s="1"/>
  <c r="AJ46" i="74" s="1"/>
  <c r="AJ47" i="74" s="1"/>
  <c r="AJ48" i="74" s="1"/>
  <c r="AJ49" i="74" s="1"/>
  <c r="AJ50" i="74" s="1"/>
  <c r="AJ51" i="74" s="1"/>
  <c r="AJ52" i="74" s="1"/>
  <c r="AJ53" i="74" s="1"/>
  <c r="AJ54" i="74" s="1"/>
  <c r="AJ55" i="74" s="1"/>
  <c r="AJ56" i="74" s="1"/>
  <c r="AJ57" i="74" s="1"/>
  <c r="AJ58" i="74" s="1"/>
  <c r="AJ59" i="74" s="1"/>
  <c r="AJ60" i="74" s="1"/>
  <c r="AJ61" i="74" s="1"/>
  <c r="AJ62" i="74" s="1"/>
  <c r="AJ63" i="74" s="1"/>
  <c r="AJ64" i="74" s="1"/>
  <c r="AJ65" i="74" s="1"/>
  <c r="AJ66" i="74" s="1"/>
  <c r="AJ67" i="74" s="1"/>
  <c r="AJ68" i="74" s="1"/>
  <c r="BD71" i="57"/>
  <c r="BB50" i="70"/>
  <c r="AF59" i="67"/>
  <c r="BB41" i="62"/>
  <c r="BF40" i="62"/>
  <c r="AF41" i="60"/>
  <c r="AR59" i="68"/>
  <c r="AH59" i="67"/>
  <c r="AJ70" i="60"/>
  <c r="BD59" i="68"/>
  <c r="AF41" i="59"/>
  <c r="AJ70" i="62"/>
  <c r="M41" i="59"/>
  <c r="S40" i="59"/>
  <c r="BF40" i="60"/>
  <c r="BB41" i="60"/>
  <c r="AL29" i="68"/>
  <c r="AF30" i="68"/>
  <c r="M41" i="61"/>
  <c r="S40" i="61"/>
  <c r="BB30" i="68"/>
  <c r="BF29" i="68"/>
  <c r="AJ71" i="57"/>
  <c r="AJ59" i="68"/>
  <c r="AT28" i="68"/>
  <c r="AF41" i="62"/>
  <c r="BB59" i="67"/>
  <c r="AJ70" i="59"/>
  <c r="BB41" i="59"/>
  <c r="BF40" i="59"/>
  <c r="M41" i="62"/>
  <c r="S40" i="62"/>
  <c r="AF41" i="63"/>
  <c r="M70" i="60"/>
  <c r="BD70" i="62"/>
  <c r="I59" i="67"/>
  <c r="I30" i="68"/>
  <c r="S29" i="68"/>
  <c r="AJ70" i="61"/>
  <c r="BB30" i="69"/>
  <c r="AF41" i="61"/>
  <c r="M41" i="63"/>
  <c r="S40" i="63"/>
  <c r="BB41" i="61"/>
  <c r="BF40" i="61"/>
  <c r="BB41" i="63"/>
  <c r="BF40" i="63"/>
  <c r="S68" i="70"/>
  <c r="G17" i="32" s="1"/>
  <c r="AR49" i="66"/>
  <c r="AR50" i="66" s="1"/>
  <c r="AR51" i="66" s="1"/>
  <c r="AR52" i="66" s="1"/>
  <c r="AR53" i="66" s="1"/>
  <c r="AR54" i="66" s="1"/>
  <c r="AR55" i="66" s="1"/>
  <c r="AR56" i="66" s="1"/>
  <c r="AR57" i="66" s="1"/>
  <c r="AR59" i="66" s="1"/>
  <c r="AJ70" i="58"/>
  <c r="AH70" i="58"/>
  <c r="AL29" i="48"/>
  <c r="M43" i="57"/>
  <c r="AR70" i="58"/>
  <c r="AH42" i="30"/>
  <c r="AF41" i="58"/>
  <c r="BD70" i="58"/>
  <c r="AR40" i="57"/>
  <c r="AR41" i="57" s="1"/>
  <c r="AR42" i="57" s="1"/>
  <c r="AR43" i="57" s="1"/>
  <c r="AR44" i="57" s="1"/>
  <c r="AR45" i="57" s="1"/>
  <c r="AR46" i="57" s="1"/>
  <c r="AR47" i="57" s="1"/>
  <c r="AR48" i="57" s="1"/>
  <c r="AR49" i="57" s="1"/>
  <c r="AR50" i="57" s="1"/>
  <c r="AR51" i="57" s="1"/>
  <c r="AR52" i="57" s="1"/>
  <c r="AR53" i="57" s="1"/>
  <c r="AR54" i="57" s="1"/>
  <c r="AR55" i="57" s="1"/>
  <c r="AR56" i="57" s="1"/>
  <c r="AR57" i="57" s="1"/>
  <c r="AR58" i="57" s="1"/>
  <c r="AR59" i="57" s="1"/>
  <c r="AR60" i="57" s="1"/>
  <c r="AR61" i="57" s="1"/>
  <c r="AR62" i="57" s="1"/>
  <c r="AR63" i="57" s="1"/>
  <c r="AR64" i="57" s="1"/>
  <c r="AR65" i="57" s="1"/>
  <c r="AR66" i="57" s="1"/>
  <c r="AR67" i="57" s="1"/>
  <c r="AR68" i="57" s="1"/>
  <c r="AR69" i="57" s="1"/>
  <c r="AH41" i="31"/>
  <c r="BB41" i="58"/>
  <c r="BF40" i="58"/>
  <c r="M41" i="58"/>
  <c r="AF42" i="57"/>
  <c r="AJ42" i="30"/>
  <c r="AJ43" i="30" s="1"/>
  <c r="AJ44" i="30" s="1"/>
  <c r="AJ45" i="30" s="1"/>
  <c r="AJ46" i="30" s="1"/>
  <c r="AJ47" i="30" s="1"/>
  <c r="AJ48" i="30" s="1"/>
  <c r="AJ49" i="30" s="1"/>
  <c r="AJ50" i="30" s="1"/>
  <c r="AJ51" i="30" s="1"/>
  <c r="AJ52" i="30" s="1"/>
  <c r="AJ53" i="30" s="1"/>
  <c r="AJ54" i="30" s="1"/>
  <c r="AJ55" i="30" s="1"/>
  <c r="AJ56" i="30" s="1"/>
  <c r="AJ57" i="30" s="1"/>
  <c r="AJ58" i="30" s="1"/>
  <c r="AJ59" i="30" s="1"/>
  <c r="AJ60" i="30" s="1"/>
  <c r="AJ61" i="30" s="1"/>
  <c r="AJ62" i="30" s="1"/>
  <c r="AJ63" i="30" s="1"/>
  <c r="AJ64" i="30" s="1"/>
  <c r="AJ65" i="30" s="1"/>
  <c r="AJ66" i="30" s="1"/>
  <c r="AJ67" i="30" s="1"/>
  <c r="AJ68" i="30" s="1"/>
  <c r="AJ69" i="30" s="1"/>
  <c r="AJ70" i="30" s="1"/>
  <c r="AJ71" i="30" s="1"/>
  <c r="AT28" i="48"/>
  <c r="BF41" i="30"/>
  <c r="BF42" i="30"/>
  <c r="BF43" i="30"/>
  <c r="BF44" i="30"/>
  <c r="BF45" i="30"/>
  <c r="BF46" i="30"/>
  <c r="BF47" i="30"/>
  <c r="BF48" i="30"/>
  <c r="BF49" i="30"/>
  <c r="BF50" i="30"/>
  <c r="BF51" i="30"/>
  <c r="BF52" i="30"/>
  <c r="BF53" i="30"/>
  <c r="BF54" i="30"/>
  <c r="BF55" i="30"/>
  <c r="BF56" i="30"/>
  <c r="BF57" i="30"/>
  <c r="BF58" i="30"/>
  <c r="BF59" i="30"/>
  <c r="BF60" i="30"/>
  <c r="BF61" i="30"/>
  <c r="BF62" i="30"/>
  <c r="BF63" i="30"/>
  <c r="BF64" i="30"/>
  <c r="BF65" i="30"/>
  <c r="BF66" i="30"/>
  <c r="BF67" i="30"/>
  <c r="BF68" i="30"/>
  <c r="BF69" i="30"/>
  <c r="BF70" i="30"/>
  <c r="BF71" i="30"/>
  <c r="BB42" i="57"/>
  <c r="BF41" i="57"/>
  <c r="AH71" i="57"/>
  <c r="AP41" i="30"/>
  <c r="AP42" i="30"/>
  <c r="AV42" i="30" s="1"/>
  <c r="AP43" i="30"/>
  <c r="AV43" i="30" s="1"/>
  <c r="AP44" i="30"/>
  <c r="AV44" i="30" s="1"/>
  <c r="AP45" i="30"/>
  <c r="AV45" i="30" s="1"/>
  <c r="AP46" i="30"/>
  <c r="AV46" i="30" s="1"/>
  <c r="AP47" i="30"/>
  <c r="AV47" i="30" s="1"/>
  <c r="AP48" i="30"/>
  <c r="AV48" i="30" s="1"/>
  <c r="AP49" i="30"/>
  <c r="AV49" i="30" s="1"/>
  <c r="AP50" i="30"/>
  <c r="AV50" i="30" s="1"/>
  <c r="AP51" i="30"/>
  <c r="AV51" i="30" s="1"/>
  <c r="AP52" i="30"/>
  <c r="AV52" i="30" s="1"/>
  <c r="AP53" i="30"/>
  <c r="AV53" i="30" s="1"/>
  <c r="AP54" i="30"/>
  <c r="AV54" i="30" s="1"/>
  <c r="AP55" i="30"/>
  <c r="AV55" i="30" s="1"/>
  <c r="AP56" i="30"/>
  <c r="AV56" i="30" s="1"/>
  <c r="AP57" i="30"/>
  <c r="AV57" i="30" s="1"/>
  <c r="AP58" i="30"/>
  <c r="AV58" i="30" s="1"/>
  <c r="AP59" i="30"/>
  <c r="AV59" i="30" s="1"/>
  <c r="AP60" i="30"/>
  <c r="AV60" i="30" s="1"/>
  <c r="AP61" i="30"/>
  <c r="AV61" i="30" s="1"/>
  <c r="AP62" i="30"/>
  <c r="AV62" i="30" s="1"/>
  <c r="AP63" i="30"/>
  <c r="AV63" i="30" s="1"/>
  <c r="AP64" i="30"/>
  <c r="AV64" i="30" s="1"/>
  <c r="AP65" i="30"/>
  <c r="AV65" i="30" s="1"/>
  <c r="AP66" i="30"/>
  <c r="AV66" i="30" s="1"/>
  <c r="AP67" i="30"/>
  <c r="AV67" i="30" s="1"/>
  <c r="AP68" i="30"/>
  <c r="AV68" i="30" s="1"/>
  <c r="AP69" i="30"/>
  <c r="AV69" i="30" s="1"/>
  <c r="AP70" i="30"/>
  <c r="AV70" i="30" s="1"/>
  <c r="AP71" i="30"/>
  <c r="AV71" i="30" s="1"/>
  <c r="AJ41" i="31"/>
  <c r="AJ42" i="31" s="1"/>
  <c r="AJ43" i="31" s="1"/>
  <c r="AJ44" i="31" s="1"/>
  <c r="AJ45" i="31" s="1"/>
  <c r="AJ46" i="31" s="1"/>
  <c r="AJ47" i="31" s="1"/>
  <c r="AJ48" i="31" s="1"/>
  <c r="AJ49" i="31" s="1"/>
  <c r="AJ50" i="31" s="1"/>
  <c r="AJ51" i="31" s="1"/>
  <c r="AJ52" i="31" s="1"/>
  <c r="AJ53" i="31" s="1"/>
  <c r="AJ54" i="31" s="1"/>
  <c r="AJ55" i="31" s="1"/>
  <c r="AJ56" i="31" s="1"/>
  <c r="AJ57" i="31" s="1"/>
  <c r="AJ58" i="31" s="1"/>
  <c r="AJ59" i="31" s="1"/>
  <c r="AJ60" i="31" s="1"/>
  <c r="AJ61" i="31" s="1"/>
  <c r="AJ62" i="31" s="1"/>
  <c r="AJ63" i="31" s="1"/>
  <c r="AJ64" i="31" s="1"/>
  <c r="AJ65" i="31" s="1"/>
  <c r="AJ66" i="31" s="1"/>
  <c r="AJ67" i="31" s="1"/>
  <c r="AJ68" i="31" s="1"/>
  <c r="AJ69" i="31" s="1"/>
  <c r="AJ70" i="31" s="1"/>
  <c r="AR58" i="50"/>
  <c r="AF44" i="31"/>
  <c r="AR43" i="31"/>
  <c r="BF44" i="31"/>
  <c r="M43" i="31"/>
  <c r="AL29" i="49"/>
  <c r="AT28" i="49"/>
  <c r="BB30" i="50"/>
  <c r="BF29" i="50"/>
  <c r="AT29" i="50" s="1"/>
  <c r="AF58" i="48"/>
  <c r="I30" i="50"/>
  <c r="S29" i="50"/>
  <c r="AF58" i="49"/>
  <c r="AR58" i="49"/>
  <c r="BB30" i="48"/>
  <c r="BF29" i="48"/>
  <c r="BB30" i="49"/>
  <c r="BF29" i="49"/>
  <c r="I30" i="48"/>
  <c r="S29" i="48"/>
  <c r="AR58" i="48"/>
  <c r="AF58" i="50"/>
  <c r="I30" i="49"/>
  <c r="S29" i="49"/>
  <c r="AH58" i="43"/>
  <c r="AJ31" i="48"/>
  <c r="AL30" i="48"/>
  <c r="AJ31" i="50"/>
  <c r="AL30" i="50"/>
  <c r="AH45" i="49"/>
  <c r="AH46" i="50"/>
  <c r="AH45" i="48"/>
  <c r="AJ31" i="49"/>
  <c r="AL30" i="49"/>
  <c r="AR58" i="43"/>
  <c r="BD32" i="49"/>
  <c r="BD32" i="48"/>
  <c r="BD32" i="50"/>
  <c r="AJ29" i="43"/>
  <c r="AJ30" i="43" s="1"/>
  <c r="AJ31" i="43" s="1"/>
  <c r="AJ32" i="43" s="1"/>
  <c r="AJ33" i="43" s="1"/>
  <c r="AJ34" i="43" s="1"/>
  <c r="AJ35" i="43" s="1"/>
  <c r="AJ36" i="43" s="1"/>
  <c r="AJ37" i="43" s="1"/>
  <c r="AJ38" i="43" s="1"/>
  <c r="AJ39" i="43" s="1"/>
  <c r="AJ40" i="43" s="1"/>
  <c r="AJ41" i="43" s="1"/>
  <c r="AJ42" i="43" s="1"/>
  <c r="AJ43" i="43" s="1"/>
  <c r="AJ44" i="43" s="1"/>
  <c r="AJ45" i="43" s="1"/>
  <c r="AJ46" i="43" s="1"/>
  <c r="AJ47" i="43" s="1"/>
  <c r="AT29" i="47"/>
  <c r="BF30" i="47"/>
  <c r="BB31" i="47"/>
  <c r="AL30" i="47"/>
  <c r="S58" i="43"/>
  <c r="G18" i="32" s="1"/>
  <c r="S30" i="47"/>
  <c r="I31" i="47"/>
  <c r="S58" i="42"/>
  <c r="G16" i="32" s="1"/>
  <c r="I29" i="24"/>
  <c r="S29" i="24" s="1"/>
  <c r="AL28" i="24"/>
  <c r="BD11" i="24"/>
  <c r="K30" i="24"/>
  <c r="K31" i="24" s="1"/>
  <c r="AL29" i="24"/>
  <c r="AR11" i="24"/>
  <c r="AL39" i="24" s="1"/>
  <c r="S53" i="24"/>
  <c r="S57" i="24"/>
  <c r="S61" i="24"/>
  <c r="S65" i="24"/>
  <c r="S69" i="24"/>
  <c r="S55" i="24"/>
  <c r="S67" i="24"/>
  <c r="S60" i="24"/>
  <c r="S68" i="24"/>
  <c r="S54" i="24"/>
  <c r="S58" i="24"/>
  <c r="S62" i="24"/>
  <c r="S66" i="24"/>
  <c r="S63" i="24"/>
  <c r="S56" i="24"/>
  <c r="S64" i="24"/>
  <c r="S59" i="24"/>
  <c r="M71" i="24"/>
  <c r="BD41" i="24"/>
  <c r="BD42" i="24" s="1"/>
  <c r="BD43" i="24" s="1"/>
  <c r="BD44" i="24" s="1"/>
  <c r="BD45" i="24" s="1"/>
  <c r="BD46" i="24" s="1"/>
  <c r="BD47" i="24" s="1"/>
  <c r="BD48" i="24" s="1"/>
  <c r="BD49" i="24" s="1"/>
  <c r="BD50" i="24" s="1"/>
  <c r="BD51" i="24" s="1"/>
  <c r="BD69" i="24" s="1"/>
  <c r="I30" i="24"/>
  <c r="BB30" i="24"/>
  <c r="AB28" i="24"/>
  <c r="AH30" i="24"/>
  <c r="AH31" i="24" s="1"/>
  <c r="AH32" i="24" s="1"/>
  <c r="AH33" i="24" s="1"/>
  <c r="AH34" i="24" s="1"/>
  <c r="AH35" i="24" s="1"/>
  <c r="AH36" i="24" s="1"/>
  <c r="AH37" i="24" s="1"/>
  <c r="AH38" i="24" s="1"/>
  <c r="AH40" i="24" s="1"/>
  <c r="AZ28" i="24"/>
  <c r="AZ29" i="24" s="1"/>
  <c r="AZ30" i="24" s="1"/>
  <c r="AZ31" i="24" s="1"/>
  <c r="AZ32" i="24" s="1"/>
  <c r="AZ33" i="24" s="1"/>
  <c r="AZ34" i="24" s="1"/>
  <c r="AZ35" i="24" s="1"/>
  <c r="AZ36" i="24" s="1"/>
  <c r="AZ37" i="24" s="1"/>
  <c r="AZ38" i="24" s="1"/>
  <c r="AZ39" i="24" s="1"/>
  <c r="AZ40" i="24" s="1"/>
  <c r="AZ41" i="24" s="1"/>
  <c r="AZ42" i="24" s="1"/>
  <c r="AZ43" i="24" s="1"/>
  <c r="AZ44" i="24" s="1"/>
  <c r="AZ45" i="24" s="1"/>
  <c r="AZ46" i="24" s="1"/>
  <c r="AZ47" i="24" s="1"/>
  <c r="AZ48" i="24" s="1"/>
  <c r="AZ49" i="24" s="1"/>
  <c r="AZ50" i="24" s="1"/>
  <c r="AZ51" i="24" s="1"/>
  <c r="AZ52" i="24" s="1"/>
  <c r="AZ53" i="24" s="1"/>
  <c r="AZ54" i="24" s="1"/>
  <c r="AZ55" i="24" s="1"/>
  <c r="AZ56" i="24" s="1"/>
  <c r="AZ57" i="24" s="1"/>
  <c r="AZ58" i="24" s="1"/>
  <c r="AZ59" i="24" s="1"/>
  <c r="AZ60" i="24" s="1"/>
  <c r="AZ61" i="24" s="1"/>
  <c r="AZ62" i="24" s="1"/>
  <c r="AZ63" i="24" s="1"/>
  <c r="AZ64" i="24" s="1"/>
  <c r="AZ65" i="24" s="1"/>
  <c r="AZ66" i="24" s="1"/>
  <c r="AZ67" i="24" s="1"/>
  <c r="AZ68" i="24" s="1"/>
  <c r="AZ69" i="24" s="1"/>
  <c r="AF30" i="24"/>
  <c r="BF28" i="24"/>
  <c r="AJ30" i="24"/>
  <c r="AJ31" i="24" s="1"/>
  <c r="AJ32" i="24" s="1"/>
  <c r="AJ33" i="24" s="1"/>
  <c r="AJ34" i="24" s="1"/>
  <c r="AJ35" i="24" s="1"/>
  <c r="AJ36" i="24" s="1"/>
  <c r="AJ37" i="24" s="1"/>
  <c r="AJ38" i="24" s="1"/>
  <c r="AJ40" i="24" s="1"/>
  <c r="AR30" i="24"/>
  <c r="AR31" i="24" s="1"/>
  <c r="AR32" i="24" s="1"/>
  <c r="AR33" i="24" s="1"/>
  <c r="AR34" i="24" s="1"/>
  <c r="AR35" i="24" s="1"/>
  <c r="AR36" i="24" s="1"/>
  <c r="AR37" i="24" s="1"/>
  <c r="AR38" i="24" s="1"/>
  <c r="AD69" i="24"/>
  <c r="AD71" i="24" s="1"/>
  <c r="U59" i="23"/>
  <c r="AR70" i="60" l="1"/>
  <c r="AR70" i="59"/>
  <c r="AR70" i="62"/>
  <c r="AR70" i="61"/>
  <c r="AJ70" i="74"/>
  <c r="AJ70" i="63"/>
  <c r="S42" i="74"/>
  <c r="AJ68" i="70"/>
  <c r="BB43" i="74"/>
  <c r="BF42" i="74"/>
  <c r="AL39" i="63"/>
  <c r="AT39" i="63" s="1"/>
  <c r="AH40" i="63"/>
  <c r="AR40" i="74"/>
  <c r="AL39" i="62"/>
  <c r="AT39" i="62" s="1"/>
  <c r="AH40" i="62"/>
  <c r="AR40" i="63"/>
  <c r="AR41" i="63" s="1"/>
  <c r="AR42" i="63" s="1"/>
  <c r="AR43" i="63" s="1"/>
  <c r="AR44" i="63" s="1"/>
  <c r="AR45" i="63" s="1"/>
  <c r="AR46" i="63" s="1"/>
  <c r="AR47" i="63" s="1"/>
  <c r="AR48" i="63" s="1"/>
  <c r="AR49" i="63" s="1"/>
  <c r="AR50" i="63" s="1"/>
  <c r="AR51" i="63" s="1"/>
  <c r="AR52" i="63" s="1"/>
  <c r="AR53" i="63" s="1"/>
  <c r="AR54" i="63" s="1"/>
  <c r="AR55" i="63" s="1"/>
  <c r="AR56" i="63" s="1"/>
  <c r="AR57" i="63" s="1"/>
  <c r="AR58" i="63" s="1"/>
  <c r="AR59" i="63" s="1"/>
  <c r="AR60" i="63" s="1"/>
  <c r="AR61" i="63" s="1"/>
  <c r="AR62" i="63" s="1"/>
  <c r="AR63" i="63" s="1"/>
  <c r="AR64" i="63" s="1"/>
  <c r="AR65" i="63" s="1"/>
  <c r="AR66" i="63" s="1"/>
  <c r="AR67" i="63" s="1"/>
  <c r="AR68" i="63" s="1"/>
  <c r="AF42" i="74"/>
  <c r="AT38" i="74"/>
  <c r="AL39" i="61"/>
  <c r="AT39" i="61" s="1"/>
  <c r="AH40" i="61"/>
  <c r="AH40" i="59"/>
  <c r="AL39" i="59"/>
  <c r="AT39" i="59" s="1"/>
  <c r="AR68" i="70"/>
  <c r="AF32" i="70"/>
  <c r="AH40" i="74"/>
  <c r="AL39" i="74"/>
  <c r="AT39" i="74" s="1"/>
  <c r="AH30" i="70"/>
  <c r="AL29" i="70"/>
  <c r="AH40" i="60"/>
  <c r="AL39" i="60"/>
  <c r="AT39" i="60" s="1"/>
  <c r="BB42" i="60"/>
  <c r="BF41" i="60"/>
  <c r="AT29" i="48"/>
  <c r="BF41" i="63"/>
  <c r="BB42" i="63"/>
  <c r="M42" i="62"/>
  <c r="S41" i="62"/>
  <c r="BF41" i="59"/>
  <c r="BB42" i="59"/>
  <c r="AF42" i="62"/>
  <c r="M42" i="61"/>
  <c r="S41" i="61"/>
  <c r="AF42" i="60"/>
  <c r="BB51" i="70"/>
  <c r="M42" i="63"/>
  <c r="S41" i="63"/>
  <c r="BB31" i="69"/>
  <c r="AF42" i="63"/>
  <c r="BB31" i="68"/>
  <c r="BF30" i="68"/>
  <c r="AF31" i="68"/>
  <c r="AL30" i="68"/>
  <c r="AF42" i="59"/>
  <c r="BF41" i="61"/>
  <c r="BB42" i="61"/>
  <c r="AF42" i="61"/>
  <c r="S30" i="68"/>
  <c r="I31" i="68"/>
  <c r="AT29" i="68"/>
  <c r="S41" i="59"/>
  <c r="M42" i="59"/>
  <c r="BB42" i="62"/>
  <c r="BF41" i="62"/>
  <c r="AR71" i="57"/>
  <c r="AV41" i="30"/>
  <c r="AP73" i="30"/>
  <c r="BF73" i="30"/>
  <c r="AJ73" i="30"/>
  <c r="M42" i="58"/>
  <c r="BB43" i="57"/>
  <c r="BF42" i="57"/>
  <c r="BF41" i="58"/>
  <c r="BB42" i="58"/>
  <c r="AJ72" i="31"/>
  <c r="AF43" i="57"/>
  <c r="AH42" i="31"/>
  <c r="AF42" i="58"/>
  <c r="AH43" i="30"/>
  <c r="M44" i="57"/>
  <c r="AF45" i="31"/>
  <c r="AR44" i="31"/>
  <c r="M44" i="31"/>
  <c r="BF45" i="31"/>
  <c r="S30" i="49"/>
  <c r="I31" i="49"/>
  <c r="I31" i="48"/>
  <c r="S30" i="48"/>
  <c r="AT29" i="49"/>
  <c r="BB31" i="48"/>
  <c r="BF30" i="48"/>
  <c r="AT30" i="48" s="1"/>
  <c r="I31" i="50"/>
  <c r="S30" i="50"/>
  <c r="BB31" i="49"/>
  <c r="BF30" i="49"/>
  <c r="AT30" i="49" s="1"/>
  <c r="BB31" i="50"/>
  <c r="BF30" i="50"/>
  <c r="AT30" i="50" s="1"/>
  <c r="AJ32" i="50"/>
  <c r="AL31" i="50"/>
  <c r="AH47" i="50"/>
  <c r="AH46" i="49"/>
  <c r="AJ32" i="48"/>
  <c r="AL31" i="48"/>
  <c r="AJ32" i="49"/>
  <c r="AL31" i="49"/>
  <c r="AH46" i="48"/>
  <c r="BD33" i="48"/>
  <c r="BD33" i="50"/>
  <c r="BD33" i="49"/>
  <c r="AJ58" i="43"/>
  <c r="AT30" i="47"/>
  <c r="BF31" i="47"/>
  <c r="BB32" i="47"/>
  <c r="I32" i="47"/>
  <c r="S31" i="47"/>
  <c r="AL31" i="47"/>
  <c r="AF32" i="47"/>
  <c r="K32" i="24"/>
  <c r="K33" i="24" s="1"/>
  <c r="K34" i="24" s="1"/>
  <c r="K35" i="24" s="1"/>
  <c r="K36" i="24" s="1"/>
  <c r="K37" i="24" s="1"/>
  <c r="K38" i="24" s="1"/>
  <c r="K71" i="24"/>
  <c r="AR39" i="24"/>
  <c r="AR40" i="24" s="1"/>
  <c r="AR41" i="24" s="1"/>
  <c r="AR42" i="24" s="1"/>
  <c r="AR43" i="24" s="1"/>
  <c r="AR44" i="24" s="1"/>
  <c r="AR45" i="24" s="1"/>
  <c r="AR46" i="24" s="1"/>
  <c r="AR47" i="24" s="1"/>
  <c r="AR12" i="24"/>
  <c r="BK11" i="24"/>
  <c r="BF39" i="24" s="1"/>
  <c r="AT39" i="24" s="1"/>
  <c r="AF12" i="24"/>
  <c r="AL40" i="24"/>
  <c r="AH41" i="24"/>
  <c r="AH42" i="24" s="1"/>
  <c r="AH43" i="24" s="1"/>
  <c r="AH44" i="24" s="1"/>
  <c r="AH45" i="24" s="1"/>
  <c r="AH46" i="24" s="1"/>
  <c r="AH47" i="24" s="1"/>
  <c r="AH65" i="24" s="1"/>
  <c r="AJ41" i="24"/>
  <c r="AJ42" i="24" s="1"/>
  <c r="AJ43" i="24" s="1"/>
  <c r="AJ44" i="24" s="1"/>
  <c r="AJ45" i="24" s="1"/>
  <c r="AJ46" i="24" s="1"/>
  <c r="AJ47" i="24" s="1"/>
  <c r="AJ48" i="24" s="1"/>
  <c r="AJ49" i="24" s="1"/>
  <c r="AJ50" i="24" s="1"/>
  <c r="AJ51" i="24" s="1"/>
  <c r="AJ52" i="24" s="1"/>
  <c r="AJ53" i="24" s="1"/>
  <c r="AJ54" i="24" s="1"/>
  <c r="AJ55" i="24" s="1"/>
  <c r="AJ56" i="24" s="1"/>
  <c r="AJ57" i="24" s="1"/>
  <c r="AJ58" i="24" s="1"/>
  <c r="AJ59" i="24" s="1"/>
  <c r="AJ60" i="24" s="1"/>
  <c r="AJ61" i="24" s="1"/>
  <c r="AJ62" i="24" s="1"/>
  <c r="BD52" i="24"/>
  <c r="BD53" i="24" s="1"/>
  <c r="BD54" i="24" s="1"/>
  <c r="BD55" i="24" s="1"/>
  <c r="BD56" i="24" s="1"/>
  <c r="BD57" i="24" s="1"/>
  <c r="BD58" i="24" s="1"/>
  <c r="BD59" i="24" s="1"/>
  <c r="BD60" i="24" s="1"/>
  <c r="BD61" i="24" s="1"/>
  <c r="BD62" i="24" s="1"/>
  <c r="BD66" i="24" s="1"/>
  <c r="BD67" i="24" s="1"/>
  <c r="BD68" i="24" s="1"/>
  <c r="BD65" i="24"/>
  <c r="AF31" i="24"/>
  <c r="AL30" i="24"/>
  <c r="S30" i="24"/>
  <c r="I31" i="24"/>
  <c r="S31" i="24" s="1"/>
  <c r="AB29" i="24"/>
  <c r="BB31" i="24"/>
  <c r="BF30" i="24"/>
  <c r="AT28" i="24"/>
  <c r="BF29" i="24"/>
  <c r="AT29" i="24" s="1"/>
  <c r="M44" i="74" l="1"/>
  <c r="S43" i="74"/>
  <c r="BF43" i="74"/>
  <c r="BB44" i="74"/>
  <c r="AH31" i="70"/>
  <c r="AL30" i="70"/>
  <c r="AF43" i="74"/>
  <c r="AR70" i="63"/>
  <c r="AH41" i="63"/>
  <c r="AL40" i="63"/>
  <c r="AT40" i="63" s="1"/>
  <c r="AH41" i="60"/>
  <c r="AL40" i="60"/>
  <c r="AT40" i="60" s="1"/>
  <c r="AH41" i="74"/>
  <c r="AL40" i="74"/>
  <c r="AT40" i="74" s="1"/>
  <c r="AH41" i="61"/>
  <c r="AL40" i="61"/>
  <c r="AT40" i="61" s="1"/>
  <c r="AH41" i="62"/>
  <c r="AL40" i="62"/>
  <c r="AT40" i="62" s="1"/>
  <c r="AR41" i="74"/>
  <c r="AF33" i="70"/>
  <c r="AH41" i="59"/>
  <c r="AL40" i="59"/>
  <c r="AT40" i="59" s="1"/>
  <c r="S31" i="68"/>
  <c r="I32" i="68"/>
  <c r="AL31" i="68"/>
  <c r="AF32" i="68"/>
  <c r="BB52" i="70"/>
  <c r="BF42" i="60"/>
  <c r="BB43" i="60"/>
  <c r="BF42" i="61"/>
  <c r="BB43" i="61"/>
  <c r="M43" i="63"/>
  <c r="S42" i="63"/>
  <c r="BB43" i="59"/>
  <c r="BF42" i="59"/>
  <c r="M43" i="62"/>
  <c r="S42" i="62"/>
  <c r="BB43" i="63"/>
  <c r="BF42" i="63"/>
  <c r="BB43" i="62"/>
  <c r="BF42" i="62"/>
  <c r="AF43" i="59"/>
  <c r="AF43" i="63"/>
  <c r="BB32" i="69"/>
  <c r="AF43" i="62"/>
  <c r="M43" i="59"/>
  <c r="S42" i="59"/>
  <c r="AF43" i="61"/>
  <c r="AT30" i="68"/>
  <c r="BF31" i="68"/>
  <c r="BB32" i="68"/>
  <c r="AF43" i="60"/>
  <c r="M43" i="61"/>
  <c r="S42" i="61"/>
  <c r="BB43" i="58"/>
  <c r="BF42" i="58"/>
  <c r="AH44" i="30"/>
  <c r="AH43" i="31"/>
  <c r="AF43" i="58"/>
  <c r="AF44" i="57"/>
  <c r="M43" i="58"/>
  <c r="AV73" i="30"/>
  <c r="M45" i="57"/>
  <c r="BB44" i="57"/>
  <c r="BF43" i="57"/>
  <c r="AF46" i="31"/>
  <c r="BF46" i="31"/>
  <c r="M45" i="31"/>
  <c r="AR45" i="31"/>
  <c r="BB32" i="48"/>
  <c r="BF31" i="48"/>
  <c r="AT31" i="48" s="1"/>
  <c r="BB32" i="49"/>
  <c r="BF31" i="49"/>
  <c r="AT31" i="49" s="1"/>
  <c r="S31" i="49"/>
  <c r="I32" i="49"/>
  <c r="I32" i="50"/>
  <c r="S31" i="50"/>
  <c r="BB32" i="50"/>
  <c r="BF31" i="50"/>
  <c r="AT31" i="50" s="1"/>
  <c r="I32" i="48"/>
  <c r="S31" i="48"/>
  <c r="AT31" i="47"/>
  <c r="AH47" i="48"/>
  <c r="AJ33" i="50"/>
  <c r="AL32" i="50"/>
  <c r="AJ33" i="48"/>
  <c r="AL32" i="48"/>
  <c r="AH48" i="50"/>
  <c r="AJ33" i="49"/>
  <c r="AL32" i="49"/>
  <c r="AH47" i="49"/>
  <c r="BD34" i="49"/>
  <c r="BD34" i="48"/>
  <c r="BD34" i="50"/>
  <c r="I33" i="47"/>
  <c r="S32" i="47"/>
  <c r="BB33" i="47"/>
  <c r="BF32" i="47"/>
  <c r="AL32" i="47"/>
  <c r="AF33" i="47"/>
  <c r="AR48" i="24"/>
  <c r="AR49" i="24" s="1"/>
  <c r="AR50" i="24" s="1"/>
  <c r="AR51" i="24" s="1"/>
  <c r="AR69" i="24" s="1"/>
  <c r="AR65" i="24"/>
  <c r="AH48" i="24"/>
  <c r="AH49" i="24" s="1"/>
  <c r="AH50" i="24" s="1"/>
  <c r="AH51" i="24" s="1"/>
  <c r="AH52" i="24" s="1"/>
  <c r="AH53" i="24" s="1"/>
  <c r="AH54" i="24" s="1"/>
  <c r="AH55" i="24" s="1"/>
  <c r="AH56" i="24" s="1"/>
  <c r="AH57" i="24" s="1"/>
  <c r="AH58" i="24" s="1"/>
  <c r="AH59" i="24" s="1"/>
  <c r="AH60" i="24" s="1"/>
  <c r="AH61" i="24" s="1"/>
  <c r="AH62" i="24" s="1"/>
  <c r="AH66" i="24" s="1"/>
  <c r="AH67" i="24" s="1"/>
  <c r="AH68" i="24" s="1"/>
  <c r="BD63" i="24"/>
  <c r="BD64" i="24" s="1"/>
  <c r="AJ65" i="24"/>
  <c r="AJ69" i="24"/>
  <c r="AJ66" i="24"/>
  <c r="AJ67" i="24" s="1"/>
  <c r="AJ68" i="24" s="1"/>
  <c r="AJ63" i="24"/>
  <c r="AJ64" i="24" s="1"/>
  <c r="AT30" i="24"/>
  <c r="AF32" i="24"/>
  <c r="AF33" i="24" s="1"/>
  <c r="AL31" i="24"/>
  <c r="BF31" i="24"/>
  <c r="BB32" i="24"/>
  <c r="AB30" i="24"/>
  <c r="I32" i="24"/>
  <c r="BB45" i="74" l="1"/>
  <c r="BF44" i="74"/>
  <c r="M45" i="74"/>
  <c r="S44" i="74"/>
  <c r="AH42" i="60"/>
  <c r="AL41" i="60"/>
  <c r="AT41" i="60" s="1"/>
  <c r="AR42" i="74"/>
  <c r="AH42" i="59"/>
  <c r="AL41" i="59"/>
  <c r="AT41" i="59" s="1"/>
  <c r="AH42" i="61"/>
  <c r="AL41" i="61"/>
  <c r="AT41" i="61" s="1"/>
  <c r="AH42" i="74"/>
  <c r="AL41" i="74"/>
  <c r="AH42" i="63"/>
  <c r="AL41" i="63"/>
  <c r="AT41" i="63" s="1"/>
  <c r="AF44" i="74"/>
  <c r="AF34" i="70"/>
  <c r="AH42" i="62"/>
  <c r="AL41" i="62"/>
  <c r="AT41" i="62" s="1"/>
  <c r="AH32" i="70"/>
  <c r="AL31" i="70"/>
  <c r="BB33" i="68"/>
  <c r="BF32" i="68"/>
  <c r="BB33" i="69"/>
  <c r="AL32" i="68"/>
  <c r="AF33" i="68"/>
  <c r="S43" i="61"/>
  <c r="M44" i="61"/>
  <c r="AF44" i="61"/>
  <c r="BF43" i="63"/>
  <c r="BB44" i="63"/>
  <c r="BF43" i="59"/>
  <c r="BB44" i="59"/>
  <c r="BB44" i="61"/>
  <c r="BF43" i="61"/>
  <c r="BB53" i="70"/>
  <c r="AT31" i="68"/>
  <c r="AF44" i="60"/>
  <c r="M44" i="59"/>
  <c r="S43" i="59"/>
  <c r="AF44" i="62"/>
  <c r="AF44" i="63"/>
  <c r="AF44" i="59"/>
  <c r="BF43" i="62"/>
  <c r="BB44" i="62"/>
  <c r="S43" i="62"/>
  <c r="M44" i="62"/>
  <c r="M44" i="63"/>
  <c r="S43" i="63"/>
  <c r="BB44" i="60"/>
  <c r="BF43" i="60"/>
  <c r="S32" i="68"/>
  <c r="I33" i="68"/>
  <c r="AH45" i="30"/>
  <c r="AF45" i="57"/>
  <c r="BF43" i="58"/>
  <c r="BB44" i="58"/>
  <c r="AF44" i="58"/>
  <c r="AH44" i="31"/>
  <c r="BB45" i="57"/>
  <c r="BF44" i="57"/>
  <c r="M46" i="57"/>
  <c r="M44" i="58"/>
  <c r="AF47" i="31"/>
  <c r="M46" i="31"/>
  <c r="BF47" i="31"/>
  <c r="AR46" i="31"/>
  <c r="I33" i="48"/>
  <c r="S32" i="48"/>
  <c r="BB33" i="50"/>
  <c r="BF32" i="50"/>
  <c r="AT32" i="50" s="1"/>
  <c r="S32" i="50"/>
  <c r="I33" i="50"/>
  <c r="I33" i="49"/>
  <c r="S32" i="49"/>
  <c r="BB33" i="49"/>
  <c r="BF32" i="49"/>
  <c r="AT32" i="49" s="1"/>
  <c r="BB33" i="48"/>
  <c r="BF32" i="48"/>
  <c r="AT32" i="48" s="1"/>
  <c r="AJ34" i="49"/>
  <c r="AL33" i="49"/>
  <c r="AH58" i="48"/>
  <c r="AH58" i="50"/>
  <c r="AH58" i="49"/>
  <c r="AJ34" i="48"/>
  <c r="AL33" i="48"/>
  <c r="AJ34" i="50"/>
  <c r="AL33" i="50"/>
  <c r="BD35" i="50"/>
  <c r="BD35" i="49"/>
  <c r="BD35" i="48"/>
  <c r="AT32" i="47"/>
  <c r="BF33" i="47"/>
  <c r="BB34" i="47"/>
  <c r="AL33" i="47"/>
  <c r="AF34" i="47"/>
  <c r="S33" i="47"/>
  <c r="I34" i="47"/>
  <c r="AR52" i="24"/>
  <c r="AR53" i="24" s="1"/>
  <c r="AR54" i="24" s="1"/>
  <c r="AR55" i="24" s="1"/>
  <c r="AR56" i="24" s="1"/>
  <c r="AR57" i="24" s="1"/>
  <c r="AR58" i="24" s="1"/>
  <c r="AR59" i="24" s="1"/>
  <c r="AR60" i="24" s="1"/>
  <c r="AR61" i="24" s="1"/>
  <c r="AR62" i="24" s="1"/>
  <c r="BD71" i="24"/>
  <c r="AH69" i="24"/>
  <c r="AH63" i="24"/>
  <c r="AH64" i="24" s="1"/>
  <c r="AJ71" i="24"/>
  <c r="AT31" i="24"/>
  <c r="I33" i="24"/>
  <c r="S32" i="24"/>
  <c r="AL32" i="24"/>
  <c r="BF32" i="24"/>
  <c r="BB33" i="24"/>
  <c r="AB31" i="24"/>
  <c r="M46" i="74" l="1"/>
  <c r="S45" i="74"/>
  <c r="BF45" i="74"/>
  <c r="BB46" i="74"/>
  <c r="AH33" i="70"/>
  <c r="AL32" i="70"/>
  <c r="AH43" i="62"/>
  <c r="AL42" i="62"/>
  <c r="AT42" i="62" s="1"/>
  <c r="AF45" i="74"/>
  <c r="AT41" i="74"/>
  <c r="AH43" i="61"/>
  <c r="AL42" i="61"/>
  <c r="AT42" i="61" s="1"/>
  <c r="AR43" i="74"/>
  <c r="AF35" i="70"/>
  <c r="AH43" i="74"/>
  <c r="AL42" i="74"/>
  <c r="AT42" i="74" s="1"/>
  <c r="AH43" i="63"/>
  <c r="AL42" i="63"/>
  <c r="AT42" i="63" s="1"/>
  <c r="AH43" i="59"/>
  <c r="AL42" i="59"/>
  <c r="AT42" i="59" s="1"/>
  <c r="AH43" i="60"/>
  <c r="AL42" i="60"/>
  <c r="AT42" i="60" s="1"/>
  <c r="BF44" i="62"/>
  <c r="BB45" i="62"/>
  <c r="BF44" i="60"/>
  <c r="BB45" i="60"/>
  <c r="M45" i="63"/>
  <c r="S44" i="63"/>
  <c r="AF45" i="63"/>
  <c r="S44" i="59"/>
  <c r="M45" i="59"/>
  <c r="M45" i="61"/>
  <c r="S44" i="61"/>
  <c r="AT32" i="68"/>
  <c r="BB34" i="68"/>
  <c r="BF33" i="68"/>
  <c r="S44" i="62"/>
  <c r="M45" i="62"/>
  <c r="AF45" i="59"/>
  <c r="BB45" i="59"/>
  <c r="BF44" i="59"/>
  <c r="AF45" i="61"/>
  <c r="AF45" i="62"/>
  <c r="S33" i="68"/>
  <c r="I34" i="68"/>
  <c r="AF45" i="60"/>
  <c r="BB54" i="70"/>
  <c r="BB45" i="61"/>
  <c r="BF44" i="61"/>
  <c r="BF44" i="63"/>
  <c r="BB45" i="63"/>
  <c r="AF34" i="68"/>
  <c r="AL33" i="68"/>
  <c r="BB34" i="69"/>
  <c r="BB46" i="57"/>
  <c r="BF45" i="57"/>
  <c r="M45" i="58"/>
  <c r="M47" i="57"/>
  <c r="AF45" i="58"/>
  <c r="AF46" i="57"/>
  <c r="AH45" i="31"/>
  <c r="BF44" i="58"/>
  <c r="BB45" i="58"/>
  <c r="AH46" i="30"/>
  <c r="AF48" i="31"/>
  <c r="AR47" i="31"/>
  <c r="BF48" i="31"/>
  <c r="M47" i="31"/>
  <c r="BB34" i="48"/>
  <c r="BF33" i="48"/>
  <c r="AT33" i="48" s="1"/>
  <c r="S33" i="49"/>
  <c r="I34" i="49"/>
  <c r="BB34" i="50"/>
  <c r="BF33" i="50"/>
  <c r="AT33" i="50" s="1"/>
  <c r="I34" i="48"/>
  <c r="S33" i="48"/>
  <c r="I34" i="50"/>
  <c r="S33" i="50"/>
  <c r="BB34" i="49"/>
  <c r="BF33" i="49"/>
  <c r="AT33" i="49" s="1"/>
  <c r="AJ35" i="50"/>
  <c r="AL34" i="50"/>
  <c r="AJ35" i="49"/>
  <c r="AL34" i="49"/>
  <c r="AJ35" i="48"/>
  <c r="AL34" i="48"/>
  <c r="BD36" i="48"/>
  <c r="BD36" i="49"/>
  <c r="BD36" i="50"/>
  <c r="AT33" i="47"/>
  <c r="BB35" i="47"/>
  <c r="BF34" i="47"/>
  <c r="AF35" i="47"/>
  <c r="AL34" i="47"/>
  <c r="S34" i="47"/>
  <c r="I35" i="47"/>
  <c r="AH71" i="24"/>
  <c r="AR66" i="24"/>
  <c r="AR67" i="24" s="1"/>
  <c r="AR68" i="24" s="1"/>
  <c r="AR63" i="24"/>
  <c r="BF33" i="24"/>
  <c r="BB34" i="24"/>
  <c r="I34" i="24"/>
  <c r="S33" i="24"/>
  <c r="AL33" i="24"/>
  <c r="AF34" i="24"/>
  <c r="AB32" i="24"/>
  <c r="AT32" i="24"/>
  <c r="B86" i="4"/>
  <c r="AT33" i="68" l="1"/>
  <c r="BF46" i="74"/>
  <c r="BB47" i="74"/>
  <c r="M47" i="74"/>
  <c r="S46" i="74"/>
  <c r="AH44" i="59"/>
  <c r="AL43" i="59"/>
  <c r="AT43" i="59" s="1"/>
  <c r="AF36" i="70"/>
  <c r="AR44" i="74"/>
  <c r="AH44" i="61"/>
  <c r="AL43" i="61"/>
  <c r="AT43" i="61" s="1"/>
  <c r="AF46" i="74"/>
  <c r="AH44" i="60"/>
  <c r="AL43" i="60"/>
  <c r="AT43" i="60" s="1"/>
  <c r="AH44" i="74"/>
  <c r="AL43" i="74"/>
  <c r="AT43" i="74" s="1"/>
  <c r="AH34" i="70"/>
  <c r="AL33" i="70"/>
  <c r="AH44" i="63"/>
  <c r="AL43" i="63"/>
  <c r="AT43" i="63" s="1"/>
  <c r="AH44" i="62"/>
  <c r="AL43" i="62"/>
  <c r="AT43" i="62" s="1"/>
  <c r="S34" i="68"/>
  <c r="I35" i="68"/>
  <c r="AF46" i="61"/>
  <c r="AF46" i="59"/>
  <c r="BF34" i="68"/>
  <c r="BB35" i="68"/>
  <c r="BB35" i="69"/>
  <c r="AF46" i="60"/>
  <c r="AF46" i="63"/>
  <c r="M46" i="63"/>
  <c r="S45" i="63"/>
  <c r="AF35" i="68"/>
  <c r="AL34" i="68"/>
  <c r="BB46" i="60"/>
  <c r="BF45" i="60"/>
  <c r="BF45" i="62"/>
  <c r="BB46" i="62"/>
  <c r="BF45" i="61"/>
  <c r="BB46" i="61"/>
  <c r="BB46" i="59"/>
  <c r="BF45" i="59"/>
  <c r="BF45" i="63"/>
  <c r="BB46" i="63"/>
  <c r="BB55" i="70"/>
  <c r="AF46" i="62"/>
  <c r="S45" i="62"/>
  <c r="M46" i="62"/>
  <c r="S45" i="61"/>
  <c r="M46" i="61"/>
  <c r="S45" i="59"/>
  <c r="M46" i="59"/>
  <c r="M48" i="57"/>
  <c r="AH47" i="30"/>
  <c r="AF47" i="57"/>
  <c r="M46" i="58"/>
  <c r="AF46" i="58"/>
  <c r="BB46" i="58"/>
  <c r="BF45" i="58"/>
  <c r="AH46" i="31"/>
  <c r="BB47" i="57"/>
  <c r="BF46" i="57"/>
  <c r="AF49" i="31"/>
  <c r="M48" i="31"/>
  <c r="BF49" i="31"/>
  <c r="AR48" i="31"/>
  <c r="S34" i="50"/>
  <c r="I35" i="50"/>
  <c r="BB35" i="48"/>
  <c r="BF34" i="48"/>
  <c r="AT34" i="48" s="1"/>
  <c r="BB35" i="50"/>
  <c r="BF34" i="50"/>
  <c r="AT34" i="50" s="1"/>
  <c r="S34" i="49"/>
  <c r="I35" i="49"/>
  <c r="BB35" i="49"/>
  <c r="BF34" i="49"/>
  <c r="AT34" i="49" s="1"/>
  <c r="S34" i="48"/>
  <c r="I35" i="48"/>
  <c r="AJ36" i="49"/>
  <c r="AL35" i="49"/>
  <c r="AJ36" i="48"/>
  <c r="AL35" i="48"/>
  <c r="AJ36" i="50"/>
  <c r="AL35" i="50"/>
  <c r="BD37" i="50"/>
  <c r="BD37" i="49"/>
  <c r="BD37" i="48"/>
  <c r="AT34" i="47"/>
  <c r="AF36" i="47"/>
  <c r="AL35" i="47"/>
  <c r="I36" i="47"/>
  <c r="S35" i="47"/>
  <c r="BB36" i="47"/>
  <c r="BF35" i="47"/>
  <c r="AR64" i="24"/>
  <c r="AR71" i="24" s="1"/>
  <c r="AT33" i="24"/>
  <c r="AF35" i="24"/>
  <c r="AL34" i="24"/>
  <c r="BF34" i="24"/>
  <c r="BB35" i="24"/>
  <c r="AB33" i="24"/>
  <c r="S34" i="24"/>
  <c r="I35" i="24"/>
  <c r="O66" i="19"/>
  <c r="Q66" i="19"/>
  <c r="G53" i="19"/>
  <c r="AD53" i="19" s="1"/>
  <c r="G54" i="19"/>
  <c r="AD54" i="19"/>
  <c r="G55" i="19"/>
  <c r="AD55" i="19" s="1"/>
  <c r="G56" i="19"/>
  <c r="AD56" i="19"/>
  <c r="G57" i="19"/>
  <c r="AD57" i="19"/>
  <c r="G58" i="19"/>
  <c r="AD58" i="19" s="1"/>
  <c r="G59" i="19"/>
  <c r="AD59" i="19"/>
  <c r="G60" i="19"/>
  <c r="AD60" i="19" s="1"/>
  <c r="G61" i="19"/>
  <c r="AD61" i="19" s="1"/>
  <c r="G62" i="19"/>
  <c r="AD62" i="19" s="1"/>
  <c r="M48" i="74" l="1"/>
  <c r="S47" i="74"/>
  <c r="BB48" i="74"/>
  <c r="BF47" i="74"/>
  <c r="AH45" i="62"/>
  <c r="AL44" i="62"/>
  <c r="AT44" i="62" s="1"/>
  <c r="AH45" i="74"/>
  <c r="AL44" i="74"/>
  <c r="AH45" i="60"/>
  <c r="AL44" i="60"/>
  <c r="AT44" i="60" s="1"/>
  <c r="AR45" i="74"/>
  <c r="AH45" i="63"/>
  <c r="AL44" i="63"/>
  <c r="AT44" i="63" s="1"/>
  <c r="AH45" i="59"/>
  <c r="AL44" i="59"/>
  <c r="AT44" i="59" s="1"/>
  <c r="AH45" i="61"/>
  <c r="AL44" i="61"/>
  <c r="AT44" i="61" s="1"/>
  <c r="AF37" i="70"/>
  <c r="AH35" i="70"/>
  <c r="AL34" i="70"/>
  <c r="AF47" i="74"/>
  <c r="M47" i="59"/>
  <c r="S46" i="59"/>
  <c r="AF47" i="62"/>
  <c r="BB56" i="70"/>
  <c r="AT34" i="68"/>
  <c r="I36" i="68"/>
  <c r="S35" i="68"/>
  <c r="S46" i="62"/>
  <c r="M47" i="62"/>
  <c r="BF46" i="62"/>
  <c r="BB47" i="62"/>
  <c r="BB47" i="60"/>
  <c r="BF46" i="60"/>
  <c r="AF36" i="68"/>
  <c r="AL35" i="68"/>
  <c r="AF47" i="63"/>
  <c r="BB36" i="68"/>
  <c r="BF35" i="68"/>
  <c r="BB47" i="63"/>
  <c r="BF46" i="63"/>
  <c r="BB47" i="59"/>
  <c r="BF46" i="59"/>
  <c r="AF47" i="60"/>
  <c r="S46" i="61"/>
  <c r="M47" i="61"/>
  <c r="BB47" i="61"/>
  <c r="BF46" i="61"/>
  <c r="M47" i="63"/>
  <c r="S46" i="63"/>
  <c r="BB36" i="69"/>
  <c r="AF47" i="59"/>
  <c r="AF47" i="61"/>
  <c r="AH47" i="31"/>
  <c r="AF48" i="57"/>
  <c r="M49" i="57"/>
  <c r="BB48" i="57"/>
  <c r="BF47" i="57"/>
  <c r="M47" i="58"/>
  <c r="AH48" i="30"/>
  <c r="BF46" i="58"/>
  <c r="BB47" i="58"/>
  <c r="AF47" i="58"/>
  <c r="AF50" i="31"/>
  <c r="AR49" i="31"/>
  <c r="BF50" i="31"/>
  <c r="M49" i="31"/>
  <c r="I36" i="48"/>
  <c r="S35" i="48"/>
  <c r="BB36" i="48"/>
  <c r="BF35" i="48"/>
  <c r="AT35" i="48" s="1"/>
  <c r="BB36" i="49"/>
  <c r="BF35" i="49"/>
  <c r="AT35" i="49" s="1"/>
  <c r="S35" i="50"/>
  <c r="I36" i="50"/>
  <c r="BB36" i="50"/>
  <c r="BF35" i="50"/>
  <c r="AT35" i="50" s="1"/>
  <c r="S35" i="49"/>
  <c r="I36" i="49"/>
  <c r="AJ37" i="48"/>
  <c r="AL36" i="48"/>
  <c r="AJ37" i="49"/>
  <c r="AL36" i="49"/>
  <c r="AJ37" i="50"/>
  <c r="AL36" i="50"/>
  <c r="BD38" i="48"/>
  <c r="BD38" i="50"/>
  <c r="BD38" i="49"/>
  <c r="AT35" i="47"/>
  <c r="S36" i="47"/>
  <c r="I37" i="47"/>
  <c r="BB37" i="47"/>
  <c r="BF36" i="47"/>
  <c r="AF37" i="47"/>
  <c r="AL36" i="47"/>
  <c r="AT34" i="24"/>
  <c r="BF35" i="24"/>
  <c r="BB36" i="24"/>
  <c r="S35" i="24"/>
  <c r="I36" i="24"/>
  <c r="AB34" i="24"/>
  <c r="AL35" i="24"/>
  <c r="AF36" i="24"/>
  <c r="A5" i="23"/>
  <c r="A3" i="23"/>
  <c r="A2" i="23"/>
  <c r="A1" i="23"/>
  <c r="BF48" i="74" l="1"/>
  <c r="BB49" i="74"/>
  <c r="M49" i="74"/>
  <c r="S48" i="74"/>
  <c r="AF38" i="70"/>
  <c r="AT44" i="74"/>
  <c r="AR46" i="74"/>
  <c r="AH46" i="74"/>
  <c r="AL45" i="74"/>
  <c r="AT45" i="74" s="1"/>
  <c r="AH36" i="70"/>
  <c r="AL35" i="70"/>
  <c r="AH46" i="61"/>
  <c r="AL45" i="61"/>
  <c r="AT45" i="61" s="1"/>
  <c r="AH46" i="63"/>
  <c r="AL45" i="63"/>
  <c r="AT45" i="63" s="1"/>
  <c r="AF48" i="74"/>
  <c r="AH46" i="59"/>
  <c r="AL45" i="59"/>
  <c r="AT45" i="59" s="1"/>
  <c r="AH46" i="60"/>
  <c r="AL45" i="60"/>
  <c r="AT45" i="60" s="1"/>
  <c r="AH46" i="62"/>
  <c r="AL45" i="62"/>
  <c r="AT45" i="62" s="1"/>
  <c r="AF48" i="61"/>
  <c r="BB37" i="69"/>
  <c r="BF36" i="68"/>
  <c r="BB37" i="68"/>
  <c r="AF48" i="59"/>
  <c r="S47" i="61"/>
  <c r="M48" i="61"/>
  <c r="BB48" i="59"/>
  <c r="BF47" i="59"/>
  <c r="AF48" i="62"/>
  <c r="BF47" i="61"/>
  <c r="BB48" i="61"/>
  <c r="BF47" i="60"/>
  <c r="BB48" i="60"/>
  <c r="M48" i="63"/>
  <c r="S47" i="63"/>
  <c r="AF48" i="60"/>
  <c r="AF48" i="63"/>
  <c r="I37" i="68"/>
  <c r="S36" i="68"/>
  <c r="BB57" i="70"/>
  <c r="BF47" i="63"/>
  <c r="BB48" i="63"/>
  <c r="AT35" i="68"/>
  <c r="BB48" i="62"/>
  <c r="BF47" i="62"/>
  <c r="S47" i="62"/>
  <c r="M48" i="62"/>
  <c r="M48" i="59"/>
  <c r="S47" i="59"/>
  <c r="AF37" i="68"/>
  <c r="AL36" i="68"/>
  <c r="AH49" i="30"/>
  <c r="M50" i="57"/>
  <c r="BB48" i="58"/>
  <c r="BF47" i="58"/>
  <c r="AF49" i="57"/>
  <c r="AF48" i="58"/>
  <c r="M48" i="58"/>
  <c r="BB49" i="57"/>
  <c r="BF48" i="57"/>
  <c r="AH48" i="31"/>
  <c r="AF51" i="31"/>
  <c r="M50" i="31"/>
  <c r="AR50" i="31"/>
  <c r="BF51" i="31"/>
  <c r="S36" i="48"/>
  <c r="I37" i="48"/>
  <c r="BB37" i="49"/>
  <c r="BF36" i="49"/>
  <c r="AT36" i="49" s="1"/>
  <c r="BB37" i="48"/>
  <c r="BF36" i="48"/>
  <c r="AT36" i="48" s="1"/>
  <c r="I37" i="49"/>
  <c r="S36" i="49"/>
  <c r="BB37" i="50"/>
  <c r="BF36" i="50"/>
  <c r="AT36" i="50" s="1"/>
  <c r="I37" i="50"/>
  <c r="S36" i="50"/>
  <c r="AJ38" i="49"/>
  <c r="AL37" i="49"/>
  <c r="AJ38" i="50"/>
  <c r="AL37" i="50"/>
  <c r="AJ38" i="48"/>
  <c r="AL37" i="48"/>
  <c r="BD39" i="50"/>
  <c r="AT36" i="47"/>
  <c r="BD39" i="48"/>
  <c r="BD39" i="49"/>
  <c r="S37" i="47"/>
  <c r="I38" i="47"/>
  <c r="AL37" i="47"/>
  <c r="AF38" i="47"/>
  <c r="BF37" i="47"/>
  <c r="BB38" i="47"/>
  <c r="AT35" i="24"/>
  <c r="AB35" i="24"/>
  <c r="S36" i="24"/>
  <c r="I37" i="24"/>
  <c r="AF37" i="24"/>
  <c r="AL36" i="24"/>
  <c r="BF36" i="24"/>
  <c r="BB37" i="24"/>
  <c r="AT36" i="68" l="1"/>
  <c r="M50" i="74"/>
  <c r="S49" i="74"/>
  <c r="BB50" i="74"/>
  <c r="BF49" i="74"/>
  <c r="AH47" i="63"/>
  <c r="AL46" i="63"/>
  <c r="AT46" i="63" s="1"/>
  <c r="AH47" i="62"/>
  <c r="AL46" i="62"/>
  <c r="AT46" i="62" s="1"/>
  <c r="AH37" i="70"/>
  <c r="AL36" i="70"/>
  <c r="AF39" i="70"/>
  <c r="AF49" i="74"/>
  <c r="AR47" i="74"/>
  <c r="AH47" i="60"/>
  <c r="AL46" i="60"/>
  <c r="AT46" i="60" s="1"/>
  <c r="AH47" i="59"/>
  <c r="AL46" i="59"/>
  <c r="AT46" i="59" s="1"/>
  <c r="AH47" i="61"/>
  <c r="AL46" i="61"/>
  <c r="AT46" i="61" s="1"/>
  <c r="AH47" i="74"/>
  <c r="AL46" i="74"/>
  <c r="AT46" i="74" s="1"/>
  <c r="M49" i="62"/>
  <c r="S48" i="62"/>
  <c r="M49" i="63"/>
  <c r="S48" i="63"/>
  <c r="AF38" i="68"/>
  <c r="AL37" i="68"/>
  <c r="BF48" i="63"/>
  <c r="BB49" i="63"/>
  <c r="BB68" i="70"/>
  <c r="S37" i="68"/>
  <c r="I38" i="68"/>
  <c r="BB49" i="60"/>
  <c r="BF48" i="60"/>
  <c r="AF49" i="59"/>
  <c r="BB38" i="68"/>
  <c r="BF37" i="68"/>
  <c r="BB38" i="69"/>
  <c r="AF49" i="60"/>
  <c r="AF49" i="62"/>
  <c r="M49" i="61"/>
  <c r="S48" i="61"/>
  <c r="AF49" i="61"/>
  <c r="S48" i="59"/>
  <c r="M49" i="59"/>
  <c r="BF48" i="62"/>
  <c r="BB49" i="62"/>
  <c r="AF49" i="63"/>
  <c r="BB49" i="61"/>
  <c r="BF48" i="61"/>
  <c r="BB49" i="59"/>
  <c r="BF48" i="59"/>
  <c r="AF50" i="57"/>
  <c r="M51" i="57"/>
  <c r="M49" i="58"/>
  <c r="AF49" i="58"/>
  <c r="AH49" i="31"/>
  <c r="BB50" i="57"/>
  <c r="BF49" i="57"/>
  <c r="BF48" i="58"/>
  <c r="BB49" i="58"/>
  <c r="AH50" i="30"/>
  <c r="AF52" i="31"/>
  <c r="BF52" i="31"/>
  <c r="AR51" i="31"/>
  <c r="M51" i="31"/>
  <c r="BB38" i="50"/>
  <c r="BF37" i="50"/>
  <c r="AT37" i="50" s="1"/>
  <c r="I38" i="49"/>
  <c r="S37" i="49"/>
  <c r="BB38" i="48"/>
  <c r="BF37" i="48"/>
  <c r="AT37" i="48" s="1"/>
  <c r="S37" i="48"/>
  <c r="I38" i="48"/>
  <c r="S37" i="50"/>
  <c r="I38" i="50"/>
  <c r="BB38" i="49"/>
  <c r="BF37" i="49"/>
  <c r="AT37" i="49" s="1"/>
  <c r="AJ39" i="50"/>
  <c r="AL38" i="50"/>
  <c r="AJ39" i="48"/>
  <c r="AL38" i="48"/>
  <c r="AT37" i="47"/>
  <c r="AJ39" i="49"/>
  <c r="AL38" i="49"/>
  <c r="BD40" i="49"/>
  <c r="BD40" i="48"/>
  <c r="BD40" i="50"/>
  <c r="AL38" i="47"/>
  <c r="AF39" i="47"/>
  <c r="I39" i="47"/>
  <c r="S38" i="47"/>
  <c r="BB39" i="47"/>
  <c r="BF38" i="47"/>
  <c r="AT36" i="24"/>
  <c r="BF37" i="24"/>
  <c r="BB38" i="24"/>
  <c r="AL37" i="24"/>
  <c r="AF38" i="24"/>
  <c r="AB36" i="24"/>
  <c r="S37" i="24"/>
  <c r="I38" i="24"/>
  <c r="BF50" i="74" l="1"/>
  <c r="BB51" i="74"/>
  <c r="M51" i="74"/>
  <c r="S50" i="74"/>
  <c r="AH48" i="74"/>
  <c r="AL47" i="74"/>
  <c r="AT47" i="74" s="1"/>
  <c r="AH48" i="60"/>
  <c r="AL47" i="60"/>
  <c r="AT47" i="60" s="1"/>
  <c r="AH38" i="70"/>
  <c r="AL37" i="70"/>
  <c r="AH48" i="59"/>
  <c r="AL47" i="59"/>
  <c r="AT47" i="59" s="1"/>
  <c r="AH48" i="62"/>
  <c r="AL47" i="62"/>
  <c r="AT47" i="62" s="1"/>
  <c r="AH48" i="63"/>
  <c r="AL47" i="63"/>
  <c r="AT47" i="63" s="1"/>
  <c r="AH48" i="61"/>
  <c r="AL47" i="61"/>
  <c r="AT47" i="61" s="1"/>
  <c r="AF50" i="74"/>
  <c r="AR48" i="74"/>
  <c r="AF40" i="70"/>
  <c r="BB50" i="59"/>
  <c r="BF49" i="59"/>
  <c r="M50" i="59"/>
  <c r="S49" i="59"/>
  <c r="BF38" i="68"/>
  <c r="BB39" i="68"/>
  <c r="BB50" i="60"/>
  <c r="BF49" i="60"/>
  <c r="AF39" i="68"/>
  <c r="AL38" i="68"/>
  <c r="AF50" i="63"/>
  <c r="M50" i="61"/>
  <c r="S49" i="61"/>
  <c r="AF50" i="59"/>
  <c r="I39" i="68"/>
  <c r="S38" i="68"/>
  <c r="BB50" i="63"/>
  <c r="BF49" i="63"/>
  <c r="BF49" i="62"/>
  <c r="BB50" i="62"/>
  <c r="AF50" i="61"/>
  <c r="BB39" i="69"/>
  <c r="M50" i="63"/>
  <c r="S49" i="63"/>
  <c r="M50" i="62"/>
  <c r="S49" i="62"/>
  <c r="BB50" i="61"/>
  <c r="BF49" i="61"/>
  <c r="AF50" i="62"/>
  <c r="AF50" i="60"/>
  <c r="AT37" i="68"/>
  <c r="AH51" i="30"/>
  <c r="AH50" i="31"/>
  <c r="M52" i="57"/>
  <c r="BB50" i="58"/>
  <c r="BF49" i="58"/>
  <c r="BB51" i="57"/>
  <c r="BF50" i="57"/>
  <c r="AF51" i="57"/>
  <c r="AF50" i="58"/>
  <c r="M50" i="58"/>
  <c r="AF53" i="31"/>
  <c r="AR52" i="31"/>
  <c r="BF53" i="31"/>
  <c r="M52" i="31"/>
  <c r="BB39" i="48"/>
  <c r="BF38" i="48"/>
  <c r="AT38" i="48" s="1"/>
  <c r="BB39" i="50"/>
  <c r="BF38" i="50"/>
  <c r="AT38" i="50" s="1"/>
  <c r="S38" i="50"/>
  <c r="I39" i="50"/>
  <c r="S38" i="48"/>
  <c r="I39" i="48"/>
  <c r="BB39" i="49"/>
  <c r="BF38" i="49"/>
  <c r="AT38" i="49" s="1"/>
  <c r="S38" i="49"/>
  <c r="I39" i="49"/>
  <c r="AJ40" i="49"/>
  <c r="AL39" i="49"/>
  <c r="AJ40" i="48"/>
  <c r="AL39" i="48"/>
  <c r="AJ40" i="50"/>
  <c r="AL39" i="50"/>
  <c r="BD41" i="50"/>
  <c r="BD41" i="49"/>
  <c r="BD41" i="48"/>
  <c r="I40" i="47"/>
  <c r="S39" i="47"/>
  <c r="AL39" i="47"/>
  <c r="AF40" i="47"/>
  <c r="BF39" i="47"/>
  <c r="BB40" i="47"/>
  <c r="AT38" i="47"/>
  <c r="AT37" i="24"/>
  <c r="AB37" i="24"/>
  <c r="AL38" i="24"/>
  <c r="BF38" i="24"/>
  <c r="S38" i="24"/>
  <c r="A2" i="19"/>
  <c r="M52" i="74" l="1"/>
  <c r="S51" i="74"/>
  <c r="M70" i="74"/>
  <c r="BB52" i="74"/>
  <c r="BF51" i="74"/>
  <c r="AR49" i="74"/>
  <c r="AH39" i="70"/>
  <c r="AL38" i="70"/>
  <c r="AH49" i="74"/>
  <c r="AL48" i="74"/>
  <c r="AT48" i="74" s="1"/>
  <c r="AF51" i="74"/>
  <c r="AH49" i="61"/>
  <c r="AL48" i="61"/>
  <c r="AT48" i="61" s="1"/>
  <c r="AH49" i="63"/>
  <c r="AL48" i="63"/>
  <c r="AT48" i="63" s="1"/>
  <c r="AF41" i="70"/>
  <c r="AH49" i="59"/>
  <c r="AL48" i="59"/>
  <c r="AT48" i="59" s="1"/>
  <c r="AH49" i="60"/>
  <c r="AL48" i="60"/>
  <c r="AT48" i="60" s="1"/>
  <c r="AH49" i="62"/>
  <c r="AL48" i="62"/>
  <c r="AT48" i="62" s="1"/>
  <c r="AF51" i="60"/>
  <c r="M51" i="62"/>
  <c r="S50" i="62"/>
  <c r="AF51" i="61"/>
  <c r="I40" i="68"/>
  <c r="S39" i="68"/>
  <c r="AT38" i="68"/>
  <c r="AF51" i="62"/>
  <c r="BB51" i="61"/>
  <c r="BF50" i="61"/>
  <c r="S50" i="61"/>
  <c r="M51" i="61"/>
  <c r="AF40" i="68"/>
  <c r="AL39" i="68"/>
  <c r="S50" i="59"/>
  <c r="M51" i="59"/>
  <c r="M51" i="63"/>
  <c r="S50" i="63"/>
  <c r="BF50" i="62"/>
  <c r="BB51" i="62"/>
  <c r="BB51" i="63"/>
  <c r="BF50" i="63"/>
  <c r="AF51" i="59"/>
  <c r="BF39" i="68"/>
  <c r="BB40" i="68"/>
  <c r="BB40" i="69"/>
  <c r="AF51" i="63"/>
  <c r="BF50" i="60"/>
  <c r="BB51" i="60"/>
  <c r="BB51" i="59"/>
  <c r="BF50" i="59"/>
  <c r="BB52" i="57"/>
  <c r="BF51" i="57"/>
  <c r="AH51" i="31"/>
  <c r="AF52" i="57"/>
  <c r="M53" i="57"/>
  <c r="M71" i="57"/>
  <c r="AF51" i="58"/>
  <c r="M51" i="58"/>
  <c r="BF50" i="58"/>
  <c r="BB51" i="58"/>
  <c r="AH52" i="30"/>
  <c r="AF54" i="31"/>
  <c r="BF54" i="31"/>
  <c r="M53" i="31"/>
  <c r="M72" i="31"/>
  <c r="AR53" i="31"/>
  <c r="BB40" i="49"/>
  <c r="BF39" i="49"/>
  <c r="AT39" i="49" s="1"/>
  <c r="BB40" i="50"/>
  <c r="BF39" i="50"/>
  <c r="AT39" i="50" s="1"/>
  <c r="S39" i="49"/>
  <c r="I40" i="49"/>
  <c r="S39" i="50"/>
  <c r="I40" i="50"/>
  <c r="BB40" i="48"/>
  <c r="BF39" i="48"/>
  <c r="AT39" i="48" s="1"/>
  <c r="S39" i="48"/>
  <c r="I40" i="48"/>
  <c r="AT39" i="47"/>
  <c r="AJ41" i="48"/>
  <c r="AL40" i="48"/>
  <c r="AJ41" i="50"/>
  <c r="AL40" i="50"/>
  <c r="AJ41" i="49"/>
  <c r="AL40" i="49"/>
  <c r="BD42" i="49"/>
  <c r="BD42" i="48"/>
  <c r="BD42" i="50"/>
  <c r="AF41" i="47"/>
  <c r="AL40" i="47"/>
  <c r="BB41" i="47"/>
  <c r="BF40" i="47"/>
  <c r="I41" i="47"/>
  <c r="S40" i="47"/>
  <c r="AT38" i="24"/>
  <c r="BB40" i="24"/>
  <c r="BF40" i="24" s="1"/>
  <c r="AB38" i="24"/>
  <c r="AB39" i="24" s="1"/>
  <c r="AB40" i="24" s="1"/>
  <c r="AB41" i="24" s="1"/>
  <c r="AB42" i="24" s="1"/>
  <c r="AB43" i="24" s="1"/>
  <c r="AB44" i="24" s="1"/>
  <c r="AB45" i="24" s="1"/>
  <c r="AB46" i="24" s="1"/>
  <c r="AB47" i="24" s="1"/>
  <c r="AB48" i="24" s="1"/>
  <c r="AB49" i="24" s="1"/>
  <c r="AB50" i="24" s="1"/>
  <c r="AB51" i="24" s="1"/>
  <c r="AB52" i="24" s="1"/>
  <c r="M28" i="21"/>
  <c r="K28" i="21"/>
  <c r="W26" i="21"/>
  <c r="U26" i="21"/>
  <c r="S26" i="21"/>
  <c r="Q26" i="21"/>
  <c r="O26" i="21"/>
  <c r="M26" i="21"/>
  <c r="K26" i="21"/>
  <c r="AF16" i="21"/>
  <c r="BD15" i="21"/>
  <c r="BD14" i="21"/>
  <c r="A3" i="21"/>
  <c r="A2" i="21"/>
  <c r="A1" i="21"/>
  <c r="Y20" i="5"/>
  <c r="O33" i="73" l="1"/>
  <c r="O29" i="72"/>
  <c r="BF52" i="74"/>
  <c r="BB53" i="74"/>
  <c r="M53" i="74"/>
  <c r="S52" i="74"/>
  <c r="AH50" i="59"/>
  <c r="AL49" i="59"/>
  <c r="AT49" i="59" s="1"/>
  <c r="AH50" i="63"/>
  <c r="AL49" i="63"/>
  <c r="AT49" i="63" s="1"/>
  <c r="AF52" i="74"/>
  <c r="AH40" i="70"/>
  <c r="AL39" i="70"/>
  <c r="AR50" i="74"/>
  <c r="AF42" i="70"/>
  <c r="AH50" i="62"/>
  <c r="AL49" i="62"/>
  <c r="AT49" i="62" s="1"/>
  <c r="AH50" i="60"/>
  <c r="AL49" i="60"/>
  <c r="AT49" i="60" s="1"/>
  <c r="AH50" i="61"/>
  <c r="AL49" i="61"/>
  <c r="AT49" i="61" s="1"/>
  <c r="AH50" i="74"/>
  <c r="AL49" i="74"/>
  <c r="AT49" i="74" s="1"/>
  <c r="BF51" i="60"/>
  <c r="BB52" i="60"/>
  <c r="AF52" i="59"/>
  <c r="BB52" i="62"/>
  <c r="BF51" i="62"/>
  <c r="M52" i="59"/>
  <c r="S51" i="59"/>
  <c r="M70" i="59"/>
  <c r="AF41" i="68"/>
  <c r="AL40" i="68"/>
  <c r="BF40" i="68"/>
  <c r="BB41" i="68"/>
  <c r="S51" i="61"/>
  <c r="M52" i="61"/>
  <c r="M70" i="61"/>
  <c r="BF51" i="61"/>
  <c r="BB52" i="61"/>
  <c r="I41" i="68"/>
  <c r="S40" i="68"/>
  <c r="AF52" i="63"/>
  <c r="BB41" i="69"/>
  <c r="AF52" i="60"/>
  <c r="BB52" i="59"/>
  <c r="BF51" i="59"/>
  <c r="BB52" i="63"/>
  <c r="BF51" i="63"/>
  <c r="M52" i="63"/>
  <c r="S51" i="63"/>
  <c r="M70" i="63"/>
  <c r="AT39" i="68"/>
  <c r="AF52" i="62"/>
  <c r="AF52" i="61"/>
  <c r="S51" i="62"/>
  <c r="M52" i="62"/>
  <c r="M70" i="62"/>
  <c r="AF52" i="58"/>
  <c r="M54" i="57"/>
  <c r="AH52" i="31"/>
  <c r="AF53" i="57"/>
  <c r="BB53" i="57"/>
  <c r="BF52" i="57"/>
  <c r="BF51" i="58"/>
  <c r="BB52" i="58"/>
  <c r="AH53" i="30"/>
  <c r="M52" i="58"/>
  <c r="M70" i="58"/>
  <c r="AF55" i="31"/>
  <c r="M54" i="31"/>
  <c r="AR54" i="31"/>
  <c r="BF55" i="31"/>
  <c r="I41" i="49"/>
  <c r="S40" i="49"/>
  <c r="BB41" i="49"/>
  <c r="BF40" i="49"/>
  <c r="AT40" i="49" s="1"/>
  <c r="S40" i="48"/>
  <c r="I41" i="48"/>
  <c r="BB41" i="48"/>
  <c r="BF40" i="48"/>
  <c r="AT40" i="48" s="1"/>
  <c r="S40" i="50"/>
  <c r="I41" i="50"/>
  <c r="BB41" i="50"/>
  <c r="BF40" i="50"/>
  <c r="AT40" i="50" s="1"/>
  <c r="AJ42" i="49"/>
  <c r="AL41" i="49"/>
  <c r="AJ42" i="50"/>
  <c r="AL41" i="50"/>
  <c r="AJ42" i="48"/>
  <c r="AL41" i="48"/>
  <c r="BD43" i="49"/>
  <c r="BD43" i="50"/>
  <c r="BD43" i="48"/>
  <c r="BB42" i="47"/>
  <c r="BF41" i="47"/>
  <c r="AT40" i="47"/>
  <c r="S41" i="47"/>
  <c r="I42" i="47"/>
  <c r="AL41" i="47"/>
  <c r="AF42" i="47"/>
  <c r="AB53" i="24"/>
  <c r="AF41" i="24"/>
  <c r="AL41" i="24" s="1"/>
  <c r="BB41" i="24"/>
  <c r="BF41" i="24" s="1"/>
  <c r="C28" i="21"/>
  <c r="C29" i="21" s="1"/>
  <c r="O28" i="72" l="1"/>
  <c r="S29" i="72"/>
  <c r="O32" i="73"/>
  <c r="S33" i="73"/>
  <c r="M54" i="74"/>
  <c r="S53" i="74"/>
  <c r="AT40" i="68"/>
  <c r="BB54" i="74"/>
  <c r="BF53" i="74"/>
  <c r="AH51" i="61"/>
  <c r="AL50" i="61"/>
  <c r="AT50" i="61" s="1"/>
  <c r="AH51" i="62"/>
  <c r="AL50" i="62"/>
  <c r="AT50" i="62" s="1"/>
  <c r="AR51" i="74"/>
  <c r="AF53" i="74"/>
  <c r="AH51" i="59"/>
  <c r="AL50" i="59"/>
  <c r="AT50" i="59" s="1"/>
  <c r="AH51" i="74"/>
  <c r="AL50" i="74"/>
  <c r="AT50" i="74" s="1"/>
  <c r="AH51" i="60"/>
  <c r="AL50" i="60"/>
  <c r="AT50" i="60" s="1"/>
  <c r="AH41" i="70"/>
  <c r="AL40" i="70"/>
  <c r="AH51" i="63"/>
  <c r="AL50" i="63"/>
  <c r="AT50" i="63" s="1"/>
  <c r="AF43" i="70"/>
  <c r="BB42" i="69"/>
  <c r="BB53" i="61"/>
  <c r="BF52" i="61"/>
  <c r="BB53" i="63"/>
  <c r="BF52" i="63"/>
  <c r="AF53" i="61"/>
  <c r="AF53" i="62"/>
  <c r="I42" i="68"/>
  <c r="S41" i="68"/>
  <c r="BB42" i="68"/>
  <c r="BF41" i="68"/>
  <c r="S52" i="59"/>
  <c r="M53" i="59"/>
  <c r="AF53" i="59"/>
  <c r="AF53" i="60"/>
  <c r="M53" i="63"/>
  <c r="S52" i="63"/>
  <c r="BB53" i="59"/>
  <c r="BF52" i="59"/>
  <c r="AF53" i="63"/>
  <c r="AF42" i="68"/>
  <c r="AL41" i="68"/>
  <c r="BF52" i="60"/>
  <c r="BB53" i="60"/>
  <c r="M53" i="62"/>
  <c r="S52" i="62"/>
  <c r="S52" i="61"/>
  <c r="M53" i="61"/>
  <c r="BB53" i="62"/>
  <c r="BF52" i="62"/>
  <c r="AH54" i="30"/>
  <c r="BB54" i="57"/>
  <c r="BF53" i="57"/>
  <c r="M55" i="57"/>
  <c r="BF52" i="58"/>
  <c r="BB53" i="58"/>
  <c r="AF53" i="58"/>
  <c r="M53" i="58"/>
  <c r="AF54" i="57"/>
  <c r="AH53" i="31"/>
  <c r="AF56" i="31"/>
  <c r="BF56" i="31"/>
  <c r="AR55" i="31"/>
  <c r="M55" i="31"/>
  <c r="BB42" i="50"/>
  <c r="BF41" i="50"/>
  <c r="AT41" i="50" s="1"/>
  <c r="BB42" i="48"/>
  <c r="BF41" i="48"/>
  <c r="AT41" i="48" s="1"/>
  <c r="S41" i="50"/>
  <c r="I42" i="50"/>
  <c r="BB42" i="49"/>
  <c r="BF41" i="49"/>
  <c r="AT41" i="49" s="1"/>
  <c r="I42" i="49"/>
  <c r="S41" i="49"/>
  <c r="S41" i="48"/>
  <c r="I42" i="48"/>
  <c r="AJ43" i="50"/>
  <c r="AL42" i="50"/>
  <c r="AJ43" i="49"/>
  <c r="AL42" i="49"/>
  <c r="AJ43" i="48"/>
  <c r="AL42" i="48"/>
  <c r="BD44" i="48"/>
  <c r="BD44" i="50"/>
  <c r="BD44" i="49"/>
  <c r="AT41" i="47"/>
  <c r="AF43" i="47"/>
  <c r="AL42" i="47"/>
  <c r="S42" i="47"/>
  <c r="I43" i="47"/>
  <c r="BB43" i="47"/>
  <c r="BF42" i="47"/>
  <c r="AB54" i="24"/>
  <c r="BB42" i="24"/>
  <c r="BF42" i="24" s="1"/>
  <c r="AF42" i="24"/>
  <c r="AL42" i="24" s="1"/>
  <c r="AT40" i="24"/>
  <c r="E28" i="21"/>
  <c r="BB28" i="21" s="1"/>
  <c r="AB28" i="21"/>
  <c r="AZ28" i="21"/>
  <c r="AZ29" i="21" s="1"/>
  <c r="AZ30" i="21" s="1"/>
  <c r="AZ31" i="21" s="1"/>
  <c r="AZ32" i="21" s="1"/>
  <c r="AZ33" i="21" s="1"/>
  <c r="AZ34" i="21" s="1"/>
  <c r="AZ35" i="21" s="1"/>
  <c r="AZ36" i="21" s="1"/>
  <c r="AZ37" i="21" s="1"/>
  <c r="AZ38" i="21" s="1"/>
  <c r="AZ39" i="21" s="1"/>
  <c r="AZ40" i="21" s="1"/>
  <c r="AZ41" i="21" s="1"/>
  <c r="AZ42" i="21" s="1"/>
  <c r="C30" i="21"/>
  <c r="E29" i="21"/>
  <c r="AB29" i="21"/>
  <c r="O31" i="73" l="1"/>
  <c r="S32" i="73"/>
  <c r="S28" i="72"/>
  <c r="AT41" i="68"/>
  <c r="M55" i="74"/>
  <c r="S54" i="74"/>
  <c r="BB55" i="74"/>
  <c r="BF54" i="74"/>
  <c r="AF54" i="74"/>
  <c r="AH42" i="70"/>
  <c r="AL41" i="70"/>
  <c r="AH52" i="74"/>
  <c r="AL51" i="74"/>
  <c r="AT51" i="74" s="1"/>
  <c r="AH52" i="62"/>
  <c r="AL51" i="62"/>
  <c r="AT51" i="62" s="1"/>
  <c r="AF44" i="70"/>
  <c r="AH52" i="63"/>
  <c r="AL51" i="63"/>
  <c r="AT51" i="63" s="1"/>
  <c r="AH52" i="60"/>
  <c r="AL51" i="60"/>
  <c r="AT51" i="60" s="1"/>
  <c r="AH52" i="59"/>
  <c r="AL51" i="59"/>
  <c r="AT51" i="59" s="1"/>
  <c r="AR52" i="74"/>
  <c r="AH52" i="61"/>
  <c r="AL51" i="61"/>
  <c r="AT51" i="61" s="1"/>
  <c r="M54" i="61"/>
  <c r="S53" i="61"/>
  <c r="M54" i="63"/>
  <c r="S53" i="63"/>
  <c r="I43" i="68"/>
  <c r="S42" i="68"/>
  <c r="AF54" i="60"/>
  <c r="S53" i="59"/>
  <c r="M54" i="59"/>
  <c r="BF42" i="68"/>
  <c r="BB43" i="68"/>
  <c r="AF54" i="61"/>
  <c r="BF53" i="61"/>
  <c r="BB54" i="61"/>
  <c r="S53" i="62"/>
  <c r="M54" i="62"/>
  <c r="BB54" i="59"/>
  <c r="BF53" i="59"/>
  <c r="AF54" i="62"/>
  <c r="BF53" i="62"/>
  <c r="BB54" i="62"/>
  <c r="BF53" i="60"/>
  <c r="BB54" i="60"/>
  <c r="AF43" i="68"/>
  <c r="AL42" i="68"/>
  <c r="AF54" i="63"/>
  <c r="AF54" i="59"/>
  <c r="BF53" i="63"/>
  <c r="BB54" i="63"/>
  <c r="BB43" i="69"/>
  <c r="AH54" i="31"/>
  <c r="AF54" i="58"/>
  <c r="BB54" i="58"/>
  <c r="BF53" i="58"/>
  <c r="BB55" i="57"/>
  <c r="BF54" i="57"/>
  <c r="AF55" i="57"/>
  <c r="M54" i="58"/>
  <c r="M56" i="57"/>
  <c r="AH55" i="30"/>
  <c r="AF57" i="31"/>
  <c r="M56" i="31"/>
  <c r="BF57" i="31"/>
  <c r="AR56" i="31"/>
  <c r="BB43" i="49"/>
  <c r="BF42" i="49"/>
  <c r="AT42" i="49" s="1"/>
  <c r="S42" i="50"/>
  <c r="I43" i="50"/>
  <c r="BB43" i="50"/>
  <c r="BF42" i="50"/>
  <c r="AT42" i="50" s="1"/>
  <c r="S42" i="49"/>
  <c r="I43" i="49"/>
  <c r="I43" i="48"/>
  <c r="S42" i="48"/>
  <c r="BB43" i="48"/>
  <c r="BF42" i="48"/>
  <c r="AT42" i="48" s="1"/>
  <c r="AJ44" i="48"/>
  <c r="AL43" i="48"/>
  <c r="AJ44" i="49"/>
  <c r="AL43" i="49"/>
  <c r="AJ44" i="50"/>
  <c r="AL43" i="50"/>
  <c r="BD45" i="50"/>
  <c r="BD45" i="49"/>
  <c r="BD45" i="48"/>
  <c r="I44" i="47"/>
  <c r="S43" i="47"/>
  <c r="AT42" i="47"/>
  <c r="BF43" i="47"/>
  <c r="BB44" i="47"/>
  <c r="AF44" i="47"/>
  <c r="AL43" i="47"/>
  <c r="AT41" i="24"/>
  <c r="AB55" i="24"/>
  <c r="AF43" i="24"/>
  <c r="AL43" i="24" s="1"/>
  <c r="BB43" i="24"/>
  <c r="BF43" i="24" s="1"/>
  <c r="C31" i="21"/>
  <c r="E30" i="21"/>
  <c r="AB30" i="21"/>
  <c r="M29" i="21"/>
  <c r="K29" i="21"/>
  <c r="BB29" i="21"/>
  <c r="O30" i="73" l="1"/>
  <c r="S31" i="73"/>
  <c r="S55" i="74"/>
  <c r="M56" i="74"/>
  <c r="AT42" i="68"/>
  <c r="BB56" i="74"/>
  <c r="BF55" i="74"/>
  <c r="AH53" i="61"/>
  <c r="AL52" i="61"/>
  <c r="AT52" i="61" s="1"/>
  <c r="AH53" i="59"/>
  <c r="AL52" i="59"/>
  <c r="AT52" i="59" s="1"/>
  <c r="AH53" i="62"/>
  <c r="AL52" i="62"/>
  <c r="AT52" i="62" s="1"/>
  <c r="AF55" i="74"/>
  <c r="AH53" i="63"/>
  <c r="AL52" i="63"/>
  <c r="AT52" i="63" s="1"/>
  <c r="AH43" i="70"/>
  <c r="AL42" i="70"/>
  <c r="AR53" i="74"/>
  <c r="AF45" i="70"/>
  <c r="AH53" i="60"/>
  <c r="AL52" i="60"/>
  <c r="AT52" i="60" s="1"/>
  <c r="AH53" i="74"/>
  <c r="AL52" i="74"/>
  <c r="AT52" i="74" s="1"/>
  <c r="M55" i="62"/>
  <c r="S54" i="62"/>
  <c r="BB55" i="63"/>
  <c r="BF54" i="63"/>
  <c r="AF55" i="63"/>
  <c r="BB55" i="60"/>
  <c r="BF54" i="60"/>
  <c r="AF55" i="61"/>
  <c r="M55" i="59"/>
  <c r="S54" i="59"/>
  <c r="I44" i="68"/>
  <c r="S43" i="68"/>
  <c r="BB55" i="59"/>
  <c r="BF54" i="59"/>
  <c r="BB55" i="61"/>
  <c r="BF54" i="61"/>
  <c r="BB44" i="69"/>
  <c r="AF55" i="59"/>
  <c r="BF54" i="62"/>
  <c r="BB55" i="62"/>
  <c r="AF55" i="62"/>
  <c r="BB44" i="68"/>
  <c r="BF43" i="68"/>
  <c r="AF55" i="60"/>
  <c r="M55" i="63"/>
  <c r="S54" i="63"/>
  <c r="AL43" i="68"/>
  <c r="AF44" i="68"/>
  <c r="M55" i="61"/>
  <c r="S54" i="61"/>
  <c r="M55" i="58"/>
  <c r="BB56" i="57"/>
  <c r="BF55" i="57"/>
  <c r="AF56" i="57"/>
  <c r="AF55" i="58"/>
  <c r="AH56" i="30"/>
  <c r="M57" i="57"/>
  <c r="BF54" i="58"/>
  <c r="BB55" i="58"/>
  <c r="AH55" i="31"/>
  <c r="AF58" i="31"/>
  <c r="BF58" i="31"/>
  <c r="AR57" i="31"/>
  <c r="M57" i="31"/>
  <c r="BB44" i="49"/>
  <c r="BF43" i="49"/>
  <c r="AT43" i="49" s="1"/>
  <c r="BB44" i="48"/>
  <c r="BF43" i="48"/>
  <c r="AT43" i="48" s="1"/>
  <c r="S43" i="49"/>
  <c r="I44" i="49"/>
  <c r="BB44" i="50"/>
  <c r="BF43" i="50"/>
  <c r="AT43" i="50" s="1"/>
  <c r="I44" i="48"/>
  <c r="S43" i="48"/>
  <c r="I44" i="50"/>
  <c r="S43" i="50"/>
  <c r="AJ45" i="48"/>
  <c r="AL44" i="48"/>
  <c r="AJ45" i="50"/>
  <c r="AL44" i="50"/>
  <c r="AJ45" i="49"/>
  <c r="AL44" i="49"/>
  <c r="BD46" i="49"/>
  <c r="BD46" i="50"/>
  <c r="BD46" i="48"/>
  <c r="AT43" i="47"/>
  <c r="AL44" i="47"/>
  <c r="AF45" i="47"/>
  <c r="BB45" i="47"/>
  <c r="BF44" i="47"/>
  <c r="I45" i="47"/>
  <c r="S44" i="47"/>
  <c r="AB56" i="24"/>
  <c r="AT42" i="24"/>
  <c r="BB44" i="24"/>
  <c r="BF44" i="24" s="1"/>
  <c r="AF44" i="24"/>
  <c r="AL44" i="24" s="1"/>
  <c r="K30" i="21"/>
  <c r="M30" i="21"/>
  <c r="BB30" i="21"/>
  <c r="AB31" i="21"/>
  <c r="E31" i="21"/>
  <c r="C32" i="21"/>
  <c r="O29" i="73" l="1"/>
  <c r="S30" i="73"/>
  <c r="BB57" i="74"/>
  <c r="BF56" i="74"/>
  <c r="M57" i="74"/>
  <c r="S56" i="74"/>
  <c r="AR54" i="74"/>
  <c r="AH54" i="60"/>
  <c r="AL53" i="60"/>
  <c r="AT53" i="60" s="1"/>
  <c r="AH54" i="63"/>
  <c r="AL53" i="63"/>
  <c r="AT53" i="63" s="1"/>
  <c r="AH54" i="59"/>
  <c r="AL53" i="59"/>
  <c r="AT53" i="59" s="1"/>
  <c r="AF46" i="70"/>
  <c r="AH44" i="70"/>
  <c r="AL43" i="70"/>
  <c r="AT43" i="68"/>
  <c r="AH54" i="74"/>
  <c r="AL53" i="74"/>
  <c r="AT53" i="74" s="1"/>
  <c r="AF56" i="74"/>
  <c r="AH54" i="62"/>
  <c r="AL53" i="62"/>
  <c r="AT53" i="62" s="1"/>
  <c r="AH54" i="61"/>
  <c r="AL53" i="61"/>
  <c r="AT53" i="61" s="1"/>
  <c r="M56" i="63"/>
  <c r="S55" i="63"/>
  <c r="AL44" i="68"/>
  <c r="AF45" i="68"/>
  <c r="BF44" i="68"/>
  <c r="BB45" i="68"/>
  <c r="BB56" i="62"/>
  <c r="BF55" i="62"/>
  <c r="AF56" i="59"/>
  <c r="BF55" i="61"/>
  <c r="BB56" i="61"/>
  <c r="I45" i="68"/>
  <c r="S44" i="68"/>
  <c r="AF56" i="61"/>
  <c r="BB56" i="60"/>
  <c r="BF55" i="60"/>
  <c r="BB56" i="63"/>
  <c r="BF55" i="63"/>
  <c r="BB45" i="69"/>
  <c r="AF56" i="63"/>
  <c r="S55" i="61"/>
  <c r="M56" i="61"/>
  <c r="AF56" i="60"/>
  <c r="AF56" i="62"/>
  <c r="BF55" i="59"/>
  <c r="BB56" i="59"/>
  <c r="M56" i="59"/>
  <c r="S55" i="59"/>
  <c r="S55" i="62"/>
  <c r="M56" i="62"/>
  <c r="M58" i="57"/>
  <c r="AH56" i="31"/>
  <c r="AF56" i="58"/>
  <c r="BB57" i="57"/>
  <c r="BF56" i="57"/>
  <c r="BF55" i="58"/>
  <c r="BB56" i="58"/>
  <c r="AF57" i="57"/>
  <c r="AH57" i="30"/>
  <c r="M56" i="58"/>
  <c r="AF59" i="31"/>
  <c r="AR58" i="31"/>
  <c r="M58" i="31"/>
  <c r="BF59" i="31"/>
  <c r="S44" i="48"/>
  <c r="I45" i="48"/>
  <c r="I45" i="50"/>
  <c r="S44" i="50"/>
  <c r="BB45" i="50"/>
  <c r="BF44" i="50"/>
  <c r="AT44" i="50" s="1"/>
  <c r="BB45" i="48"/>
  <c r="BF44" i="48"/>
  <c r="AT44" i="48" s="1"/>
  <c r="BB45" i="49"/>
  <c r="BF44" i="49"/>
  <c r="AT44" i="49" s="1"/>
  <c r="S44" i="49"/>
  <c r="I45" i="49"/>
  <c r="AJ46" i="48"/>
  <c r="AL45" i="48"/>
  <c r="AJ46" i="49"/>
  <c r="AL45" i="49"/>
  <c r="AJ46" i="50"/>
  <c r="AL45" i="50"/>
  <c r="BD47" i="48"/>
  <c r="BD47" i="50"/>
  <c r="BD47" i="49"/>
  <c r="BF45" i="47"/>
  <c r="BB46" i="47"/>
  <c r="AF46" i="47"/>
  <c r="AL45" i="47"/>
  <c r="I46" i="47"/>
  <c r="S45" i="47"/>
  <c r="AT44" i="47"/>
  <c r="AB57" i="24"/>
  <c r="AT43" i="24"/>
  <c r="AF45" i="24"/>
  <c r="AL45" i="24" s="1"/>
  <c r="BB45" i="24"/>
  <c r="BF45" i="24" s="1"/>
  <c r="M31" i="21"/>
  <c r="C33" i="21"/>
  <c r="E32" i="21"/>
  <c r="BB31" i="21"/>
  <c r="AB32" i="21"/>
  <c r="K31" i="21"/>
  <c r="O28" i="73" l="1"/>
  <c r="S29" i="73"/>
  <c r="S57" i="74"/>
  <c r="M58" i="74"/>
  <c r="BB58" i="74"/>
  <c r="BF57" i="74"/>
  <c r="AH55" i="74"/>
  <c r="AL54" i="74"/>
  <c r="AT54" i="74" s="1"/>
  <c r="AH55" i="62"/>
  <c r="AL54" i="62"/>
  <c r="AT54" i="62" s="1"/>
  <c r="AH45" i="70"/>
  <c r="AL44" i="70"/>
  <c r="AH55" i="59"/>
  <c r="AL54" i="59"/>
  <c r="AT54" i="59" s="1"/>
  <c r="AF57" i="74"/>
  <c r="AH55" i="60"/>
  <c r="AL54" i="60"/>
  <c r="AT54" i="60" s="1"/>
  <c r="AR55" i="74"/>
  <c r="AH55" i="61"/>
  <c r="AL54" i="61"/>
  <c r="AT54" i="61" s="1"/>
  <c r="AF47" i="70"/>
  <c r="AH55" i="63"/>
  <c r="AL54" i="63"/>
  <c r="AT54" i="63" s="1"/>
  <c r="S56" i="59"/>
  <c r="M57" i="59"/>
  <c r="BB46" i="69"/>
  <c r="BF56" i="61"/>
  <c r="BB57" i="61"/>
  <c r="AF46" i="68"/>
  <c r="AL45" i="68"/>
  <c r="BF56" i="63"/>
  <c r="BB57" i="63"/>
  <c r="AF57" i="61"/>
  <c r="BF56" i="62"/>
  <c r="BB57" i="62"/>
  <c r="AT44" i="68"/>
  <c r="S56" i="62"/>
  <c r="M57" i="62"/>
  <c r="M57" i="61"/>
  <c r="S56" i="61"/>
  <c r="AF57" i="62"/>
  <c r="BB46" i="68"/>
  <c r="BF45" i="68"/>
  <c r="BB57" i="59"/>
  <c r="BF56" i="59"/>
  <c r="AF57" i="60"/>
  <c r="AF57" i="63"/>
  <c r="BB57" i="60"/>
  <c r="BF56" i="60"/>
  <c r="S45" i="68"/>
  <c r="I46" i="68"/>
  <c r="AF57" i="59"/>
  <c r="M57" i="63"/>
  <c r="S56" i="63"/>
  <c r="M57" i="58"/>
  <c r="BB57" i="58"/>
  <c r="BF56" i="58"/>
  <c r="AF57" i="58"/>
  <c r="AH57" i="31"/>
  <c r="M59" i="57"/>
  <c r="AF58" i="57"/>
  <c r="AH58" i="30"/>
  <c r="BB58" i="57"/>
  <c r="BF57" i="57"/>
  <c r="AF60" i="31"/>
  <c r="BF60" i="31"/>
  <c r="M59" i="31"/>
  <c r="AR59" i="31"/>
  <c r="S45" i="49"/>
  <c r="I46" i="49"/>
  <c r="BB46" i="49"/>
  <c r="BF45" i="49"/>
  <c r="AT45" i="49" s="1"/>
  <c r="BB46" i="50"/>
  <c r="BF45" i="50"/>
  <c r="AT45" i="50" s="1"/>
  <c r="S45" i="50"/>
  <c r="I46" i="50"/>
  <c r="BB46" i="48"/>
  <c r="BF45" i="48"/>
  <c r="AT45" i="48" s="1"/>
  <c r="S45" i="48"/>
  <c r="I46" i="48"/>
  <c r="AJ47" i="50"/>
  <c r="AL46" i="50"/>
  <c r="AJ47" i="48"/>
  <c r="AL46" i="48"/>
  <c r="AJ47" i="49"/>
  <c r="AL46" i="49"/>
  <c r="BD48" i="50"/>
  <c r="AT45" i="47"/>
  <c r="BD58" i="49"/>
  <c r="BD58" i="48"/>
  <c r="AF47" i="47"/>
  <c r="AL46" i="47"/>
  <c r="BF46" i="47"/>
  <c r="BB47" i="47"/>
  <c r="S46" i="47"/>
  <c r="I47" i="47"/>
  <c r="AB58" i="24"/>
  <c r="AB59" i="24" s="1"/>
  <c r="AB60" i="24" s="1"/>
  <c r="AT44" i="24"/>
  <c r="BB46" i="24"/>
  <c r="BF46" i="24" s="1"/>
  <c r="AF46" i="24"/>
  <c r="AL46" i="24" s="1"/>
  <c r="M32" i="21"/>
  <c r="K32" i="21"/>
  <c r="BB32" i="21"/>
  <c r="AB33" i="21"/>
  <c r="E33" i="21"/>
  <c r="C34" i="21"/>
  <c r="S28" i="73" l="1"/>
  <c r="BB59" i="74"/>
  <c r="BF58" i="74"/>
  <c r="M59" i="74"/>
  <c r="S58" i="74"/>
  <c r="AF48" i="70"/>
  <c r="AR56" i="74"/>
  <c r="AF58" i="74"/>
  <c r="AH46" i="70"/>
  <c r="AL45" i="70"/>
  <c r="AH56" i="62"/>
  <c r="AL55" i="62"/>
  <c r="AT55" i="62" s="1"/>
  <c r="AH56" i="63"/>
  <c r="AL55" i="63"/>
  <c r="AT55" i="63" s="1"/>
  <c r="AH56" i="61"/>
  <c r="AL55" i="61"/>
  <c r="AT55" i="61" s="1"/>
  <c r="AH56" i="60"/>
  <c r="AL55" i="60"/>
  <c r="AT55" i="60" s="1"/>
  <c r="AH56" i="59"/>
  <c r="AL55" i="59"/>
  <c r="AT55" i="59" s="1"/>
  <c r="AH56" i="74"/>
  <c r="AL55" i="74"/>
  <c r="AT55" i="74" s="1"/>
  <c r="M58" i="61"/>
  <c r="S57" i="61"/>
  <c r="BB58" i="61"/>
  <c r="BF57" i="61"/>
  <c r="AF58" i="59"/>
  <c r="BF57" i="60"/>
  <c r="BB58" i="60"/>
  <c r="AF58" i="60"/>
  <c r="BB47" i="68"/>
  <c r="BF46" i="68"/>
  <c r="AF58" i="62"/>
  <c r="AT45" i="68"/>
  <c r="M58" i="63"/>
  <c r="S57" i="63"/>
  <c r="S46" i="68"/>
  <c r="I47" i="68"/>
  <c r="BB58" i="62"/>
  <c r="BF57" i="62"/>
  <c r="AF58" i="61"/>
  <c r="AF47" i="68"/>
  <c r="AL46" i="68"/>
  <c r="M58" i="59"/>
  <c r="S57" i="59"/>
  <c r="AF58" i="63"/>
  <c r="BB58" i="59"/>
  <c r="BF57" i="59"/>
  <c r="M58" i="62"/>
  <c r="S57" i="62"/>
  <c r="BF57" i="63"/>
  <c r="BB58" i="63"/>
  <c r="BB47" i="69"/>
  <c r="BB59" i="57"/>
  <c r="BF58" i="57"/>
  <c r="AH59" i="30"/>
  <c r="M60" i="57"/>
  <c r="BB58" i="58"/>
  <c r="BF57" i="58"/>
  <c r="AF59" i="57"/>
  <c r="AF58" i="58"/>
  <c r="AH58" i="31"/>
  <c r="M58" i="58"/>
  <c r="AF61" i="31"/>
  <c r="AR60" i="31"/>
  <c r="M60" i="31"/>
  <c r="BF61" i="31"/>
  <c r="BB47" i="49"/>
  <c r="BF46" i="49"/>
  <c r="AT46" i="49" s="1"/>
  <c r="BB47" i="48"/>
  <c r="BF46" i="48"/>
  <c r="AT46" i="48" s="1"/>
  <c r="S46" i="49"/>
  <c r="I47" i="49"/>
  <c r="S46" i="48"/>
  <c r="I47" i="48"/>
  <c r="BB47" i="50"/>
  <c r="BF46" i="50"/>
  <c r="AT46" i="50" s="1"/>
  <c r="S46" i="50"/>
  <c r="I47" i="50"/>
  <c r="AJ48" i="50"/>
  <c r="AL47" i="50"/>
  <c r="AJ58" i="49"/>
  <c r="AL47" i="49"/>
  <c r="AL58" i="49" s="1"/>
  <c r="AJ58" i="48"/>
  <c r="AL47" i="48"/>
  <c r="AL58" i="48" s="1"/>
  <c r="BD58" i="50"/>
  <c r="BF47" i="47"/>
  <c r="BF58" i="47" s="1"/>
  <c r="BB58" i="47"/>
  <c r="AT46" i="47"/>
  <c r="S47" i="47"/>
  <c r="I58" i="47"/>
  <c r="AL47" i="47"/>
  <c r="AF58" i="47"/>
  <c r="AB61" i="24"/>
  <c r="AT45" i="24"/>
  <c r="BB47" i="24"/>
  <c r="AF47" i="24"/>
  <c r="O47" i="21"/>
  <c r="C47" i="21"/>
  <c r="Q47" i="21"/>
  <c r="S47" i="21"/>
  <c r="AO47" i="21"/>
  <c r="M33" i="21"/>
  <c r="K33" i="21"/>
  <c r="AB34" i="21"/>
  <c r="BB33" i="21"/>
  <c r="C35" i="21"/>
  <c r="E34" i="21"/>
  <c r="AT46" i="68" l="1"/>
  <c r="M60" i="74"/>
  <c r="S59" i="74"/>
  <c r="BF59" i="74"/>
  <c r="BB60" i="74"/>
  <c r="AH57" i="74"/>
  <c r="AL56" i="74"/>
  <c r="AT56" i="74" s="1"/>
  <c r="AH57" i="62"/>
  <c r="AL56" i="62"/>
  <c r="AT56" i="62" s="1"/>
  <c r="AF59" i="74"/>
  <c r="AF49" i="70"/>
  <c r="AH57" i="60"/>
  <c r="AL56" i="60"/>
  <c r="AT56" i="60" s="1"/>
  <c r="AH57" i="63"/>
  <c r="AL56" i="63"/>
  <c r="AT56" i="63" s="1"/>
  <c r="AH47" i="70"/>
  <c r="AL46" i="70"/>
  <c r="AR57" i="74"/>
  <c r="AH57" i="59"/>
  <c r="AL56" i="59"/>
  <c r="AT56" i="59" s="1"/>
  <c r="AH57" i="61"/>
  <c r="AL56" i="61"/>
  <c r="AT56" i="61" s="1"/>
  <c r="AF48" i="68"/>
  <c r="AL47" i="68"/>
  <c r="BF58" i="62"/>
  <c r="BB59" i="62"/>
  <c r="AF59" i="62"/>
  <c r="BB48" i="69"/>
  <c r="BF58" i="59"/>
  <c r="BB59" i="59"/>
  <c r="M59" i="59"/>
  <c r="S58" i="59"/>
  <c r="AF59" i="61"/>
  <c r="AF59" i="60"/>
  <c r="AF59" i="59"/>
  <c r="M59" i="63"/>
  <c r="S58" i="63"/>
  <c r="BB59" i="60"/>
  <c r="BF58" i="60"/>
  <c r="S58" i="61"/>
  <c r="M59" i="61"/>
  <c r="BB59" i="63"/>
  <c r="BF58" i="63"/>
  <c r="M59" i="62"/>
  <c r="S58" i="62"/>
  <c r="AF59" i="63"/>
  <c r="S47" i="68"/>
  <c r="I48" i="68"/>
  <c r="BF47" i="68"/>
  <c r="BB48" i="68"/>
  <c r="BF58" i="61"/>
  <c r="BB59" i="61"/>
  <c r="M59" i="58"/>
  <c r="BF58" i="58"/>
  <c r="BB59" i="58"/>
  <c r="AH60" i="30"/>
  <c r="AH59" i="31"/>
  <c r="AF59" i="58"/>
  <c r="AF60" i="57"/>
  <c r="M61" i="57"/>
  <c r="BB60" i="57"/>
  <c r="BF59" i="57"/>
  <c r="AF62" i="31"/>
  <c r="M61" i="31"/>
  <c r="BF62" i="31"/>
  <c r="AR61" i="31"/>
  <c r="BB48" i="50"/>
  <c r="BF47" i="50"/>
  <c r="AT47" i="50" s="1"/>
  <c r="S47" i="49"/>
  <c r="S58" i="49" s="1"/>
  <c r="G48" i="32" s="1"/>
  <c r="I58" i="49"/>
  <c r="BB58" i="48"/>
  <c r="BF47" i="48"/>
  <c r="I48" i="50"/>
  <c r="S47" i="50"/>
  <c r="S47" i="48"/>
  <c r="S58" i="48" s="1"/>
  <c r="G47" i="32" s="1"/>
  <c r="I58" i="48"/>
  <c r="BB58" i="49"/>
  <c r="BF47" i="49"/>
  <c r="BF58" i="49" s="1"/>
  <c r="AL48" i="50"/>
  <c r="AL58" i="50" s="1"/>
  <c r="AJ58" i="50"/>
  <c r="S58" i="47"/>
  <c r="G46" i="32" s="1"/>
  <c r="AT47" i="47"/>
  <c r="AL58" i="47"/>
  <c r="AF65" i="24"/>
  <c r="AL65" i="24" s="1"/>
  <c r="AL47" i="24"/>
  <c r="BB65" i="24"/>
  <c r="BF65" i="24" s="1"/>
  <c r="BF47" i="24"/>
  <c r="AT46" i="24"/>
  <c r="AB62" i="24"/>
  <c r="BB48" i="24"/>
  <c r="BF48" i="24" s="1"/>
  <c r="AF48" i="24"/>
  <c r="AL48" i="24" s="1"/>
  <c r="M34" i="21"/>
  <c r="C36" i="21"/>
  <c r="E35" i="21"/>
  <c r="K34" i="21"/>
  <c r="BB34" i="21"/>
  <c r="AB35" i="21"/>
  <c r="M61" i="74" l="1"/>
  <c r="S60" i="74"/>
  <c r="BF60" i="74"/>
  <c r="BB61" i="74"/>
  <c r="AR58" i="74"/>
  <c r="AH58" i="61"/>
  <c r="AL57" i="61"/>
  <c r="AT57" i="61" s="1"/>
  <c r="AH58" i="63"/>
  <c r="AL57" i="63"/>
  <c r="AT57" i="63" s="1"/>
  <c r="AF50" i="70"/>
  <c r="AH58" i="62"/>
  <c r="AL57" i="62"/>
  <c r="AT57" i="62" s="1"/>
  <c r="AH48" i="70"/>
  <c r="AL47" i="70"/>
  <c r="AF60" i="74"/>
  <c r="AH58" i="59"/>
  <c r="AL57" i="59"/>
  <c r="AT57" i="59" s="1"/>
  <c r="AH58" i="60"/>
  <c r="AL57" i="60"/>
  <c r="AT57" i="60" s="1"/>
  <c r="AH58" i="74"/>
  <c r="AL57" i="74"/>
  <c r="AT57" i="74" s="1"/>
  <c r="BF59" i="61"/>
  <c r="BB60" i="61"/>
  <c r="S59" i="61"/>
  <c r="M60" i="61"/>
  <c r="BF59" i="60"/>
  <c r="BB60" i="60"/>
  <c r="M60" i="63"/>
  <c r="S59" i="63"/>
  <c r="AF60" i="62"/>
  <c r="AT47" i="68"/>
  <c r="S59" i="62"/>
  <c r="M60" i="62"/>
  <c r="AF60" i="60"/>
  <c r="M60" i="59"/>
  <c r="S59" i="59"/>
  <c r="BB49" i="69"/>
  <c r="AF49" i="68"/>
  <c r="AL48" i="68"/>
  <c r="AF60" i="61"/>
  <c r="BB60" i="59"/>
  <c r="BF59" i="59"/>
  <c r="BF59" i="62"/>
  <c r="BB60" i="62"/>
  <c r="BF48" i="68"/>
  <c r="BB49" i="68"/>
  <c r="I49" i="68"/>
  <c r="S48" i="68"/>
  <c r="AF60" i="63"/>
  <c r="BB60" i="63"/>
  <c r="BF59" i="63"/>
  <c r="AF60" i="59"/>
  <c r="AH60" i="31"/>
  <c r="AF61" i="57"/>
  <c r="AF60" i="58"/>
  <c r="M62" i="57"/>
  <c r="BB61" i="57"/>
  <c r="BF60" i="57"/>
  <c r="AH61" i="30"/>
  <c r="AT47" i="49"/>
  <c r="AT58" i="49" s="1"/>
  <c r="BB60" i="58"/>
  <c r="BF59" i="58"/>
  <c r="M60" i="58"/>
  <c r="AF63" i="31"/>
  <c r="M62" i="31"/>
  <c r="BF63" i="31"/>
  <c r="AR62" i="31"/>
  <c r="BB58" i="50"/>
  <c r="BF48" i="50"/>
  <c r="BF58" i="50" s="1"/>
  <c r="S48" i="50"/>
  <c r="S58" i="50" s="1"/>
  <c r="G51" i="32" s="1"/>
  <c r="I58" i="50"/>
  <c r="BF58" i="48"/>
  <c r="AT47" i="48"/>
  <c r="AT58" i="47"/>
  <c r="AT65" i="24"/>
  <c r="AT47" i="24"/>
  <c r="AB63" i="24"/>
  <c r="BB49" i="24"/>
  <c r="BF49" i="24" s="1"/>
  <c r="AF49" i="24"/>
  <c r="AL49" i="24" s="1"/>
  <c r="M35" i="21"/>
  <c r="K35" i="21"/>
  <c r="C37" i="21"/>
  <c r="E36" i="21"/>
  <c r="AB36" i="21"/>
  <c r="BB35" i="21"/>
  <c r="S61" i="74" l="1"/>
  <c r="M62" i="74"/>
  <c r="BF61" i="74"/>
  <c r="BB62" i="74"/>
  <c r="AF51" i="70"/>
  <c r="AH59" i="74"/>
  <c r="AL58" i="74"/>
  <c r="AT58" i="74" s="1"/>
  <c r="AH59" i="59"/>
  <c r="AL58" i="59"/>
  <c r="AT58" i="59" s="1"/>
  <c r="AH49" i="70"/>
  <c r="AL48" i="70"/>
  <c r="AF61" i="74"/>
  <c r="AH59" i="62"/>
  <c r="AL58" i="62"/>
  <c r="AT58" i="62" s="1"/>
  <c r="AH59" i="63"/>
  <c r="AL58" i="63"/>
  <c r="AT58" i="63" s="1"/>
  <c r="AH59" i="61"/>
  <c r="AL58" i="61"/>
  <c r="AT58" i="61" s="1"/>
  <c r="AH59" i="60"/>
  <c r="AL58" i="60"/>
  <c r="AT58" i="60" s="1"/>
  <c r="AR59" i="74"/>
  <c r="AF61" i="59"/>
  <c r="BB61" i="63"/>
  <c r="BF60" i="63"/>
  <c r="I50" i="68"/>
  <c r="S49" i="68"/>
  <c r="BB50" i="69"/>
  <c r="AF61" i="60"/>
  <c r="M61" i="61"/>
  <c r="S60" i="61"/>
  <c r="AF61" i="63"/>
  <c r="BB50" i="68"/>
  <c r="BF49" i="68"/>
  <c r="M61" i="63"/>
  <c r="S60" i="63"/>
  <c r="BF60" i="59"/>
  <c r="BB61" i="59"/>
  <c r="AT48" i="68"/>
  <c r="S60" i="62"/>
  <c r="M61" i="62"/>
  <c r="BB61" i="60"/>
  <c r="BF60" i="60"/>
  <c r="BF60" i="61"/>
  <c r="BB61" i="61"/>
  <c r="BB61" i="62"/>
  <c r="BF60" i="62"/>
  <c r="AF61" i="61"/>
  <c r="AF50" i="68"/>
  <c r="AL49" i="68"/>
  <c r="AT49" i="68" s="1"/>
  <c r="M61" i="59"/>
  <c r="S60" i="59"/>
  <c r="AF61" i="62"/>
  <c r="AH62" i="30"/>
  <c r="M63" i="57"/>
  <c r="M61" i="58"/>
  <c r="AF62" i="57"/>
  <c r="BF60" i="58"/>
  <c r="BB61" i="58"/>
  <c r="BB62" i="57"/>
  <c r="BF61" i="57"/>
  <c r="AF61" i="58"/>
  <c r="AH61" i="31"/>
  <c r="AF64" i="31"/>
  <c r="AR63" i="31"/>
  <c r="BF64" i="31"/>
  <c r="M63" i="31"/>
  <c r="AT48" i="50"/>
  <c r="AT58" i="50" s="1"/>
  <c r="AT58" i="48"/>
  <c r="AB64" i="24"/>
  <c r="AF50" i="24"/>
  <c r="AL50" i="24" s="1"/>
  <c r="AT48" i="24"/>
  <c r="BB50" i="24"/>
  <c r="BF50" i="24" s="1"/>
  <c r="K36" i="21"/>
  <c r="G41" i="21"/>
  <c r="AD41" i="21" s="1"/>
  <c r="G33" i="21"/>
  <c r="AD33" i="21" s="1"/>
  <c r="AD28" i="21"/>
  <c r="G38" i="21"/>
  <c r="AD38" i="21" s="1"/>
  <c r="G32" i="21"/>
  <c r="AD32" i="21" s="1"/>
  <c r="G36" i="21"/>
  <c r="AD36" i="21" s="1"/>
  <c r="G30" i="21"/>
  <c r="AD30" i="21" s="1"/>
  <c r="G29" i="21"/>
  <c r="AD29" i="21" s="1"/>
  <c r="G31" i="21"/>
  <c r="AD31" i="21" s="1"/>
  <c r="G42" i="21"/>
  <c r="AD42" i="21" s="1"/>
  <c r="G34" i="21"/>
  <c r="AD34" i="21" s="1"/>
  <c r="G39" i="21"/>
  <c r="AD39" i="21" s="1"/>
  <c r="G37" i="21"/>
  <c r="AD37" i="21" s="1"/>
  <c r="G35" i="21"/>
  <c r="AD35" i="21" s="1"/>
  <c r="G40" i="21"/>
  <c r="AD40" i="21" s="1"/>
  <c r="BB36" i="21"/>
  <c r="AB37" i="21"/>
  <c r="M36" i="21"/>
  <c r="E37" i="21"/>
  <c r="C38" i="21"/>
  <c r="M63" i="74" l="1"/>
  <c r="S62" i="74"/>
  <c r="BB63" i="74"/>
  <c r="BF62" i="74"/>
  <c r="AH60" i="59"/>
  <c r="AL59" i="59"/>
  <c r="AT59" i="59" s="1"/>
  <c r="AH60" i="61"/>
  <c r="AL59" i="61"/>
  <c r="AT59" i="61" s="1"/>
  <c r="AH60" i="62"/>
  <c r="AL59" i="62"/>
  <c r="AT59" i="62" s="1"/>
  <c r="AH50" i="70"/>
  <c r="AL49" i="70"/>
  <c r="AH60" i="74"/>
  <c r="AL59" i="74"/>
  <c r="AT59" i="74" s="1"/>
  <c r="AF52" i="70"/>
  <c r="AR60" i="74"/>
  <c r="AH60" i="60"/>
  <c r="AL59" i="60"/>
  <c r="AT59" i="60" s="1"/>
  <c r="AH60" i="63"/>
  <c r="AL59" i="63"/>
  <c r="AT59" i="63" s="1"/>
  <c r="AF62" i="74"/>
  <c r="S61" i="59"/>
  <c r="M62" i="59"/>
  <c r="BB62" i="61"/>
  <c r="BF61" i="61"/>
  <c r="S61" i="62"/>
  <c r="M62" i="62"/>
  <c r="M62" i="63"/>
  <c r="S61" i="63"/>
  <c r="BF50" i="68"/>
  <c r="BB51" i="68"/>
  <c r="M62" i="61"/>
  <c r="S61" i="61"/>
  <c r="BB62" i="59"/>
  <c r="BF61" i="59"/>
  <c r="AF62" i="60"/>
  <c r="BB62" i="63"/>
  <c r="BF61" i="63"/>
  <c r="AF62" i="62"/>
  <c r="AL50" i="68"/>
  <c r="AF51" i="68"/>
  <c r="BB62" i="62"/>
  <c r="BF61" i="62"/>
  <c r="AF62" i="63"/>
  <c r="AF62" i="59"/>
  <c r="AF62" i="61"/>
  <c r="BF61" i="60"/>
  <c r="BB62" i="60"/>
  <c r="BB51" i="69"/>
  <c r="I51" i="68"/>
  <c r="S50" i="68"/>
  <c r="M64" i="57"/>
  <c r="AF63" i="57"/>
  <c r="AH62" i="31"/>
  <c r="BB63" i="57"/>
  <c r="BF62" i="57"/>
  <c r="AF62" i="58"/>
  <c r="BF61" i="58"/>
  <c r="BB62" i="58"/>
  <c r="M62" i="58"/>
  <c r="AH63" i="30"/>
  <c r="AF65" i="31"/>
  <c r="BF65" i="31"/>
  <c r="M64" i="31"/>
  <c r="AR64" i="31"/>
  <c r="AB65" i="24"/>
  <c r="AF51" i="24"/>
  <c r="BB51" i="24"/>
  <c r="AT49" i="24"/>
  <c r="I28" i="21"/>
  <c r="I29" i="21" s="1"/>
  <c r="I30" i="21" s="1"/>
  <c r="I31" i="21" s="1"/>
  <c r="I32" i="21" s="1"/>
  <c r="I33" i="21" s="1"/>
  <c r="I34" i="21" s="1"/>
  <c r="I35" i="21" s="1"/>
  <c r="I36" i="21" s="1"/>
  <c r="I37" i="21" s="1"/>
  <c r="AD47" i="21"/>
  <c r="G47" i="21"/>
  <c r="BB37" i="21"/>
  <c r="M37" i="21"/>
  <c r="AB38" i="21"/>
  <c r="K37" i="21"/>
  <c r="C39" i="21"/>
  <c r="E38" i="21"/>
  <c r="BB64" i="74" l="1"/>
  <c r="BF63" i="74"/>
  <c r="M64" i="74"/>
  <c r="S63" i="74"/>
  <c r="AH61" i="63"/>
  <c r="AL60" i="63"/>
  <c r="AT60" i="63" s="1"/>
  <c r="AR61" i="74"/>
  <c r="AF53" i="70"/>
  <c r="AH51" i="70"/>
  <c r="AL50" i="70"/>
  <c r="AH61" i="62"/>
  <c r="AL60" i="62"/>
  <c r="AT60" i="62" s="1"/>
  <c r="AT50" i="68"/>
  <c r="AF63" i="74"/>
  <c r="AH61" i="60"/>
  <c r="AL60" i="60"/>
  <c r="AT60" i="60" s="1"/>
  <c r="AH61" i="74"/>
  <c r="AL60" i="74"/>
  <c r="AT60" i="74" s="1"/>
  <c r="AH61" i="61"/>
  <c r="AL60" i="61"/>
  <c r="AT60" i="61" s="1"/>
  <c r="AH61" i="59"/>
  <c r="AL60" i="59"/>
  <c r="AT60" i="59" s="1"/>
  <c r="BB52" i="69"/>
  <c r="AF63" i="59"/>
  <c r="BF62" i="62"/>
  <c r="BB63" i="62"/>
  <c r="M63" i="61"/>
  <c r="S62" i="61"/>
  <c r="M63" i="63"/>
  <c r="S62" i="63"/>
  <c r="BB63" i="61"/>
  <c r="BF62" i="61"/>
  <c r="AL51" i="68"/>
  <c r="AF52" i="68"/>
  <c r="BB52" i="68"/>
  <c r="BF51" i="68"/>
  <c r="M63" i="62"/>
  <c r="S62" i="62"/>
  <c r="S62" i="59"/>
  <c r="M63" i="59"/>
  <c r="S51" i="68"/>
  <c r="I52" i="68"/>
  <c r="AF63" i="61"/>
  <c r="BB63" i="63"/>
  <c r="BF62" i="63"/>
  <c r="BF62" i="59"/>
  <c r="BB63" i="59"/>
  <c r="BF62" i="60"/>
  <c r="BB63" i="60"/>
  <c r="AF63" i="63"/>
  <c r="AF63" i="62"/>
  <c r="AF63" i="60"/>
  <c r="AH64" i="30"/>
  <c r="AH63" i="31"/>
  <c r="BF62" i="58"/>
  <c r="BB63" i="58"/>
  <c r="AF64" i="57"/>
  <c r="M65" i="57"/>
  <c r="AF63" i="58"/>
  <c r="M63" i="58"/>
  <c r="BB64" i="57"/>
  <c r="BF63" i="57"/>
  <c r="AF66" i="31"/>
  <c r="M65" i="31"/>
  <c r="AR65" i="31"/>
  <c r="BF66" i="31"/>
  <c r="BB52" i="24"/>
  <c r="BF52" i="24" s="1"/>
  <c r="BF51" i="24"/>
  <c r="AF52" i="24"/>
  <c r="AL52" i="24" s="1"/>
  <c r="AL51" i="24"/>
  <c r="AB66" i="24"/>
  <c r="AT50" i="24"/>
  <c r="BB69" i="24"/>
  <c r="BF69" i="24" s="1"/>
  <c r="AF69" i="24"/>
  <c r="AL69" i="24" s="1"/>
  <c r="M38" i="21"/>
  <c r="C40" i="21"/>
  <c r="E39" i="21"/>
  <c r="K38" i="21"/>
  <c r="AB39" i="21"/>
  <c r="BB38" i="21"/>
  <c r="I38" i="21"/>
  <c r="M65" i="74" l="1"/>
  <c r="S64" i="74"/>
  <c r="BF64" i="74"/>
  <c r="BB65" i="74"/>
  <c r="AF64" i="74"/>
  <c r="AH52" i="70"/>
  <c r="AL51" i="70"/>
  <c r="AR62" i="74"/>
  <c r="AH62" i="59"/>
  <c r="AL61" i="59"/>
  <c r="AT61" i="59" s="1"/>
  <c r="AH62" i="74"/>
  <c r="AL61" i="74"/>
  <c r="AT61" i="74" s="1"/>
  <c r="AF54" i="70"/>
  <c r="AH62" i="62"/>
  <c r="AL61" i="62"/>
  <c r="AT61" i="62" s="1"/>
  <c r="AH62" i="63"/>
  <c r="AL61" i="63"/>
  <c r="AT61" i="63" s="1"/>
  <c r="AH62" i="61"/>
  <c r="AL61" i="61"/>
  <c r="AT61" i="61" s="1"/>
  <c r="AH62" i="60"/>
  <c r="AL61" i="60"/>
  <c r="AT61" i="60" s="1"/>
  <c r="BB64" i="60"/>
  <c r="BF63" i="60"/>
  <c r="I53" i="68"/>
  <c r="S52" i="68"/>
  <c r="AT51" i="68"/>
  <c r="BB64" i="61"/>
  <c r="BF63" i="61"/>
  <c r="M64" i="61"/>
  <c r="S63" i="61"/>
  <c r="AF64" i="59"/>
  <c r="AF53" i="68"/>
  <c r="AL52" i="68"/>
  <c r="AF64" i="62"/>
  <c r="BF63" i="63"/>
  <c r="BB64" i="63"/>
  <c r="M64" i="62"/>
  <c r="S63" i="62"/>
  <c r="BF63" i="62"/>
  <c r="BB64" i="62"/>
  <c r="AF64" i="60"/>
  <c r="AF64" i="63"/>
  <c r="BB64" i="59"/>
  <c r="BF63" i="59"/>
  <c r="S63" i="59"/>
  <c r="M64" i="59"/>
  <c r="M64" i="63"/>
  <c r="S63" i="63"/>
  <c r="AF64" i="61"/>
  <c r="BF52" i="68"/>
  <c r="BB53" i="68"/>
  <c r="BB53" i="69"/>
  <c r="M64" i="58"/>
  <c r="BB64" i="58"/>
  <c r="BF63" i="58"/>
  <c r="M66" i="57"/>
  <c r="BB65" i="57"/>
  <c r="BF64" i="57"/>
  <c r="AF64" i="58"/>
  <c r="AF65" i="57"/>
  <c r="AH64" i="31"/>
  <c r="AH65" i="30"/>
  <c r="AF67" i="31"/>
  <c r="AR66" i="31"/>
  <c r="M66" i="31"/>
  <c r="BF67" i="31"/>
  <c r="BB53" i="24"/>
  <c r="BF53" i="24" s="1"/>
  <c r="AF53" i="24"/>
  <c r="AL53" i="24" s="1"/>
  <c r="AB67" i="24"/>
  <c r="AT51" i="24"/>
  <c r="AT52" i="24"/>
  <c r="K39" i="21"/>
  <c r="BB39" i="21"/>
  <c r="I39" i="21"/>
  <c r="C41" i="21"/>
  <c r="E40" i="21"/>
  <c r="AB40" i="21"/>
  <c r="M39" i="21"/>
  <c r="BF65" i="74" l="1"/>
  <c r="BB66" i="74"/>
  <c r="M66" i="74"/>
  <c r="S65" i="74"/>
  <c r="AH63" i="60"/>
  <c r="AL62" i="60"/>
  <c r="AT62" i="60" s="1"/>
  <c r="AH63" i="62"/>
  <c r="AL62" i="62"/>
  <c r="AT62" i="62" s="1"/>
  <c r="AH63" i="74"/>
  <c r="AL62" i="74"/>
  <c r="AT62" i="74" s="1"/>
  <c r="AR63" i="74"/>
  <c r="AH63" i="61"/>
  <c r="AL62" i="61"/>
  <c r="AT62" i="61" s="1"/>
  <c r="AF55" i="70"/>
  <c r="AF65" i="74"/>
  <c r="AH63" i="63"/>
  <c r="AL62" i="63"/>
  <c r="AT62" i="63" s="1"/>
  <c r="AH63" i="59"/>
  <c r="AL62" i="59"/>
  <c r="AT62" i="59" s="1"/>
  <c r="AH53" i="70"/>
  <c r="AL52" i="70"/>
  <c r="BF64" i="59"/>
  <c r="BB65" i="59"/>
  <c r="AF65" i="60"/>
  <c r="AF65" i="59"/>
  <c r="S53" i="68"/>
  <c r="I54" i="68"/>
  <c r="AF65" i="61"/>
  <c r="M65" i="63"/>
  <c r="S64" i="63"/>
  <c r="M65" i="59"/>
  <c r="S64" i="59"/>
  <c r="BB65" i="62"/>
  <c r="BF64" i="62"/>
  <c r="BF64" i="61"/>
  <c r="BB65" i="61"/>
  <c r="BB64" i="69"/>
  <c r="AF65" i="63"/>
  <c r="M65" i="62"/>
  <c r="S64" i="62"/>
  <c r="AF65" i="62"/>
  <c r="AT52" i="68"/>
  <c r="BF53" i="68"/>
  <c r="BB54" i="68"/>
  <c r="BF64" i="63"/>
  <c r="BB65" i="63"/>
  <c r="AF54" i="68"/>
  <c r="AL53" i="68"/>
  <c r="M65" i="61"/>
  <c r="S64" i="61"/>
  <c r="BB65" i="60"/>
  <c r="BF64" i="60"/>
  <c r="AH65" i="31"/>
  <c r="AF66" i="57"/>
  <c r="AH66" i="30"/>
  <c r="BB66" i="57"/>
  <c r="BF65" i="57"/>
  <c r="AF65" i="58"/>
  <c r="M67" i="57"/>
  <c r="BF64" i="58"/>
  <c r="BB65" i="58"/>
  <c r="M65" i="58"/>
  <c r="AF68" i="31"/>
  <c r="M67" i="31"/>
  <c r="AR67" i="31"/>
  <c r="BF68" i="31"/>
  <c r="AF54" i="24"/>
  <c r="AL54" i="24" s="1"/>
  <c r="BB54" i="24"/>
  <c r="BF54" i="24" s="1"/>
  <c r="AB68" i="24"/>
  <c r="AT53" i="24"/>
  <c r="AT69" i="24"/>
  <c r="K40" i="21"/>
  <c r="C42" i="21"/>
  <c r="E42" i="21" s="1"/>
  <c r="E41" i="21"/>
  <c r="BB40" i="21"/>
  <c r="M40" i="21"/>
  <c r="AB41" i="21"/>
  <c r="I40" i="21"/>
  <c r="AT53" i="68" l="1"/>
  <c r="M67" i="74"/>
  <c r="S66" i="74"/>
  <c r="BB67" i="74"/>
  <c r="BF66" i="74"/>
  <c r="AF66" i="74"/>
  <c r="AF56" i="70"/>
  <c r="AH64" i="74"/>
  <c r="AL63" i="74"/>
  <c r="AT63" i="74" s="1"/>
  <c r="AH54" i="70"/>
  <c r="AL53" i="70"/>
  <c r="AH64" i="63"/>
  <c r="AL63" i="63"/>
  <c r="AT63" i="63" s="1"/>
  <c r="AH64" i="61"/>
  <c r="AL63" i="61"/>
  <c r="AT63" i="61" s="1"/>
  <c r="AR64" i="74"/>
  <c r="AH64" i="62"/>
  <c r="AL63" i="62"/>
  <c r="AT63" i="62" s="1"/>
  <c r="AH64" i="60"/>
  <c r="AL63" i="60"/>
  <c r="AT63" i="60" s="1"/>
  <c r="AH64" i="59"/>
  <c r="AL63" i="59"/>
  <c r="AT63" i="59" s="1"/>
  <c r="S65" i="62"/>
  <c r="M66" i="62"/>
  <c r="M66" i="61"/>
  <c r="S65" i="61"/>
  <c r="BF54" i="68"/>
  <c r="BB55" i="68"/>
  <c r="AF66" i="62"/>
  <c r="AF66" i="61"/>
  <c r="AF66" i="63"/>
  <c r="S65" i="59"/>
  <c r="M66" i="59"/>
  <c r="AF66" i="59"/>
  <c r="AF66" i="60"/>
  <c r="BF65" i="63"/>
  <c r="BB66" i="63"/>
  <c r="BF65" i="60"/>
  <c r="BB66" i="60"/>
  <c r="AF55" i="68"/>
  <c r="AL54" i="68"/>
  <c r="BF65" i="61"/>
  <c r="BB66" i="61"/>
  <c r="I55" i="68"/>
  <c r="S54" i="68"/>
  <c r="BB66" i="59"/>
  <c r="BF65" i="59"/>
  <c r="BB66" i="62"/>
  <c r="BF65" i="62"/>
  <c r="M66" i="63"/>
  <c r="S65" i="63"/>
  <c r="AH67" i="30"/>
  <c r="AF67" i="57"/>
  <c r="M68" i="57"/>
  <c r="BF65" i="58"/>
  <c r="BB66" i="58"/>
  <c r="AF66" i="58"/>
  <c r="M66" i="58"/>
  <c r="BB67" i="57"/>
  <c r="BF66" i="57"/>
  <c r="AH66" i="31"/>
  <c r="AF55" i="24"/>
  <c r="AL55" i="24" s="1"/>
  <c r="AF69" i="31"/>
  <c r="AR68" i="31"/>
  <c r="BF69" i="31"/>
  <c r="M68" i="31"/>
  <c r="BB55" i="24"/>
  <c r="BF55" i="24" s="1"/>
  <c r="AB69" i="24"/>
  <c r="AT54" i="24"/>
  <c r="K41" i="21"/>
  <c r="K42" i="21" s="1"/>
  <c r="K47" i="21" s="1"/>
  <c r="AB42" i="21"/>
  <c r="BB41" i="21"/>
  <c r="I41" i="21"/>
  <c r="I42" i="21" s="1"/>
  <c r="I47" i="21" s="1"/>
  <c r="M41" i="21"/>
  <c r="M42" i="21" s="1"/>
  <c r="M47" i="21" s="1"/>
  <c r="BB68" i="74" l="1"/>
  <c r="BF67" i="74"/>
  <c r="AT54" i="68"/>
  <c r="M68" i="74"/>
  <c r="S68" i="74" s="1"/>
  <c r="S67" i="74"/>
  <c r="AH65" i="60"/>
  <c r="AL64" i="60"/>
  <c r="AT64" i="60" s="1"/>
  <c r="AR65" i="74"/>
  <c r="AH55" i="70"/>
  <c r="AL54" i="70"/>
  <c r="AH65" i="74"/>
  <c r="AL64" i="74"/>
  <c r="AT64" i="74" s="1"/>
  <c r="AF57" i="70"/>
  <c r="AH65" i="59"/>
  <c r="AL64" i="59"/>
  <c r="AT64" i="59" s="1"/>
  <c r="AH65" i="62"/>
  <c r="AL64" i="62"/>
  <c r="AT64" i="62" s="1"/>
  <c r="AH65" i="61"/>
  <c r="AL64" i="61"/>
  <c r="AT64" i="61" s="1"/>
  <c r="AH65" i="63"/>
  <c r="AL64" i="63"/>
  <c r="AT64" i="63" s="1"/>
  <c r="AF67" i="74"/>
  <c r="BB67" i="62"/>
  <c r="BF66" i="62"/>
  <c r="AL55" i="68"/>
  <c r="AF56" i="68"/>
  <c r="BF66" i="63"/>
  <c r="BB67" i="63"/>
  <c r="AF67" i="63"/>
  <c r="AF67" i="61"/>
  <c r="S66" i="62"/>
  <c r="M67" i="62"/>
  <c r="S55" i="68"/>
  <c r="I56" i="68"/>
  <c r="BF66" i="60"/>
  <c r="BB67" i="60"/>
  <c r="AF67" i="59"/>
  <c r="AF67" i="62"/>
  <c r="M67" i="59"/>
  <c r="S66" i="59"/>
  <c r="M67" i="63"/>
  <c r="S66" i="63"/>
  <c r="BB67" i="59"/>
  <c r="BF66" i="59"/>
  <c r="BB67" i="61"/>
  <c r="BF66" i="61"/>
  <c r="AF67" i="60"/>
  <c r="BF55" i="68"/>
  <c r="BB56" i="68"/>
  <c r="S66" i="61"/>
  <c r="M67" i="61"/>
  <c r="AF56" i="24"/>
  <c r="AL56" i="24" s="1"/>
  <c r="AF67" i="58"/>
  <c r="BB67" i="58"/>
  <c r="BF66" i="58"/>
  <c r="BB68" i="57"/>
  <c r="BF67" i="57"/>
  <c r="AH67" i="31"/>
  <c r="M67" i="58"/>
  <c r="M69" i="57"/>
  <c r="AH68" i="30"/>
  <c r="AF68" i="57"/>
  <c r="AF70" i="31"/>
  <c r="BF70" i="31"/>
  <c r="BF72" i="31" s="1"/>
  <c r="BB72" i="31"/>
  <c r="AR69" i="31"/>
  <c r="BB56" i="24"/>
  <c r="BF56" i="24" s="1"/>
  <c r="AT55" i="24"/>
  <c r="BB42" i="21"/>
  <c r="S70" i="74" l="1"/>
  <c r="G45" i="32" s="1"/>
  <c r="AF57" i="24"/>
  <c r="AL57" i="24" s="1"/>
  <c r="BF68" i="74"/>
  <c r="BF70" i="74" s="1"/>
  <c r="BB70" i="74"/>
  <c r="AH66" i="61"/>
  <c r="AL65" i="61"/>
  <c r="AT65" i="61" s="1"/>
  <c r="AH66" i="59"/>
  <c r="AL65" i="59"/>
  <c r="AT65" i="59" s="1"/>
  <c r="AH66" i="74"/>
  <c r="AL65" i="74"/>
  <c r="AT65" i="74" s="1"/>
  <c r="AH66" i="60"/>
  <c r="AL65" i="60"/>
  <c r="AT65" i="60" s="1"/>
  <c r="AF68" i="74"/>
  <c r="AH66" i="63"/>
  <c r="AL65" i="63"/>
  <c r="AT65" i="63" s="1"/>
  <c r="AH66" i="62"/>
  <c r="AL65" i="62"/>
  <c r="AT65" i="62" s="1"/>
  <c r="AF68" i="70"/>
  <c r="AH56" i="70"/>
  <c r="AL55" i="70"/>
  <c r="AR66" i="74"/>
  <c r="BF56" i="68"/>
  <c r="BB57" i="68"/>
  <c r="AF68" i="59"/>
  <c r="AF68" i="63"/>
  <c r="AT55" i="68"/>
  <c r="BB68" i="61"/>
  <c r="BF67" i="61"/>
  <c r="M68" i="63"/>
  <c r="S68" i="63" s="1"/>
  <c r="S67" i="63"/>
  <c r="I57" i="68"/>
  <c r="S56" i="68"/>
  <c r="AF68" i="61"/>
  <c r="BF67" i="63"/>
  <c r="BB68" i="63"/>
  <c r="S67" i="61"/>
  <c r="M68" i="61"/>
  <c r="S68" i="61" s="1"/>
  <c r="AF68" i="62"/>
  <c r="AF68" i="60"/>
  <c r="BF67" i="59"/>
  <c r="BB68" i="59"/>
  <c r="S67" i="59"/>
  <c r="M68" i="59"/>
  <c r="BB68" i="60"/>
  <c r="BF67" i="60"/>
  <c r="M68" i="62"/>
  <c r="S68" i="62" s="1"/>
  <c r="S67" i="62"/>
  <c r="AF57" i="68"/>
  <c r="AL56" i="68"/>
  <c r="BB68" i="62"/>
  <c r="BF67" i="62"/>
  <c r="AF69" i="57"/>
  <c r="AF71" i="57" s="1"/>
  <c r="AH69" i="30"/>
  <c r="M68" i="58"/>
  <c r="BB69" i="57"/>
  <c r="BF68" i="57"/>
  <c r="AF72" i="31"/>
  <c r="AH68" i="31"/>
  <c r="BF67" i="58"/>
  <c r="BB68" i="58"/>
  <c r="AF68" i="58"/>
  <c r="AF70" i="58" s="1"/>
  <c r="AR70" i="31"/>
  <c r="BB57" i="24"/>
  <c r="BF57" i="24" s="1"/>
  <c r="AT56" i="24"/>
  <c r="BB47" i="21"/>
  <c r="AF58" i="24" l="1"/>
  <c r="AL58" i="24" s="1"/>
  <c r="AH57" i="70"/>
  <c r="AL56" i="70"/>
  <c r="AH67" i="62"/>
  <c r="AL66" i="62"/>
  <c r="AT66" i="62" s="1"/>
  <c r="AF70" i="74"/>
  <c r="AH67" i="60"/>
  <c r="AL66" i="60"/>
  <c r="AT66" i="60" s="1"/>
  <c r="AH67" i="74"/>
  <c r="AL66" i="74"/>
  <c r="AT66" i="74" s="1"/>
  <c r="AH67" i="61"/>
  <c r="AL66" i="61"/>
  <c r="AT66" i="61" s="1"/>
  <c r="AR67" i="74"/>
  <c r="AH67" i="63"/>
  <c r="AL66" i="63"/>
  <c r="AT66" i="63" s="1"/>
  <c r="AH67" i="59"/>
  <c r="AL66" i="59"/>
  <c r="AT66" i="59" s="1"/>
  <c r="BF68" i="62"/>
  <c r="BF70" i="62" s="1"/>
  <c r="BB70" i="62"/>
  <c r="AT56" i="68"/>
  <c r="BF68" i="59"/>
  <c r="BF70" i="59" s="1"/>
  <c r="BB70" i="59"/>
  <c r="S57" i="68"/>
  <c r="S59" i="68" s="1"/>
  <c r="G54" i="32" s="1"/>
  <c r="I59" i="68"/>
  <c r="BF68" i="61"/>
  <c r="BF70" i="61" s="1"/>
  <c r="BB70" i="61"/>
  <c r="AF70" i="63"/>
  <c r="AF70" i="59"/>
  <c r="AF70" i="62"/>
  <c r="AF70" i="61"/>
  <c r="AL57" i="68"/>
  <c r="AF59" i="68"/>
  <c r="BF68" i="60"/>
  <c r="BF70" i="60" s="1"/>
  <c r="BB70" i="60"/>
  <c r="BF57" i="68"/>
  <c r="BF59" i="68" s="1"/>
  <c r="BB59" i="68"/>
  <c r="AF70" i="60"/>
  <c r="BF68" i="63"/>
  <c r="BF70" i="63" s="1"/>
  <c r="BB70" i="63"/>
  <c r="BF69" i="57"/>
  <c r="BF71" i="57" s="1"/>
  <c r="BB71" i="57"/>
  <c r="AH70" i="30"/>
  <c r="BF68" i="58"/>
  <c r="BF70" i="58" s="1"/>
  <c r="BB70" i="58"/>
  <c r="AH69" i="31"/>
  <c r="AR72" i="31"/>
  <c r="BB58" i="24"/>
  <c r="BF58" i="24" s="1"/>
  <c r="AT57" i="24"/>
  <c r="AF59" i="24"/>
  <c r="AL59" i="24" s="1"/>
  <c r="G15" i="20"/>
  <c r="M28" i="20"/>
  <c r="K28" i="20"/>
  <c r="G29" i="20"/>
  <c r="AD29" i="20" s="1"/>
  <c r="E28" i="20"/>
  <c r="E29" i="20" s="1"/>
  <c r="W26" i="20"/>
  <c r="U26" i="20"/>
  <c r="S26" i="20"/>
  <c r="Q26" i="20"/>
  <c r="O26" i="20"/>
  <c r="M26" i="20"/>
  <c r="K26" i="20"/>
  <c r="AF16" i="20"/>
  <c r="BD15" i="20"/>
  <c r="BD14" i="20"/>
  <c r="C28" i="20"/>
  <c r="AZ28" i="20" s="1"/>
  <c r="A3" i="20"/>
  <c r="A2" i="20"/>
  <c r="A1" i="20"/>
  <c r="BD15" i="14"/>
  <c r="BD14" i="14"/>
  <c r="N95" i="4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Q187" i="5"/>
  <c r="BQ188" i="5"/>
  <c r="BQ189" i="5"/>
  <c r="BQ190" i="5"/>
  <c r="BQ191" i="5"/>
  <c r="BQ192" i="5"/>
  <c r="BQ193" i="5"/>
  <c r="BQ194" i="5"/>
  <c r="BQ195" i="5"/>
  <c r="BQ196" i="5"/>
  <c r="BQ197" i="5"/>
  <c r="BQ198" i="5"/>
  <c r="BQ199" i="5"/>
  <c r="BQ200" i="5"/>
  <c r="BQ201" i="5"/>
  <c r="BQ202" i="5"/>
  <c r="BQ203" i="5"/>
  <c r="BQ204" i="5"/>
  <c r="BQ205" i="5"/>
  <c r="BQ206" i="5"/>
  <c r="BQ207" i="5"/>
  <c r="BQ208" i="5"/>
  <c r="BQ209" i="5"/>
  <c r="BQ210" i="5"/>
  <c r="BQ211" i="5"/>
  <c r="BQ212" i="5"/>
  <c r="BQ213" i="5"/>
  <c r="BQ214" i="5"/>
  <c r="BQ215" i="5"/>
  <c r="BQ216" i="5"/>
  <c r="BQ217" i="5"/>
  <c r="BQ218" i="5"/>
  <c r="BQ219" i="5"/>
  <c r="BQ220" i="5"/>
  <c r="BQ221" i="5"/>
  <c r="BQ222" i="5"/>
  <c r="BQ223" i="5"/>
  <c r="BQ224" i="5"/>
  <c r="BQ225" i="5"/>
  <c r="BQ226" i="5"/>
  <c r="BQ227" i="5"/>
  <c r="BQ228" i="5"/>
  <c r="BQ229" i="5"/>
  <c r="BQ230" i="5"/>
  <c r="BQ231" i="5"/>
  <c r="BQ232" i="5"/>
  <c r="BQ233" i="5"/>
  <c r="BQ234" i="5"/>
  <c r="BQ235" i="5"/>
  <c r="BQ236" i="5"/>
  <c r="BQ237" i="5"/>
  <c r="BQ238" i="5"/>
  <c r="BQ239" i="5"/>
  <c r="BQ240" i="5"/>
  <c r="BQ241" i="5"/>
  <c r="BQ242" i="5"/>
  <c r="BQ243" i="5"/>
  <c r="BQ244" i="5"/>
  <c r="BQ245" i="5"/>
  <c r="BQ246" i="5"/>
  <c r="BQ247" i="5"/>
  <c r="BQ248" i="5"/>
  <c r="BQ249" i="5"/>
  <c r="BQ250" i="5"/>
  <c r="BQ251" i="5"/>
  <c r="BQ252" i="5"/>
  <c r="BQ253" i="5"/>
  <c r="BQ254" i="5"/>
  <c r="BQ255" i="5"/>
  <c r="BQ256" i="5"/>
  <c r="BQ257" i="5"/>
  <c r="BQ258" i="5"/>
  <c r="BQ259" i="5"/>
  <c r="BQ260" i="5"/>
  <c r="BQ261" i="5"/>
  <c r="BQ262" i="5"/>
  <c r="BQ263" i="5"/>
  <c r="BQ264" i="5"/>
  <c r="BQ265" i="5"/>
  <c r="BQ266" i="5"/>
  <c r="BQ267" i="5"/>
  <c r="BQ268" i="5"/>
  <c r="BQ269" i="5"/>
  <c r="BQ270" i="5"/>
  <c r="BQ271" i="5"/>
  <c r="BQ272" i="5"/>
  <c r="BQ273" i="5"/>
  <c r="BQ274" i="5"/>
  <c r="BQ275" i="5"/>
  <c r="BQ276" i="5"/>
  <c r="BQ277" i="5"/>
  <c r="BQ278" i="5"/>
  <c r="BQ279" i="5"/>
  <c r="BQ280" i="5"/>
  <c r="BQ281" i="5"/>
  <c r="BQ282" i="5"/>
  <c r="BQ283" i="5"/>
  <c r="BQ284" i="5"/>
  <c r="BQ285" i="5"/>
  <c r="BQ286" i="5"/>
  <c r="BQ287" i="5"/>
  <c r="BQ288" i="5"/>
  <c r="BQ289" i="5"/>
  <c r="BQ290" i="5"/>
  <c r="BQ291" i="5"/>
  <c r="BQ292" i="5"/>
  <c r="BQ293" i="5"/>
  <c r="BQ294" i="5"/>
  <c r="BQ295" i="5"/>
  <c r="BQ296" i="5"/>
  <c r="BQ297" i="5"/>
  <c r="BQ298" i="5"/>
  <c r="BQ299" i="5"/>
  <c r="BQ300" i="5"/>
  <c r="BQ301" i="5"/>
  <c r="BQ302" i="5"/>
  <c r="BQ303" i="5"/>
  <c r="BQ304" i="5"/>
  <c r="BQ305" i="5"/>
  <c r="BQ306" i="5"/>
  <c r="BQ307" i="5"/>
  <c r="BQ308" i="5"/>
  <c r="BQ309" i="5"/>
  <c r="BQ310" i="5"/>
  <c r="BQ311" i="5"/>
  <c r="BQ312" i="5"/>
  <c r="BQ313" i="5"/>
  <c r="BQ314" i="5"/>
  <c r="BQ315" i="5"/>
  <c r="BQ316" i="5"/>
  <c r="BQ317" i="5"/>
  <c r="BQ318" i="5"/>
  <c r="BQ319" i="5"/>
  <c r="BQ320" i="5"/>
  <c r="BQ321" i="5"/>
  <c r="BQ322" i="5"/>
  <c r="BQ323" i="5"/>
  <c r="BQ324" i="5"/>
  <c r="BQ325" i="5"/>
  <c r="BQ326" i="5"/>
  <c r="BQ327" i="5"/>
  <c r="BQ328" i="5"/>
  <c r="BQ329" i="5"/>
  <c r="BQ330" i="5"/>
  <c r="BQ331" i="5"/>
  <c r="BQ332" i="5"/>
  <c r="BQ333" i="5"/>
  <c r="BQ334" i="5"/>
  <c r="BQ335" i="5"/>
  <c r="BQ336" i="5"/>
  <c r="BQ337" i="5"/>
  <c r="BQ338" i="5"/>
  <c r="BQ339" i="5"/>
  <c r="BQ340" i="5"/>
  <c r="BQ341" i="5"/>
  <c r="BQ342" i="5"/>
  <c r="BQ343" i="5"/>
  <c r="BQ344" i="5"/>
  <c r="BQ345" i="5"/>
  <c r="BQ346" i="5"/>
  <c r="BQ347" i="5"/>
  <c r="BQ348" i="5"/>
  <c r="BQ349" i="5"/>
  <c r="BQ350" i="5"/>
  <c r="BQ351" i="5"/>
  <c r="BQ352" i="5"/>
  <c r="BQ353" i="5"/>
  <c r="BQ354" i="5"/>
  <c r="BQ355" i="5"/>
  <c r="BQ356" i="5"/>
  <c r="BQ357" i="5"/>
  <c r="BQ358" i="5"/>
  <c r="BQ359" i="5"/>
  <c r="BQ360" i="5"/>
  <c r="BQ361" i="5"/>
  <c r="BQ362" i="5"/>
  <c r="BQ363" i="5"/>
  <c r="BQ364" i="5"/>
  <c r="BQ365" i="5"/>
  <c r="BQ366" i="5"/>
  <c r="BQ367" i="5"/>
  <c r="BQ368" i="5"/>
  <c r="BQ369" i="5"/>
  <c r="BQ370" i="5"/>
  <c r="BQ371" i="5"/>
  <c r="BQ372" i="5"/>
  <c r="BQ373" i="5"/>
  <c r="BQ374" i="5"/>
  <c r="BQ375" i="5"/>
  <c r="BQ376" i="5"/>
  <c r="BQ377" i="5"/>
  <c r="BQ378" i="5"/>
  <c r="BQ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6" i="5"/>
  <c r="BO137" i="5"/>
  <c r="BO138" i="5"/>
  <c r="BO139" i="5"/>
  <c r="BO140" i="5"/>
  <c r="BO141" i="5"/>
  <c r="BO142" i="5"/>
  <c r="BO143" i="5"/>
  <c r="BO144" i="5"/>
  <c r="BO145" i="5"/>
  <c r="BO146" i="5"/>
  <c r="BO147" i="5"/>
  <c r="BO148" i="5"/>
  <c r="BO149" i="5"/>
  <c r="BO150" i="5"/>
  <c r="BO151" i="5"/>
  <c r="BO152" i="5"/>
  <c r="BO153" i="5"/>
  <c r="BO154" i="5"/>
  <c r="BO155" i="5"/>
  <c r="BO156" i="5"/>
  <c r="BO157" i="5"/>
  <c r="BO158" i="5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O174" i="5"/>
  <c r="BO175" i="5"/>
  <c r="BO176" i="5"/>
  <c r="BO177" i="5"/>
  <c r="BO178" i="5"/>
  <c r="BO179" i="5"/>
  <c r="BO180" i="5"/>
  <c r="BO181" i="5"/>
  <c r="BO182" i="5"/>
  <c r="BO183" i="5"/>
  <c r="BO184" i="5"/>
  <c r="BO185" i="5"/>
  <c r="BO186" i="5"/>
  <c r="BO187" i="5"/>
  <c r="BO188" i="5"/>
  <c r="BO189" i="5"/>
  <c r="BO190" i="5"/>
  <c r="BO191" i="5"/>
  <c r="BO192" i="5"/>
  <c r="BO193" i="5"/>
  <c r="BO194" i="5"/>
  <c r="BO195" i="5"/>
  <c r="BO196" i="5"/>
  <c r="BO197" i="5"/>
  <c r="BO198" i="5"/>
  <c r="BO199" i="5"/>
  <c r="BO200" i="5"/>
  <c r="BO201" i="5"/>
  <c r="BO202" i="5"/>
  <c r="BO203" i="5"/>
  <c r="BO204" i="5"/>
  <c r="BO205" i="5"/>
  <c r="BO206" i="5"/>
  <c r="BO207" i="5"/>
  <c r="BO208" i="5"/>
  <c r="BO209" i="5"/>
  <c r="BO210" i="5"/>
  <c r="BO211" i="5"/>
  <c r="BO212" i="5"/>
  <c r="BO213" i="5"/>
  <c r="BO214" i="5"/>
  <c r="BO215" i="5"/>
  <c r="BO216" i="5"/>
  <c r="BO217" i="5"/>
  <c r="BO218" i="5"/>
  <c r="BO219" i="5"/>
  <c r="BO220" i="5"/>
  <c r="BO221" i="5"/>
  <c r="BO222" i="5"/>
  <c r="BO223" i="5"/>
  <c r="BO224" i="5"/>
  <c r="BO225" i="5"/>
  <c r="BO226" i="5"/>
  <c r="BO227" i="5"/>
  <c r="BO228" i="5"/>
  <c r="BO229" i="5"/>
  <c r="BO230" i="5"/>
  <c r="BO231" i="5"/>
  <c r="BO232" i="5"/>
  <c r="BO233" i="5"/>
  <c r="BO234" i="5"/>
  <c r="BO235" i="5"/>
  <c r="BO236" i="5"/>
  <c r="BO237" i="5"/>
  <c r="BO238" i="5"/>
  <c r="BO239" i="5"/>
  <c r="BO240" i="5"/>
  <c r="BO241" i="5"/>
  <c r="BO242" i="5"/>
  <c r="BO243" i="5"/>
  <c r="BO244" i="5"/>
  <c r="BO245" i="5"/>
  <c r="BO246" i="5"/>
  <c r="BO247" i="5"/>
  <c r="BO248" i="5"/>
  <c r="BO249" i="5"/>
  <c r="BO250" i="5"/>
  <c r="BO251" i="5"/>
  <c r="BO252" i="5"/>
  <c r="BO253" i="5"/>
  <c r="BO254" i="5"/>
  <c r="BO255" i="5"/>
  <c r="BO256" i="5"/>
  <c r="BO257" i="5"/>
  <c r="BO258" i="5"/>
  <c r="BO259" i="5"/>
  <c r="BO260" i="5"/>
  <c r="BO261" i="5"/>
  <c r="BO262" i="5"/>
  <c r="BO263" i="5"/>
  <c r="BO264" i="5"/>
  <c r="BO265" i="5"/>
  <c r="BO266" i="5"/>
  <c r="BO267" i="5"/>
  <c r="BO268" i="5"/>
  <c r="BO269" i="5"/>
  <c r="BO270" i="5"/>
  <c r="BO271" i="5"/>
  <c r="BO272" i="5"/>
  <c r="BO273" i="5"/>
  <c r="BO274" i="5"/>
  <c r="BO275" i="5"/>
  <c r="BO276" i="5"/>
  <c r="BO277" i="5"/>
  <c r="BO278" i="5"/>
  <c r="BO279" i="5"/>
  <c r="BO280" i="5"/>
  <c r="BO281" i="5"/>
  <c r="BO282" i="5"/>
  <c r="BO283" i="5"/>
  <c r="BO284" i="5"/>
  <c r="BO285" i="5"/>
  <c r="BO286" i="5"/>
  <c r="BO287" i="5"/>
  <c r="BO288" i="5"/>
  <c r="BO289" i="5"/>
  <c r="BO290" i="5"/>
  <c r="BO291" i="5"/>
  <c r="BO292" i="5"/>
  <c r="BO293" i="5"/>
  <c r="BO294" i="5"/>
  <c r="BO295" i="5"/>
  <c r="BO296" i="5"/>
  <c r="BO297" i="5"/>
  <c r="BO298" i="5"/>
  <c r="BO299" i="5"/>
  <c r="BO300" i="5"/>
  <c r="BO301" i="5"/>
  <c r="BO302" i="5"/>
  <c r="BO303" i="5"/>
  <c r="BO304" i="5"/>
  <c r="BO305" i="5"/>
  <c r="BO306" i="5"/>
  <c r="BO307" i="5"/>
  <c r="BO308" i="5"/>
  <c r="BO309" i="5"/>
  <c r="BO310" i="5"/>
  <c r="BO311" i="5"/>
  <c r="BO312" i="5"/>
  <c r="BO313" i="5"/>
  <c r="BO314" i="5"/>
  <c r="BO315" i="5"/>
  <c r="BO316" i="5"/>
  <c r="BO317" i="5"/>
  <c r="BO318" i="5"/>
  <c r="BO319" i="5"/>
  <c r="BO320" i="5"/>
  <c r="BO321" i="5"/>
  <c r="BO322" i="5"/>
  <c r="BO323" i="5"/>
  <c r="BO324" i="5"/>
  <c r="BO325" i="5"/>
  <c r="BO326" i="5"/>
  <c r="BO327" i="5"/>
  <c r="BO328" i="5"/>
  <c r="BO329" i="5"/>
  <c r="BO330" i="5"/>
  <c r="BO331" i="5"/>
  <c r="BO332" i="5"/>
  <c r="BO333" i="5"/>
  <c r="BO334" i="5"/>
  <c r="BO335" i="5"/>
  <c r="BO336" i="5"/>
  <c r="BO337" i="5"/>
  <c r="BO338" i="5"/>
  <c r="BO339" i="5"/>
  <c r="BO340" i="5"/>
  <c r="BO341" i="5"/>
  <c r="BO342" i="5"/>
  <c r="BO343" i="5"/>
  <c r="BO344" i="5"/>
  <c r="BO345" i="5"/>
  <c r="BO346" i="5"/>
  <c r="BO347" i="5"/>
  <c r="BO348" i="5"/>
  <c r="BO349" i="5"/>
  <c r="BO350" i="5"/>
  <c r="BO351" i="5"/>
  <c r="BO352" i="5"/>
  <c r="BO353" i="5"/>
  <c r="BO354" i="5"/>
  <c r="BO355" i="5"/>
  <c r="BO356" i="5"/>
  <c r="BO357" i="5"/>
  <c r="BO358" i="5"/>
  <c r="BO359" i="5"/>
  <c r="BO360" i="5"/>
  <c r="BO361" i="5"/>
  <c r="BO362" i="5"/>
  <c r="BO363" i="5"/>
  <c r="BO364" i="5"/>
  <c r="BO365" i="5"/>
  <c r="BO366" i="5"/>
  <c r="BO367" i="5"/>
  <c r="BO368" i="5"/>
  <c r="BO369" i="5"/>
  <c r="BO370" i="5"/>
  <c r="BO371" i="5"/>
  <c r="BO372" i="5"/>
  <c r="BO373" i="5"/>
  <c r="BO374" i="5"/>
  <c r="BO375" i="5"/>
  <c r="BO376" i="5"/>
  <c r="BO377" i="5"/>
  <c r="BO378" i="5"/>
  <c r="BO17" i="5"/>
  <c r="AF16" i="14"/>
  <c r="AH68" i="59" l="1"/>
  <c r="AL67" i="59"/>
  <c r="AT67" i="59" s="1"/>
  <c r="AR68" i="74"/>
  <c r="AH68" i="61"/>
  <c r="AL67" i="61"/>
  <c r="AT67" i="61" s="1"/>
  <c r="AH68" i="60"/>
  <c r="AL67" i="60"/>
  <c r="AT67" i="60" s="1"/>
  <c r="AH68" i="62"/>
  <c r="AL67" i="62"/>
  <c r="AT67" i="62" s="1"/>
  <c r="BB16" i="70"/>
  <c r="BD28" i="70" s="1"/>
  <c r="BB16" i="69"/>
  <c r="BD28" i="69" s="1"/>
  <c r="BB16" i="65"/>
  <c r="AH68" i="63"/>
  <c r="AL67" i="63"/>
  <c r="AT67" i="63" s="1"/>
  <c r="AH68" i="74"/>
  <c r="AL67" i="74"/>
  <c r="AT67" i="74" s="1"/>
  <c r="AH68" i="70"/>
  <c r="AL57" i="70"/>
  <c r="BB31" i="20"/>
  <c r="AT57" i="68"/>
  <c r="AT59" i="68" s="1"/>
  <c r="AL59" i="68"/>
  <c r="BB59" i="24"/>
  <c r="BF59" i="24" s="1"/>
  <c r="AH71" i="30"/>
  <c r="AH70" i="31"/>
  <c r="BB16" i="14"/>
  <c r="BB16" i="51"/>
  <c r="BB16" i="43"/>
  <c r="BD28" i="43" s="1"/>
  <c r="BB16" i="42"/>
  <c r="BD28" i="42" s="1"/>
  <c r="BB16" i="40"/>
  <c r="AF60" i="24"/>
  <c r="AL60" i="24" s="1"/>
  <c r="AT58" i="24"/>
  <c r="K29" i="20"/>
  <c r="AZ29" i="20"/>
  <c r="AZ30" i="20" s="1"/>
  <c r="AZ31" i="20" s="1"/>
  <c r="AZ32" i="20" s="1"/>
  <c r="AZ33" i="20" s="1"/>
  <c r="AZ34" i="20" s="1"/>
  <c r="AZ35" i="20" s="1"/>
  <c r="AZ36" i="20" s="1"/>
  <c r="AZ37" i="20" s="1"/>
  <c r="AZ38" i="20" s="1"/>
  <c r="AZ39" i="20" s="1"/>
  <c r="AZ40" i="20" s="1"/>
  <c r="AZ41" i="20" s="1"/>
  <c r="AZ42" i="20" s="1"/>
  <c r="AZ43" i="20" s="1"/>
  <c r="AZ44" i="20" s="1"/>
  <c r="AZ45" i="20" s="1"/>
  <c r="AZ46" i="20" s="1"/>
  <c r="AZ47" i="20" s="1"/>
  <c r="AZ48" i="20" s="1"/>
  <c r="AZ49" i="20" s="1"/>
  <c r="AZ50" i="20" s="1"/>
  <c r="AZ51" i="20" s="1"/>
  <c r="AZ52" i="20" s="1"/>
  <c r="AZ53" i="20" s="1"/>
  <c r="AZ54" i="20" s="1"/>
  <c r="AZ55" i="20" s="1"/>
  <c r="AZ56" i="20" s="1"/>
  <c r="AZ57" i="20" s="1"/>
  <c r="AZ58" i="20" s="1"/>
  <c r="AZ59" i="20" s="1"/>
  <c r="AZ60" i="20" s="1"/>
  <c r="AZ61" i="20" s="1"/>
  <c r="AZ62" i="20" s="1"/>
  <c r="AD28" i="20"/>
  <c r="S66" i="20"/>
  <c r="O66" i="20"/>
  <c r="Q66" i="20"/>
  <c r="C29" i="20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AB28" i="20"/>
  <c r="G60" i="20"/>
  <c r="AD60" i="20" s="1"/>
  <c r="G56" i="20"/>
  <c r="AD56" i="20" s="1"/>
  <c r="G52" i="20"/>
  <c r="AD52" i="20" s="1"/>
  <c r="G61" i="20"/>
  <c r="AD61" i="20" s="1"/>
  <c r="G58" i="20"/>
  <c r="AD58" i="20" s="1"/>
  <c r="G55" i="20"/>
  <c r="AD55" i="20" s="1"/>
  <c r="G50" i="20"/>
  <c r="AD50" i="20" s="1"/>
  <c r="G62" i="20"/>
  <c r="AD62" i="20" s="1"/>
  <c r="G48" i="20"/>
  <c r="AD48" i="20" s="1"/>
  <c r="G45" i="20"/>
  <c r="AD45" i="20" s="1"/>
  <c r="G41" i="20"/>
  <c r="AD41" i="20" s="1"/>
  <c r="G37" i="20"/>
  <c r="AD37" i="20" s="1"/>
  <c r="G33" i="20"/>
  <c r="AD33" i="20" s="1"/>
  <c r="G57" i="20"/>
  <c r="AD57" i="20" s="1"/>
  <c r="G49" i="20"/>
  <c r="AD49" i="20" s="1"/>
  <c r="G44" i="20"/>
  <c r="AD44" i="20" s="1"/>
  <c r="G59" i="20"/>
  <c r="AD59" i="20" s="1"/>
  <c r="G53" i="20"/>
  <c r="AD53" i="20" s="1"/>
  <c r="G42" i="20"/>
  <c r="AD42" i="20" s="1"/>
  <c r="G39" i="20"/>
  <c r="AD39" i="20" s="1"/>
  <c r="G36" i="20"/>
  <c r="AD36" i="20" s="1"/>
  <c r="G47" i="20"/>
  <c r="AD47" i="20" s="1"/>
  <c r="G38" i="20"/>
  <c r="AD38" i="20" s="1"/>
  <c r="G34" i="20"/>
  <c r="AD34" i="20" s="1"/>
  <c r="G32" i="20"/>
  <c r="AD32" i="20" s="1"/>
  <c r="G30" i="20"/>
  <c r="AD30" i="20" s="1"/>
  <c r="G54" i="20"/>
  <c r="AD54" i="20" s="1"/>
  <c r="G51" i="20"/>
  <c r="AD51" i="20" s="1"/>
  <c r="G46" i="20"/>
  <c r="AD46" i="20" s="1"/>
  <c r="G43" i="20"/>
  <c r="AD43" i="20" s="1"/>
  <c r="G40" i="20"/>
  <c r="AD40" i="20" s="1"/>
  <c r="G35" i="20"/>
  <c r="AD35" i="20" s="1"/>
  <c r="G31" i="20"/>
  <c r="AD31" i="20" s="1"/>
  <c r="E30" i="20"/>
  <c r="E31" i="20" s="1"/>
  <c r="E32" i="20" s="1"/>
  <c r="E33" i="20" s="1"/>
  <c r="E34" i="20" s="1"/>
  <c r="E35" i="20" s="1"/>
  <c r="E36" i="20" s="1"/>
  <c r="E37" i="20" s="1"/>
  <c r="E38" i="20" s="1"/>
  <c r="E39" i="20" s="1"/>
  <c r="E40" i="20" s="1"/>
  <c r="E41" i="20" s="1"/>
  <c r="E42" i="20" s="1"/>
  <c r="E43" i="20" s="1"/>
  <c r="E44" i="20" s="1"/>
  <c r="E45" i="20" s="1"/>
  <c r="E46" i="20" s="1"/>
  <c r="E47" i="20" s="1"/>
  <c r="E48" i="20" s="1"/>
  <c r="E49" i="20" s="1"/>
  <c r="E50" i="20" s="1"/>
  <c r="E51" i="20" s="1"/>
  <c r="E52" i="20" s="1"/>
  <c r="E53" i="20" s="1"/>
  <c r="E54" i="20" s="1"/>
  <c r="E55" i="20" s="1"/>
  <c r="E56" i="20" s="1"/>
  <c r="E57" i="20" s="1"/>
  <c r="E58" i="20" s="1"/>
  <c r="E59" i="20" s="1"/>
  <c r="E60" i="20" s="1"/>
  <c r="E61" i="20" s="1"/>
  <c r="E62" i="20" s="1"/>
  <c r="M29" i="20"/>
  <c r="C66" i="20"/>
  <c r="BB60" i="24" l="1"/>
  <c r="BF60" i="24" s="1"/>
  <c r="AL68" i="70"/>
  <c r="AH70" i="63"/>
  <c r="AL68" i="63"/>
  <c r="BF28" i="69"/>
  <c r="BD29" i="69"/>
  <c r="AH70" i="60"/>
  <c r="AL68" i="60"/>
  <c r="AR70" i="74"/>
  <c r="BD29" i="70"/>
  <c r="BF28" i="70"/>
  <c r="AT28" i="70" s="1"/>
  <c r="AH70" i="74"/>
  <c r="AL68" i="74"/>
  <c r="AH70" i="62"/>
  <c r="AL68" i="62"/>
  <c r="AH70" i="61"/>
  <c r="AL68" i="61"/>
  <c r="AH70" i="59"/>
  <c r="AL68" i="59"/>
  <c r="AH72" i="31"/>
  <c r="AH73" i="30"/>
  <c r="BD29" i="42"/>
  <c r="BF28" i="42"/>
  <c r="BD29" i="43"/>
  <c r="BF28" i="43"/>
  <c r="BB30" i="20"/>
  <c r="BB29" i="20" s="1"/>
  <c r="BB28" i="20" s="1"/>
  <c r="AF61" i="24"/>
  <c r="AL61" i="24" s="1"/>
  <c r="BB61" i="24"/>
  <c r="BF61" i="24" s="1"/>
  <c r="AT59" i="24"/>
  <c r="AD66" i="20"/>
  <c r="G66" i="20"/>
  <c r="M30" i="20"/>
  <c r="M31" i="20" s="1"/>
  <c r="M32" i="20" s="1"/>
  <c r="M33" i="20" s="1"/>
  <c r="M34" i="20" s="1"/>
  <c r="M35" i="20" s="1"/>
  <c r="M36" i="20" s="1"/>
  <c r="M37" i="20" s="1"/>
  <c r="M38" i="20" s="1"/>
  <c r="M39" i="20" s="1"/>
  <c r="M40" i="20" s="1"/>
  <c r="M41" i="20" s="1"/>
  <c r="M42" i="20" s="1"/>
  <c r="M43" i="20" s="1"/>
  <c r="M44" i="20" s="1"/>
  <c r="M45" i="20" s="1"/>
  <c r="M46" i="20" s="1"/>
  <c r="M47" i="20" s="1"/>
  <c r="M48" i="20" s="1"/>
  <c r="M49" i="20" s="1"/>
  <c r="M50" i="20" s="1"/>
  <c r="M51" i="20" s="1"/>
  <c r="M52" i="20" s="1"/>
  <c r="M53" i="20" s="1"/>
  <c r="M54" i="20" s="1"/>
  <c r="M55" i="20" s="1"/>
  <c r="M56" i="20" s="1"/>
  <c r="M57" i="20" s="1"/>
  <c r="M58" i="20" s="1"/>
  <c r="M59" i="20" s="1"/>
  <c r="M60" i="20" s="1"/>
  <c r="M61" i="20" s="1"/>
  <c r="M62" i="20" s="1"/>
  <c r="AB29" i="20"/>
  <c r="K30" i="20"/>
  <c r="AL70" i="60" l="1"/>
  <c r="AT68" i="60"/>
  <c r="AT70" i="60" s="1"/>
  <c r="AT68" i="74"/>
  <c r="AL70" i="74"/>
  <c r="AL70" i="59"/>
  <c r="AT68" i="59"/>
  <c r="AT70" i="59" s="1"/>
  <c r="AL70" i="62"/>
  <c r="AT68" i="62"/>
  <c r="AT70" i="62" s="1"/>
  <c r="AT68" i="63"/>
  <c r="AT70" i="63" s="1"/>
  <c r="AL70" i="63"/>
  <c r="AT68" i="61"/>
  <c r="AT70" i="61" s="1"/>
  <c r="AL70" i="61"/>
  <c r="BD30" i="70"/>
  <c r="BF29" i="70"/>
  <c r="AT29" i="70" s="1"/>
  <c r="BD30" i="69"/>
  <c r="BF29" i="69"/>
  <c r="BD30" i="43"/>
  <c r="BF29" i="43"/>
  <c r="BD30" i="42"/>
  <c r="BF29" i="42"/>
  <c r="AF62" i="24"/>
  <c r="AT60" i="24"/>
  <c r="BB62" i="24"/>
  <c r="K31" i="20"/>
  <c r="K32" i="20" s="1"/>
  <c r="K33" i="20" s="1"/>
  <c r="K34" i="20" s="1"/>
  <c r="K35" i="20" s="1"/>
  <c r="K36" i="20" s="1"/>
  <c r="K37" i="20" s="1"/>
  <c r="K38" i="20" s="1"/>
  <c r="K39" i="20" s="1"/>
  <c r="K40" i="20" s="1"/>
  <c r="K41" i="20" s="1"/>
  <c r="K42" i="20" s="1"/>
  <c r="K43" i="20" s="1"/>
  <c r="K44" i="20" s="1"/>
  <c r="K45" i="20" s="1"/>
  <c r="K46" i="20" s="1"/>
  <c r="K47" i="20" s="1"/>
  <c r="K48" i="20" s="1"/>
  <c r="K49" i="20" s="1"/>
  <c r="K50" i="20" s="1"/>
  <c r="K51" i="20" s="1"/>
  <c r="K52" i="20" s="1"/>
  <c r="K53" i="20" s="1"/>
  <c r="K54" i="20" s="1"/>
  <c r="K55" i="20" s="1"/>
  <c r="K56" i="20" s="1"/>
  <c r="K57" i="20" s="1"/>
  <c r="K58" i="20" s="1"/>
  <c r="K59" i="20" s="1"/>
  <c r="K60" i="20" s="1"/>
  <c r="K61" i="20" s="1"/>
  <c r="K62" i="20" s="1"/>
  <c r="AB30" i="20"/>
  <c r="M66" i="20"/>
  <c r="BD31" i="70" l="1"/>
  <c r="BF30" i="70"/>
  <c r="AT30" i="70" s="1"/>
  <c r="BD31" i="69"/>
  <c r="BF30" i="69"/>
  <c r="AT70" i="74"/>
  <c r="BD31" i="42"/>
  <c r="BF30" i="42"/>
  <c r="BD31" i="43"/>
  <c r="BF30" i="43"/>
  <c r="BB63" i="24"/>
  <c r="BF63" i="24" s="1"/>
  <c r="BF62" i="24"/>
  <c r="AF63" i="24"/>
  <c r="AL63" i="24" s="1"/>
  <c r="AL62" i="24"/>
  <c r="AT61" i="24"/>
  <c r="AF66" i="24"/>
  <c r="AL66" i="24" s="1"/>
  <c r="BB66" i="24"/>
  <c r="BF66" i="24" s="1"/>
  <c r="K66" i="20"/>
  <c r="AB31" i="20"/>
  <c r="BB32" i="20"/>
  <c r="BD32" i="69" l="1"/>
  <c r="BF31" i="69"/>
  <c r="BD32" i="70"/>
  <c r="BF31" i="70"/>
  <c r="AT31" i="70" s="1"/>
  <c r="BD32" i="42"/>
  <c r="BF31" i="42"/>
  <c r="BD32" i="43"/>
  <c r="BF31" i="43"/>
  <c r="BB64" i="24"/>
  <c r="BF64" i="24" s="1"/>
  <c r="AF64" i="24"/>
  <c r="AL64" i="24" s="1"/>
  <c r="AT63" i="24"/>
  <c r="AT62" i="24"/>
  <c r="BB67" i="24"/>
  <c r="BF67" i="24" s="1"/>
  <c r="AF67" i="24"/>
  <c r="AL67" i="24" s="1"/>
  <c r="BB33" i="20"/>
  <c r="AB32" i="20"/>
  <c r="BD33" i="70" l="1"/>
  <c r="BF32" i="70"/>
  <c r="AT32" i="70" s="1"/>
  <c r="BD33" i="69"/>
  <c r="BF32" i="69"/>
  <c r="BD33" i="43"/>
  <c r="BF32" i="43"/>
  <c r="BD33" i="42"/>
  <c r="BF32" i="42"/>
  <c r="AT64" i="24"/>
  <c r="BB68" i="24"/>
  <c r="AF68" i="24"/>
  <c r="AT66" i="24"/>
  <c r="AB33" i="20"/>
  <c r="BB34" i="20"/>
  <c r="BD34" i="69" l="1"/>
  <c r="BF33" i="69"/>
  <c r="BD34" i="70"/>
  <c r="BF33" i="70"/>
  <c r="AT33" i="70" s="1"/>
  <c r="BD34" i="42"/>
  <c r="BF33" i="42"/>
  <c r="BD34" i="43"/>
  <c r="BF33" i="43"/>
  <c r="AF71" i="24"/>
  <c r="AL68" i="24"/>
  <c r="AL71" i="24" s="1"/>
  <c r="BB71" i="24"/>
  <c r="BF68" i="24"/>
  <c r="BF71" i="24" s="1"/>
  <c r="AT67" i="24"/>
  <c r="BB35" i="20"/>
  <c r="AB34" i="20"/>
  <c r="BD35" i="69" l="1"/>
  <c r="BF34" i="69"/>
  <c r="BD35" i="70"/>
  <c r="BF34" i="70"/>
  <c r="AT34" i="70" s="1"/>
  <c r="BD35" i="43"/>
  <c r="BF34" i="43"/>
  <c r="BD35" i="42"/>
  <c r="BF34" i="42"/>
  <c r="AT68" i="24"/>
  <c r="AT71" i="24" s="1"/>
  <c r="AB35" i="20"/>
  <c r="BB36" i="20"/>
  <c r="BD36" i="69" l="1"/>
  <c r="BF35" i="69"/>
  <c r="BD36" i="70"/>
  <c r="BF35" i="70"/>
  <c r="AT35" i="70" s="1"/>
  <c r="BD36" i="42"/>
  <c r="BF35" i="42"/>
  <c r="BD36" i="43"/>
  <c r="BF35" i="43"/>
  <c r="BB37" i="20"/>
  <c r="AB36" i="20"/>
  <c r="BD37" i="70" l="1"/>
  <c r="BF36" i="70"/>
  <c r="AT36" i="70" s="1"/>
  <c r="BD37" i="69"/>
  <c r="BF36" i="69"/>
  <c r="BD37" i="43"/>
  <c r="BF36" i="43"/>
  <c r="BD37" i="42"/>
  <c r="BF36" i="42"/>
  <c r="AB37" i="20"/>
  <c r="BB38" i="20"/>
  <c r="BD38" i="69" l="1"/>
  <c r="BF37" i="69"/>
  <c r="BD38" i="70"/>
  <c r="BF37" i="70"/>
  <c r="AT37" i="70" s="1"/>
  <c r="BD38" i="43"/>
  <c r="BF37" i="43"/>
  <c r="BD38" i="42"/>
  <c r="BF37" i="42"/>
  <c r="BB39" i="20"/>
  <c r="AB38" i="20"/>
  <c r="BD39" i="70" l="1"/>
  <c r="BF38" i="70"/>
  <c r="AT38" i="70" s="1"/>
  <c r="BD39" i="69"/>
  <c r="BF38" i="69"/>
  <c r="BD39" i="42"/>
  <c r="BF38" i="42"/>
  <c r="BD39" i="43"/>
  <c r="BF38" i="43"/>
  <c r="BB40" i="20"/>
  <c r="AB39" i="20"/>
  <c r="BD40" i="69" l="1"/>
  <c r="BF39" i="69"/>
  <c r="BD40" i="70"/>
  <c r="BF39" i="70"/>
  <c r="AT39" i="70" s="1"/>
  <c r="BD40" i="43"/>
  <c r="BF39" i="43"/>
  <c r="BD40" i="42"/>
  <c r="BF39" i="42"/>
  <c r="AB40" i="20"/>
  <c r="BB41" i="20"/>
  <c r="BD41" i="70" l="1"/>
  <c r="BF40" i="70"/>
  <c r="AT40" i="70" s="1"/>
  <c r="BD41" i="69"/>
  <c r="BF40" i="69"/>
  <c r="BD41" i="43"/>
  <c r="BF40" i="43"/>
  <c r="BD41" i="42"/>
  <c r="BF40" i="42"/>
  <c r="BB42" i="20"/>
  <c r="AB41" i="20"/>
  <c r="BD42" i="70" l="1"/>
  <c r="BF41" i="70"/>
  <c r="AT41" i="70" s="1"/>
  <c r="BD42" i="69"/>
  <c r="BF41" i="69"/>
  <c r="BD42" i="42"/>
  <c r="BF41" i="42"/>
  <c r="BD42" i="43"/>
  <c r="BF41" i="43"/>
  <c r="BB43" i="20"/>
  <c r="AB42" i="20"/>
  <c r="BD43" i="69" l="1"/>
  <c r="BF42" i="69"/>
  <c r="BD43" i="70"/>
  <c r="BF42" i="70"/>
  <c r="AT42" i="70" s="1"/>
  <c r="BD43" i="43"/>
  <c r="BF42" i="43"/>
  <c r="BD43" i="42"/>
  <c r="BF42" i="42"/>
  <c r="AB43" i="20"/>
  <c r="BB44" i="20"/>
  <c r="BD44" i="69" l="1"/>
  <c r="BF43" i="69"/>
  <c r="BD44" i="70"/>
  <c r="BF43" i="70"/>
  <c r="AT43" i="70" s="1"/>
  <c r="BD44" i="43"/>
  <c r="BF43" i="43"/>
  <c r="BD44" i="42"/>
  <c r="BF43" i="42"/>
  <c r="AB44" i="20"/>
  <c r="BB45" i="20"/>
  <c r="BD45" i="70" l="1"/>
  <c r="BF44" i="70"/>
  <c r="AT44" i="70" s="1"/>
  <c r="BD45" i="69"/>
  <c r="BF44" i="69"/>
  <c r="BD45" i="42"/>
  <c r="BF44" i="42"/>
  <c r="BD45" i="43"/>
  <c r="BF44" i="43"/>
  <c r="AB45" i="20"/>
  <c r="BB46" i="20"/>
  <c r="BD46" i="70" l="1"/>
  <c r="BF45" i="70"/>
  <c r="AT45" i="70" s="1"/>
  <c r="BD46" i="69"/>
  <c r="BF45" i="69"/>
  <c r="BD46" i="43"/>
  <c r="BF45" i="43"/>
  <c r="BD46" i="42"/>
  <c r="BF45" i="42"/>
  <c r="AB46" i="20"/>
  <c r="BB47" i="20"/>
  <c r="BD47" i="69" l="1"/>
  <c r="BF46" i="69"/>
  <c r="BD47" i="70"/>
  <c r="BF46" i="70"/>
  <c r="AT46" i="70" s="1"/>
  <c r="BD47" i="43"/>
  <c r="BF46" i="43"/>
  <c r="BD47" i="42"/>
  <c r="BF46" i="42"/>
  <c r="AB47" i="20"/>
  <c r="BB48" i="20"/>
  <c r="BD48" i="70" l="1"/>
  <c r="BF47" i="70"/>
  <c r="AT47" i="70" s="1"/>
  <c r="BD48" i="69"/>
  <c r="BF47" i="69"/>
  <c r="BD58" i="42"/>
  <c r="BF47" i="42"/>
  <c r="BF47" i="43"/>
  <c r="BD58" i="43"/>
  <c r="AB48" i="20"/>
  <c r="BB49" i="20"/>
  <c r="BD49" i="70" l="1"/>
  <c r="BF48" i="70"/>
  <c r="AT48" i="70" s="1"/>
  <c r="BD49" i="69"/>
  <c r="BF48" i="69"/>
  <c r="BF58" i="42"/>
  <c r="BF58" i="43"/>
  <c r="BB50" i="20"/>
  <c r="AB49" i="20"/>
  <c r="BD50" i="69" l="1"/>
  <c r="BF49" i="69"/>
  <c r="BD50" i="70"/>
  <c r="BF49" i="70"/>
  <c r="AT49" i="70" s="1"/>
  <c r="BB51" i="20"/>
  <c r="AB50" i="20"/>
  <c r="BD51" i="70" l="1"/>
  <c r="BF50" i="70"/>
  <c r="AT50" i="70" s="1"/>
  <c r="BD51" i="69"/>
  <c r="BF50" i="69"/>
  <c r="AB51" i="20"/>
  <c r="BB52" i="20"/>
  <c r="BD52" i="70" l="1"/>
  <c r="BF51" i="70"/>
  <c r="AT51" i="70" s="1"/>
  <c r="BD52" i="69"/>
  <c r="BF51" i="69"/>
  <c r="BB53" i="20"/>
  <c r="AB52" i="20"/>
  <c r="BD53" i="69" l="1"/>
  <c r="BF52" i="69"/>
  <c r="BD53" i="70"/>
  <c r="BF52" i="70"/>
  <c r="AT52" i="70" s="1"/>
  <c r="AB53" i="20"/>
  <c r="BB54" i="20"/>
  <c r="BD54" i="70" l="1"/>
  <c r="BF53" i="70"/>
  <c r="AT53" i="70" s="1"/>
  <c r="BF53" i="69"/>
  <c r="BF64" i="69" s="1"/>
  <c r="BD64" i="69"/>
  <c r="BB55" i="20"/>
  <c r="AB54" i="20"/>
  <c r="BD55" i="70" l="1"/>
  <c r="BF54" i="70"/>
  <c r="AT54" i="70" s="1"/>
  <c r="AB55" i="20"/>
  <c r="BB56" i="20"/>
  <c r="BD56" i="70" l="1"/>
  <c r="BF55" i="70"/>
  <c r="AT55" i="70" s="1"/>
  <c r="AB56" i="20"/>
  <c r="BB57" i="20"/>
  <c r="BD57" i="70" l="1"/>
  <c r="BF56" i="70"/>
  <c r="AT56" i="70" s="1"/>
  <c r="BB58" i="20"/>
  <c r="AB57" i="20"/>
  <c r="BF57" i="70" l="1"/>
  <c r="BD68" i="70"/>
  <c r="AB58" i="20"/>
  <c r="BB59" i="20"/>
  <c r="BF68" i="70" l="1"/>
  <c r="AT57" i="70"/>
  <c r="AT68" i="70" s="1"/>
  <c r="AB59" i="20"/>
  <c r="BB60" i="20"/>
  <c r="BB61" i="20" l="1"/>
  <c r="AB60" i="20"/>
  <c r="AB61" i="20" l="1"/>
  <c r="BB62" i="20"/>
  <c r="BB66" i="20" l="1"/>
  <c r="AB62" i="20"/>
  <c r="I28" i="20" l="1"/>
  <c r="I29" i="20" l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I46" i="20" s="1"/>
  <c r="I47" i="20" s="1"/>
  <c r="I48" i="20" s="1"/>
  <c r="I49" i="20" s="1"/>
  <c r="I50" i="20" s="1"/>
  <c r="I51" i="20" s="1"/>
  <c r="I52" i="20" s="1"/>
  <c r="I53" i="20" s="1"/>
  <c r="I54" i="20" s="1"/>
  <c r="I55" i="20" s="1"/>
  <c r="I56" i="20" s="1"/>
  <c r="I57" i="20" s="1"/>
  <c r="I58" i="20" s="1"/>
  <c r="I59" i="20" s="1"/>
  <c r="I60" i="20" s="1"/>
  <c r="I61" i="20" s="1"/>
  <c r="I62" i="20" s="1"/>
  <c r="I66" i="20" l="1"/>
  <c r="E28" i="19" l="1"/>
  <c r="BD15" i="19"/>
  <c r="BD14" i="19"/>
  <c r="DA52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K187" i="5"/>
  <c r="BK188" i="5"/>
  <c r="BK189" i="5"/>
  <c r="BK190" i="5"/>
  <c r="BK191" i="5"/>
  <c r="BK192" i="5"/>
  <c r="BK193" i="5"/>
  <c r="BK194" i="5"/>
  <c r="BK195" i="5"/>
  <c r="BK196" i="5"/>
  <c r="BK197" i="5"/>
  <c r="BK198" i="5"/>
  <c r="BK199" i="5"/>
  <c r="BK200" i="5"/>
  <c r="BK201" i="5"/>
  <c r="BK202" i="5"/>
  <c r="BK203" i="5"/>
  <c r="BK204" i="5"/>
  <c r="BK205" i="5"/>
  <c r="BK206" i="5"/>
  <c r="BK207" i="5"/>
  <c r="BK208" i="5"/>
  <c r="BK209" i="5"/>
  <c r="BK210" i="5"/>
  <c r="BK211" i="5"/>
  <c r="BK212" i="5"/>
  <c r="BK213" i="5"/>
  <c r="BK214" i="5"/>
  <c r="BK215" i="5"/>
  <c r="BK216" i="5"/>
  <c r="BK217" i="5"/>
  <c r="BK218" i="5"/>
  <c r="BK219" i="5"/>
  <c r="BK220" i="5"/>
  <c r="BK221" i="5"/>
  <c r="BK222" i="5"/>
  <c r="BK223" i="5"/>
  <c r="BK224" i="5"/>
  <c r="BK225" i="5"/>
  <c r="BK226" i="5"/>
  <c r="BK227" i="5"/>
  <c r="BK228" i="5"/>
  <c r="BK229" i="5"/>
  <c r="BK230" i="5"/>
  <c r="BK231" i="5"/>
  <c r="BK232" i="5"/>
  <c r="BK233" i="5"/>
  <c r="BK234" i="5"/>
  <c r="BK235" i="5"/>
  <c r="BK236" i="5"/>
  <c r="BK237" i="5"/>
  <c r="BK238" i="5"/>
  <c r="BK239" i="5"/>
  <c r="BK240" i="5"/>
  <c r="BK241" i="5"/>
  <c r="BK242" i="5"/>
  <c r="BK243" i="5"/>
  <c r="BK244" i="5"/>
  <c r="BK245" i="5"/>
  <c r="BK246" i="5"/>
  <c r="BK247" i="5"/>
  <c r="BK248" i="5"/>
  <c r="BK249" i="5"/>
  <c r="BK250" i="5"/>
  <c r="BK251" i="5"/>
  <c r="BK252" i="5"/>
  <c r="BK253" i="5"/>
  <c r="BK254" i="5"/>
  <c r="BK255" i="5"/>
  <c r="BK256" i="5"/>
  <c r="BK257" i="5"/>
  <c r="BK258" i="5"/>
  <c r="BK259" i="5"/>
  <c r="BK260" i="5"/>
  <c r="BK261" i="5"/>
  <c r="BK262" i="5"/>
  <c r="BK263" i="5"/>
  <c r="BK264" i="5"/>
  <c r="BK265" i="5"/>
  <c r="BK266" i="5"/>
  <c r="BK267" i="5"/>
  <c r="BK268" i="5"/>
  <c r="BK269" i="5"/>
  <c r="BK270" i="5"/>
  <c r="BK271" i="5"/>
  <c r="BK272" i="5"/>
  <c r="BK273" i="5"/>
  <c r="BK274" i="5"/>
  <c r="BK275" i="5"/>
  <c r="BK276" i="5"/>
  <c r="BK277" i="5"/>
  <c r="BK278" i="5"/>
  <c r="BK279" i="5"/>
  <c r="BK280" i="5"/>
  <c r="BK281" i="5"/>
  <c r="BK282" i="5"/>
  <c r="BK283" i="5"/>
  <c r="BK284" i="5"/>
  <c r="BK285" i="5"/>
  <c r="BK286" i="5"/>
  <c r="BK287" i="5"/>
  <c r="BK288" i="5"/>
  <c r="BK289" i="5"/>
  <c r="BK290" i="5"/>
  <c r="BK291" i="5"/>
  <c r="BK292" i="5"/>
  <c r="BK293" i="5"/>
  <c r="BK294" i="5"/>
  <c r="BK295" i="5"/>
  <c r="BK296" i="5"/>
  <c r="BK297" i="5"/>
  <c r="BK298" i="5"/>
  <c r="BK299" i="5"/>
  <c r="BK300" i="5"/>
  <c r="BK301" i="5"/>
  <c r="BK302" i="5"/>
  <c r="BK303" i="5"/>
  <c r="BK304" i="5"/>
  <c r="BK305" i="5"/>
  <c r="BK306" i="5"/>
  <c r="BK307" i="5"/>
  <c r="BK308" i="5"/>
  <c r="BK309" i="5"/>
  <c r="BK310" i="5"/>
  <c r="BK311" i="5"/>
  <c r="BK312" i="5"/>
  <c r="BK313" i="5"/>
  <c r="BK314" i="5"/>
  <c r="BK315" i="5"/>
  <c r="BK316" i="5"/>
  <c r="BK317" i="5"/>
  <c r="BK318" i="5"/>
  <c r="BK319" i="5"/>
  <c r="BK320" i="5"/>
  <c r="BK321" i="5"/>
  <c r="BK322" i="5"/>
  <c r="BK323" i="5"/>
  <c r="BK324" i="5"/>
  <c r="BK325" i="5"/>
  <c r="BK326" i="5"/>
  <c r="BK327" i="5"/>
  <c r="BK328" i="5"/>
  <c r="BK329" i="5"/>
  <c r="BK330" i="5"/>
  <c r="BK331" i="5"/>
  <c r="BK332" i="5"/>
  <c r="BK333" i="5"/>
  <c r="BK334" i="5"/>
  <c r="BK335" i="5"/>
  <c r="BK336" i="5"/>
  <c r="BK337" i="5"/>
  <c r="BK338" i="5"/>
  <c r="BK339" i="5"/>
  <c r="BK340" i="5"/>
  <c r="BK341" i="5"/>
  <c r="BK342" i="5"/>
  <c r="BK343" i="5"/>
  <c r="BK344" i="5"/>
  <c r="BK345" i="5"/>
  <c r="BK346" i="5"/>
  <c r="BK347" i="5"/>
  <c r="BK348" i="5"/>
  <c r="BK349" i="5"/>
  <c r="BK350" i="5"/>
  <c r="BK351" i="5"/>
  <c r="BK352" i="5"/>
  <c r="BK353" i="5"/>
  <c r="BK354" i="5"/>
  <c r="BK355" i="5"/>
  <c r="BK356" i="5"/>
  <c r="BK357" i="5"/>
  <c r="BK358" i="5"/>
  <c r="BK359" i="5"/>
  <c r="BK360" i="5"/>
  <c r="BK361" i="5"/>
  <c r="BK362" i="5"/>
  <c r="BK363" i="5"/>
  <c r="BK364" i="5"/>
  <c r="BK365" i="5"/>
  <c r="BK366" i="5"/>
  <c r="BK367" i="5"/>
  <c r="BK368" i="5"/>
  <c r="BK369" i="5"/>
  <c r="BK370" i="5"/>
  <c r="BK371" i="5"/>
  <c r="BK372" i="5"/>
  <c r="BK373" i="5"/>
  <c r="BK374" i="5"/>
  <c r="BK375" i="5"/>
  <c r="BK376" i="5"/>
  <c r="BK377" i="5"/>
  <c r="BK17" i="5"/>
  <c r="E29" i="19" l="1"/>
  <c r="E30" i="19" s="1"/>
  <c r="E31" i="19" s="1"/>
  <c r="E32" i="19" s="1"/>
  <c r="E33" i="19" s="1"/>
  <c r="E34" i="19" s="1"/>
  <c r="E35" i="19" s="1"/>
  <c r="E36" i="19" s="1"/>
  <c r="E37" i="19" s="1"/>
  <c r="E38" i="19" s="1"/>
  <c r="E39" i="19" s="1"/>
  <c r="E40" i="19" s="1"/>
  <c r="E41" i="19" s="1"/>
  <c r="E42" i="19" s="1"/>
  <c r="E43" i="19" s="1"/>
  <c r="E44" i="19" s="1"/>
  <c r="E45" i="19" s="1"/>
  <c r="E46" i="19" s="1"/>
  <c r="E47" i="19" s="1"/>
  <c r="E48" i="19" s="1"/>
  <c r="E49" i="19" s="1"/>
  <c r="E50" i="19" s="1"/>
  <c r="E51" i="19" s="1"/>
  <c r="E52" i="19" s="1"/>
  <c r="E53" i="19" s="1"/>
  <c r="E54" i="19" s="1"/>
  <c r="E55" i="19" s="1"/>
  <c r="E56" i="19" s="1"/>
  <c r="E57" i="19" s="1"/>
  <c r="E58" i="19" s="1"/>
  <c r="E59" i="19" s="1"/>
  <c r="E60" i="19" s="1"/>
  <c r="E61" i="19" s="1"/>
  <c r="E62" i="19" s="1"/>
  <c r="BB28" i="19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I187" i="5"/>
  <c r="BI188" i="5"/>
  <c r="BI189" i="5"/>
  <c r="BI190" i="5"/>
  <c r="BI191" i="5"/>
  <c r="BI192" i="5"/>
  <c r="BI193" i="5"/>
  <c r="BI194" i="5"/>
  <c r="BI195" i="5"/>
  <c r="BI196" i="5"/>
  <c r="BI197" i="5"/>
  <c r="BI198" i="5"/>
  <c r="BI199" i="5"/>
  <c r="BI200" i="5"/>
  <c r="BI201" i="5"/>
  <c r="BI202" i="5"/>
  <c r="BI203" i="5"/>
  <c r="BI204" i="5"/>
  <c r="BI205" i="5"/>
  <c r="BI206" i="5"/>
  <c r="BI207" i="5"/>
  <c r="BI208" i="5"/>
  <c r="BI209" i="5"/>
  <c r="BI210" i="5"/>
  <c r="BI211" i="5"/>
  <c r="BI212" i="5"/>
  <c r="BI213" i="5"/>
  <c r="BI214" i="5"/>
  <c r="BI215" i="5"/>
  <c r="BI216" i="5"/>
  <c r="BI217" i="5"/>
  <c r="BI218" i="5"/>
  <c r="BI219" i="5"/>
  <c r="BI220" i="5"/>
  <c r="BI221" i="5"/>
  <c r="BI222" i="5"/>
  <c r="BI223" i="5"/>
  <c r="BI224" i="5"/>
  <c r="BI225" i="5"/>
  <c r="BI226" i="5"/>
  <c r="BI227" i="5"/>
  <c r="BI228" i="5"/>
  <c r="BI229" i="5"/>
  <c r="BI230" i="5"/>
  <c r="BI231" i="5"/>
  <c r="BI232" i="5"/>
  <c r="BI233" i="5"/>
  <c r="BI234" i="5"/>
  <c r="BI235" i="5"/>
  <c r="BI236" i="5"/>
  <c r="BI237" i="5"/>
  <c r="BI238" i="5"/>
  <c r="BI239" i="5"/>
  <c r="BI240" i="5"/>
  <c r="BI241" i="5"/>
  <c r="BI242" i="5"/>
  <c r="BI243" i="5"/>
  <c r="BI244" i="5"/>
  <c r="BI245" i="5"/>
  <c r="BI246" i="5"/>
  <c r="BI247" i="5"/>
  <c r="BI248" i="5"/>
  <c r="BI249" i="5"/>
  <c r="BI250" i="5"/>
  <c r="BI251" i="5"/>
  <c r="BI252" i="5"/>
  <c r="BI253" i="5"/>
  <c r="BI254" i="5"/>
  <c r="BI255" i="5"/>
  <c r="BI256" i="5"/>
  <c r="BI257" i="5"/>
  <c r="BI258" i="5"/>
  <c r="BI259" i="5"/>
  <c r="BI260" i="5"/>
  <c r="BI261" i="5"/>
  <c r="BI262" i="5"/>
  <c r="BI263" i="5"/>
  <c r="BI264" i="5"/>
  <c r="BI265" i="5"/>
  <c r="BI266" i="5"/>
  <c r="BI267" i="5"/>
  <c r="BI268" i="5"/>
  <c r="BI269" i="5"/>
  <c r="BI270" i="5"/>
  <c r="BI271" i="5"/>
  <c r="BI272" i="5"/>
  <c r="BI273" i="5"/>
  <c r="BI274" i="5"/>
  <c r="BI275" i="5"/>
  <c r="BI276" i="5"/>
  <c r="BI277" i="5"/>
  <c r="BI278" i="5"/>
  <c r="BI279" i="5"/>
  <c r="BI280" i="5"/>
  <c r="BI281" i="5"/>
  <c r="BI282" i="5"/>
  <c r="BI283" i="5"/>
  <c r="BI284" i="5"/>
  <c r="BI285" i="5"/>
  <c r="BI286" i="5"/>
  <c r="BI287" i="5"/>
  <c r="BI288" i="5"/>
  <c r="BI289" i="5"/>
  <c r="BI290" i="5"/>
  <c r="BI291" i="5"/>
  <c r="BI292" i="5"/>
  <c r="BI293" i="5"/>
  <c r="BI294" i="5"/>
  <c r="BI295" i="5"/>
  <c r="BI296" i="5"/>
  <c r="BI297" i="5"/>
  <c r="BI298" i="5"/>
  <c r="BI299" i="5"/>
  <c r="BI300" i="5"/>
  <c r="BI301" i="5"/>
  <c r="BI302" i="5"/>
  <c r="BI303" i="5"/>
  <c r="BI304" i="5"/>
  <c r="BI305" i="5"/>
  <c r="BI306" i="5"/>
  <c r="BI307" i="5"/>
  <c r="BI308" i="5"/>
  <c r="BI309" i="5"/>
  <c r="BI310" i="5"/>
  <c r="BI311" i="5"/>
  <c r="BI312" i="5"/>
  <c r="BI313" i="5"/>
  <c r="BI314" i="5"/>
  <c r="BI315" i="5"/>
  <c r="BI316" i="5"/>
  <c r="BI317" i="5"/>
  <c r="BI318" i="5"/>
  <c r="BI319" i="5"/>
  <c r="BI320" i="5"/>
  <c r="BI321" i="5"/>
  <c r="BI322" i="5"/>
  <c r="BI323" i="5"/>
  <c r="BI324" i="5"/>
  <c r="BI325" i="5"/>
  <c r="BI326" i="5"/>
  <c r="BI327" i="5"/>
  <c r="BI328" i="5"/>
  <c r="BI329" i="5"/>
  <c r="BI330" i="5"/>
  <c r="BI331" i="5"/>
  <c r="BI332" i="5"/>
  <c r="BI333" i="5"/>
  <c r="BI334" i="5"/>
  <c r="BI335" i="5"/>
  <c r="BI336" i="5"/>
  <c r="BI337" i="5"/>
  <c r="BI338" i="5"/>
  <c r="BI339" i="5"/>
  <c r="BI340" i="5"/>
  <c r="BI341" i="5"/>
  <c r="BI342" i="5"/>
  <c r="BI343" i="5"/>
  <c r="BI344" i="5"/>
  <c r="BI345" i="5"/>
  <c r="BI346" i="5"/>
  <c r="BI347" i="5"/>
  <c r="BI348" i="5"/>
  <c r="BI349" i="5"/>
  <c r="BI350" i="5"/>
  <c r="BI351" i="5"/>
  <c r="BI352" i="5"/>
  <c r="BI353" i="5"/>
  <c r="BI354" i="5"/>
  <c r="BI355" i="5"/>
  <c r="BI356" i="5"/>
  <c r="BI357" i="5"/>
  <c r="BI358" i="5"/>
  <c r="BI359" i="5"/>
  <c r="BI360" i="5"/>
  <c r="BI361" i="5"/>
  <c r="BI362" i="5"/>
  <c r="BI363" i="5"/>
  <c r="BI364" i="5"/>
  <c r="BI365" i="5"/>
  <c r="BI366" i="5"/>
  <c r="BI367" i="5"/>
  <c r="BI368" i="5"/>
  <c r="BI369" i="5"/>
  <c r="BI370" i="5"/>
  <c r="BI371" i="5"/>
  <c r="BI372" i="5"/>
  <c r="BI373" i="5"/>
  <c r="BI374" i="5"/>
  <c r="BI375" i="5"/>
  <c r="BI376" i="5"/>
  <c r="BI377" i="5"/>
  <c r="BI17" i="5"/>
  <c r="G24" i="5"/>
  <c r="G23" i="5"/>
  <c r="G22" i="5"/>
  <c r="G21" i="5" l="1"/>
  <c r="G20" i="5" s="1"/>
  <c r="G19" i="5" s="1"/>
  <c r="G18" i="5" s="1"/>
  <c r="G17" i="5" s="1"/>
  <c r="AN31" i="75"/>
  <c r="AN34" i="20"/>
  <c r="AN32" i="75"/>
  <c r="AN32" i="73"/>
  <c r="AN31" i="73" s="1"/>
  <c r="AN30" i="73" s="1"/>
  <c r="AN29" i="73" s="1"/>
  <c r="AN28" i="73" s="1"/>
  <c r="AN35" i="20"/>
  <c r="AN33" i="75"/>
  <c r="AN33" i="73"/>
  <c r="H23" i="5"/>
  <c r="H24" i="5"/>
  <c r="H22" i="5"/>
  <c r="H21" i="5" s="1"/>
  <c r="H20" i="5" s="1"/>
  <c r="H19" i="5" s="1"/>
  <c r="H18" i="5" s="1"/>
  <c r="H17" i="5" s="1"/>
  <c r="AN32" i="20"/>
  <c r="AN31" i="20" s="1"/>
  <c r="AN30" i="20" s="1"/>
  <c r="AN29" i="20" s="1"/>
  <c r="AN28" i="20" s="1"/>
  <c r="AN33" i="20"/>
  <c r="Z107" i="4"/>
  <c r="N121" i="4"/>
  <c r="BB16" i="72" s="1"/>
  <c r="BD28" i="72" s="1"/>
  <c r="M120" i="4"/>
  <c r="L120" i="4"/>
  <c r="D120" i="4"/>
  <c r="AJ16" i="72" s="1"/>
  <c r="AF11" i="72" s="1"/>
  <c r="N119" i="4"/>
  <c r="I119" i="4"/>
  <c r="N118" i="4"/>
  <c r="J120" i="4"/>
  <c r="AF15" i="72" s="1"/>
  <c r="AF28" i="72" s="1"/>
  <c r="I118" i="4"/>
  <c r="AN29" i="21" l="1"/>
  <c r="AN29" i="72"/>
  <c r="AN28" i="21"/>
  <c r="AN28" i="72"/>
  <c r="AN30" i="75"/>
  <c r="BD11" i="72"/>
  <c r="BF28" i="72" s="1"/>
  <c r="AF12" i="72"/>
  <c r="AF29" i="72"/>
  <c r="BD29" i="72"/>
  <c r="BB16" i="21"/>
  <c r="BD28" i="21" s="1"/>
  <c r="AF15" i="21"/>
  <c r="AF28" i="21" s="1"/>
  <c r="AJ16" i="21"/>
  <c r="AF11" i="21" s="1"/>
  <c r="N120" i="4"/>
  <c r="AJ11" i="72" s="1"/>
  <c r="AH28" i="72" s="1"/>
  <c r="AH29" i="72" s="1"/>
  <c r="AH30" i="72" s="1"/>
  <c r="AH31" i="72" s="1"/>
  <c r="AH32" i="72" s="1"/>
  <c r="AH33" i="72" s="1"/>
  <c r="AH34" i="72" s="1"/>
  <c r="AH35" i="72" s="1"/>
  <c r="AH36" i="72" s="1"/>
  <c r="AH37" i="72" s="1"/>
  <c r="AH38" i="72" s="1"/>
  <c r="AH39" i="72" s="1"/>
  <c r="AH40" i="72" s="1"/>
  <c r="AH41" i="72" s="1"/>
  <c r="AH42" i="72" s="1"/>
  <c r="AH43" i="72" s="1"/>
  <c r="AH44" i="72" s="1"/>
  <c r="AH45" i="72" s="1"/>
  <c r="AH46" i="72" s="1"/>
  <c r="AH47" i="72" s="1"/>
  <c r="AH48" i="72" s="1"/>
  <c r="AH50" i="72" s="1"/>
  <c r="H120" i="4"/>
  <c r="AF14" i="72" s="1"/>
  <c r="O120" i="4"/>
  <c r="AJ13" i="72" s="1"/>
  <c r="AJ28" i="72" s="1"/>
  <c r="AJ29" i="72" s="1"/>
  <c r="AJ30" i="72" s="1"/>
  <c r="AJ31" i="72" s="1"/>
  <c r="AJ32" i="72" s="1"/>
  <c r="AJ33" i="72" s="1"/>
  <c r="AJ34" i="72" s="1"/>
  <c r="AJ35" i="72" s="1"/>
  <c r="AJ36" i="72" s="1"/>
  <c r="AJ37" i="72" s="1"/>
  <c r="AJ38" i="72" s="1"/>
  <c r="AJ39" i="72" s="1"/>
  <c r="AJ40" i="72" s="1"/>
  <c r="AJ41" i="72" s="1"/>
  <c r="AJ42" i="72" s="1"/>
  <c r="AJ43" i="72" s="1"/>
  <c r="AJ44" i="72" s="1"/>
  <c r="AJ45" i="72" s="1"/>
  <c r="AJ46" i="72" s="1"/>
  <c r="AJ47" i="72" s="1"/>
  <c r="AJ48" i="72" s="1"/>
  <c r="AJ50" i="72" s="1"/>
  <c r="AL28" i="72" l="1"/>
  <c r="AT28" i="72" s="1"/>
  <c r="AL29" i="72"/>
  <c r="AF30" i="72"/>
  <c r="AP28" i="72"/>
  <c r="AP29" i="72"/>
  <c r="BD30" i="72"/>
  <c r="BF29" i="72"/>
  <c r="AJ13" i="21"/>
  <c r="AJ28" i="21" s="1"/>
  <c r="AJ29" i="21" s="1"/>
  <c r="AJ30" i="21" s="1"/>
  <c r="AJ31" i="21" s="1"/>
  <c r="AJ32" i="21" s="1"/>
  <c r="AJ33" i="21" s="1"/>
  <c r="AJ34" i="21" s="1"/>
  <c r="AJ35" i="21" s="1"/>
  <c r="AJ36" i="21" s="1"/>
  <c r="AJ37" i="21" s="1"/>
  <c r="AJ38" i="21" s="1"/>
  <c r="AJ39" i="21" s="1"/>
  <c r="AJ40" i="21" s="1"/>
  <c r="AJ41" i="21" s="1"/>
  <c r="AJ42" i="21" s="1"/>
  <c r="AJ47" i="21" s="1"/>
  <c r="AF14" i="21"/>
  <c r="AF29" i="21"/>
  <c r="BD11" i="21"/>
  <c r="BF28" i="21" s="1"/>
  <c r="AF12" i="21"/>
  <c r="AJ11" i="21"/>
  <c r="AH28" i="21" s="1"/>
  <c r="AH29" i="21" s="1"/>
  <c r="AH30" i="21" s="1"/>
  <c r="AH31" i="21" s="1"/>
  <c r="AH32" i="21" s="1"/>
  <c r="AH33" i="21" s="1"/>
  <c r="AH34" i="21" s="1"/>
  <c r="AH35" i="21" s="1"/>
  <c r="AH36" i="21" s="1"/>
  <c r="AH37" i="21" s="1"/>
  <c r="AH38" i="21" s="1"/>
  <c r="AH39" i="21" s="1"/>
  <c r="AH40" i="21" s="1"/>
  <c r="AH41" i="21" s="1"/>
  <c r="AH42" i="21" s="1"/>
  <c r="AH47" i="21" s="1"/>
  <c r="BD29" i="21"/>
  <c r="P120" i="4"/>
  <c r="AJ15" i="72" s="1"/>
  <c r="AR28" i="72" s="1"/>
  <c r="AR29" i="72" s="1"/>
  <c r="AR30" i="72" s="1"/>
  <c r="AR31" i="72" s="1"/>
  <c r="AR32" i="72" s="1"/>
  <c r="AR33" i="72" s="1"/>
  <c r="AR34" i="72" s="1"/>
  <c r="AR35" i="72" s="1"/>
  <c r="AR36" i="72" s="1"/>
  <c r="AR37" i="72" s="1"/>
  <c r="AR38" i="72" s="1"/>
  <c r="AR39" i="72" s="1"/>
  <c r="AR40" i="72" s="1"/>
  <c r="AR41" i="72" s="1"/>
  <c r="AR42" i="72" s="1"/>
  <c r="AR43" i="72" s="1"/>
  <c r="AR44" i="72" s="1"/>
  <c r="AR45" i="72" s="1"/>
  <c r="AR46" i="72" s="1"/>
  <c r="AR47" i="72" s="1"/>
  <c r="AR48" i="72" s="1"/>
  <c r="AR50" i="72" s="1"/>
  <c r="BG27" i="5"/>
  <c r="AF16" i="19"/>
  <c r="M28" i="19"/>
  <c r="K28" i="19"/>
  <c r="G43" i="19"/>
  <c r="AD43" i="19" s="1"/>
  <c r="W26" i="19"/>
  <c r="U26" i="19"/>
  <c r="S26" i="19"/>
  <c r="Q26" i="19"/>
  <c r="O26" i="19"/>
  <c r="M26" i="19"/>
  <c r="K26" i="19"/>
  <c r="A3" i="19"/>
  <c r="A1" i="19"/>
  <c r="V105" i="4"/>
  <c r="U105" i="4"/>
  <c r="U104" i="4"/>
  <c r="T105" i="4"/>
  <c r="T104" i="4"/>
  <c r="S105" i="4"/>
  <c r="AT29" i="72" l="1"/>
  <c r="BF30" i="72"/>
  <c r="BD31" i="72"/>
  <c r="AV29" i="72"/>
  <c r="AV28" i="72"/>
  <c r="AX28" i="72" s="1"/>
  <c r="AF31" i="72"/>
  <c r="AL30" i="72"/>
  <c r="P105" i="4"/>
  <c r="P104" i="4"/>
  <c r="AL28" i="21"/>
  <c r="AT28" i="21" s="1"/>
  <c r="AP28" i="21"/>
  <c r="AP29" i="21"/>
  <c r="BD30" i="21"/>
  <c r="BF29" i="21"/>
  <c r="AF30" i="21"/>
  <c r="AL29" i="21"/>
  <c r="AJ15" i="21"/>
  <c r="AR28" i="21" s="1"/>
  <c r="AR29" i="21" s="1"/>
  <c r="AR30" i="21" s="1"/>
  <c r="AR31" i="21" s="1"/>
  <c r="AR32" i="21" s="1"/>
  <c r="AR33" i="21" s="1"/>
  <c r="AR34" i="21" s="1"/>
  <c r="AR35" i="21" s="1"/>
  <c r="AR36" i="21" s="1"/>
  <c r="AR37" i="21" s="1"/>
  <c r="AR38" i="21" s="1"/>
  <c r="AR39" i="21" s="1"/>
  <c r="AR40" i="21" s="1"/>
  <c r="AR41" i="21" s="1"/>
  <c r="AR42" i="21" s="1"/>
  <c r="AR47" i="21" s="1"/>
  <c r="C28" i="19"/>
  <c r="AB28" i="19" s="1"/>
  <c r="AN28" i="19" s="1"/>
  <c r="G47" i="19"/>
  <c r="AD47" i="19" s="1"/>
  <c r="G15" i="19"/>
  <c r="G32" i="19"/>
  <c r="AD32" i="19" s="1"/>
  <c r="G34" i="19"/>
  <c r="AD34" i="19" s="1"/>
  <c r="G30" i="19"/>
  <c r="AD30" i="19" s="1"/>
  <c r="G38" i="19"/>
  <c r="AD38" i="19" s="1"/>
  <c r="G40" i="19"/>
  <c r="AD40" i="19" s="1"/>
  <c r="G52" i="19"/>
  <c r="AD52" i="19" s="1"/>
  <c r="G50" i="19"/>
  <c r="AD50" i="19" s="1"/>
  <c r="G48" i="19"/>
  <c r="AD48" i="19" s="1"/>
  <c r="G45" i="19"/>
  <c r="AD45" i="19" s="1"/>
  <c r="G41" i="19"/>
  <c r="AD41" i="19" s="1"/>
  <c r="G37" i="19"/>
  <c r="AD37" i="19" s="1"/>
  <c r="G33" i="19"/>
  <c r="AD33" i="19" s="1"/>
  <c r="G49" i="19"/>
  <c r="AD49" i="19" s="1"/>
  <c r="G44" i="19"/>
  <c r="AD44" i="19" s="1"/>
  <c r="G42" i="19"/>
  <c r="AD42" i="19" s="1"/>
  <c r="G39" i="19"/>
  <c r="AD39" i="19" s="1"/>
  <c r="G36" i="19"/>
  <c r="AD36" i="19" s="1"/>
  <c r="G51" i="19"/>
  <c r="AD51" i="19" s="1"/>
  <c r="G46" i="19"/>
  <c r="AD46" i="19" s="1"/>
  <c r="AD28" i="19"/>
  <c r="G29" i="19"/>
  <c r="G31" i="19"/>
  <c r="AD31" i="19" s="1"/>
  <c r="G35" i="19"/>
  <c r="AD35" i="19" s="1"/>
  <c r="C66" i="19"/>
  <c r="AT30" i="72" l="1"/>
  <c r="AX29" i="72"/>
  <c r="U29" i="72" s="1"/>
  <c r="W29" i="72" s="1"/>
  <c r="Y29" i="72" s="1"/>
  <c r="AF32" i="72"/>
  <c r="AL31" i="72"/>
  <c r="BF31" i="72"/>
  <c r="BD32" i="72"/>
  <c r="U28" i="72"/>
  <c r="AD29" i="19"/>
  <c r="G66" i="19"/>
  <c r="AD66" i="19"/>
  <c r="AZ28" i="19"/>
  <c r="AZ29" i="19" s="1"/>
  <c r="AZ30" i="19" s="1"/>
  <c r="AZ31" i="19" s="1"/>
  <c r="AZ32" i="19" s="1"/>
  <c r="AZ33" i="19" s="1"/>
  <c r="AZ34" i="19" s="1"/>
  <c r="AZ35" i="19" s="1"/>
  <c r="AZ36" i="19" s="1"/>
  <c r="AZ37" i="19" s="1"/>
  <c r="AZ38" i="19" s="1"/>
  <c r="AZ39" i="19" s="1"/>
  <c r="AZ40" i="19" s="1"/>
  <c r="AZ41" i="19" s="1"/>
  <c r="AZ42" i="19" s="1"/>
  <c r="AZ43" i="19" s="1"/>
  <c r="AZ44" i="19" s="1"/>
  <c r="AZ45" i="19" s="1"/>
  <c r="AZ46" i="19" s="1"/>
  <c r="AZ47" i="19" s="1"/>
  <c r="AZ48" i="19" s="1"/>
  <c r="AZ49" i="19" s="1"/>
  <c r="AZ50" i="19" s="1"/>
  <c r="AZ51" i="19" s="1"/>
  <c r="AZ52" i="19" s="1"/>
  <c r="AZ53" i="19" s="1"/>
  <c r="AZ54" i="19" s="1"/>
  <c r="AZ55" i="19" s="1"/>
  <c r="AZ56" i="19" s="1"/>
  <c r="AZ57" i="19" s="1"/>
  <c r="AZ58" i="19" s="1"/>
  <c r="AZ59" i="19" s="1"/>
  <c r="AZ60" i="19" s="1"/>
  <c r="AZ61" i="19" s="1"/>
  <c r="AZ62" i="19" s="1"/>
  <c r="C29" i="19"/>
  <c r="C30" i="19" s="1"/>
  <c r="C31" i="19" s="1"/>
  <c r="C32" i="19" s="1"/>
  <c r="AT29" i="21"/>
  <c r="AF31" i="21"/>
  <c r="AL30" i="21"/>
  <c r="AV29" i="21"/>
  <c r="AV28" i="21"/>
  <c r="AX28" i="21" s="1"/>
  <c r="BD31" i="21"/>
  <c r="BF30" i="21"/>
  <c r="I28" i="19"/>
  <c r="AB29" i="19"/>
  <c r="AN29" i="19" s="1"/>
  <c r="BF32" i="72" l="1"/>
  <c r="BD33" i="72"/>
  <c r="AT31" i="72"/>
  <c r="W28" i="72"/>
  <c r="AL32" i="72"/>
  <c r="AF33" i="72"/>
  <c r="AX29" i="21"/>
  <c r="U29" i="21" s="1"/>
  <c r="W29" i="21" s="1"/>
  <c r="Y29" i="21" s="1"/>
  <c r="U28" i="21"/>
  <c r="AF32" i="21"/>
  <c r="AL31" i="21"/>
  <c r="BD32" i="21"/>
  <c r="BF31" i="21"/>
  <c r="AT30" i="21"/>
  <c r="M29" i="19"/>
  <c r="K29" i="19"/>
  <c r="I29" i="19"/>
  <c r="I30" i="19" s="1"/>
  <c r="AB30" i="19"/>
  <c r="AN30" i="19" s="1"/>
  <c r="C33" i="19"/>
  <c r="AT32" i="72" l="1"/>
  <c r="Y28" i="72"/>
  <c r="AL33" i="72"/>
  <c r="AF34" i="72"/>
  <c r="BF33" i="72"/>
  <c r="BD34" i="72"/>
  <c r="AT31" i="21"/>
  <c r="AF33" i="21"/>
  <c r="AL32" i="21"/>
  <c r="BD33" i="21"/>
  <c r="BF32" i="21"/>
  <c r="W28" i="21"/>
  <c r="C34" i="19"/>
  <c r="I31" i="19"/>
  <c r="M30" i="19"/>
  <c r="M31" i="19" s="1"/>
  <c r="AB31" i="19"/>
  <c r="AN31" i="19" s="1"/>
  <c r="K30" i="19"/>
  <c r="K31" i="19" s="1"/>
  <c r="BF34" i="72" l="1"/>
  <c r="BD35" i="72"/>
  <c r="AF35" i="72"/>
  <c r="AL34" i="72"/>
  <c r="AT33" i="72"/>
  <c r="Y28" i="21"/>
  <c r="BD34" i="21"/>
  <c r="BF33" i="21"/>
  <c r="AT32" i="21"/>
  <c r="AF34" i="21"/>
  <c r="AL33" i="21"/>
  <c r="AB32" i="19"/>
  <c r="C35" i="19"/>
  <c r="AT34" i="72" l="1"/>
  <c r="AF36" i="72"/>
  <c r="AL35" i="72"/>
  <c r="BF35" i="72"/>
  <c r="BD36" i="72"/>
  <c r="AT33" i="21"/>
  <c r="BD35" i="21"/>
  <c r="BF34" i="21"/>
  <c r="AF35" i="21"/>
  <c r="AL34" i="21"/>
  <c r="C36" i="19"/>
  <c r="AB33" i="19"/>
  <c r="AT35" i="72" l="1"/>
  <c r="BD37" i="72"/>
  <c r="BF36" i="72"/>
  <c r="AL36" i="72"/>
  <c r="AF37" i="72"/>
  <c r="AF36" i="21"/>
  <c r="AL35" i="21"/>
  <c r="AT34" i="21"/>
  <c r="BD36" i="21"/>
  <c r="BF35" i="21"/>
  <c r="C37" i="19"/>
  <c r="AB34" i="19"/>
  <c r="AT36" i="72" l="1"/>
  <c r="AL37" i="72"/>
  <c r="AF38" i="72"/>
  <c r="BD38" i="72"/>
  <c r="BF37" i="72"/>
  <c r="BD37" i="21"/>
  <c r="BF36" i="21"/>
  <c r="AT35" i="21"/>
  <c r="AF37" i="21"/>
  <c r="AL36" i="21"/>
  <c r="AB35" i="19"/>
  <c r="C38" i="19"/>
  <c r="BD39" i="72" l="1"/>
  <c r="BF38" i="72"/>
  <c r="AL38" i="72"/>
  <c r="AF39" i="72"/>
  <c r="AT37" i="72"/>
  <c r="AF38" i="21"/>
  <c r="AL37" i="21"/>
  <c r="AT36" i="21"/>
  <c r="BF37" i="21"/>
  <c r="BD38" i="21"/>
  <c r="C39" i="19"/>
  <c r="AB36" i="19"/>
  <c r="AF40" i="72" l="1"/>
  <c r="AL39" i="72"/>
  <c r="AT38" i="72"/>
  <c r="BF39" i="72"/>
  <c r="BD40" i="72"/>
  <c r="AT37" i="21"/>
  <c r="BD39" i="21"/>
  <c r="BF38" i="21"/>
  <c r="AF39" i="21"/>
  <c r="AL38" i="21"/>
  <c r="C40" i="19"/>
  <c r="AB37" i="19"/>
  <c r="AT39" i="72" l="1"/>
  <c r="BF40" i="72"/>
  <c r="BD41" i="72"/>
  <c r="AL40" i="72"/>
  <c r="AF41" i="72"/>
  <c r="AT38" i="21"/>
  <c r="BD40" i="21"/>
  <c r="BF39" i="21"/>
  <c r="AL39" i="21"/>
  <c r="AF40" i="21"/>
  <c r="C41" i="19"/>
  <c r="AB38" i="19"/>
  <c r="AT40" i="72" l="1"/>
  <c r="AF42" i="72"/>
  <c r="AL41" i="72"/>
  <c r="BF41" i="72"/>
  <c r="BD42" i="72"/>
  <c r="AT39" i="21"/>
  <c r="AL40" i="21"/>
  <c r="AF41" i="21"/>
  <c r="BD41" i="21"/>
  <c r="BF40" i="21"/>
  <c r="AB39" i="19"/>
  <c r="C42" i="19"/>
  <c r="AT41" i="72" l="1"/>
  <c r="AF43" i="72"/>
  <c r="AL42" i="72"/>
  <c r="BD43" i="72"/>
  <c r="BF42" i="72"/>
  <c r="BD42" i="21"/>
  <c r="BF41" i="21"/>
  <c r="AF42" i="21"/>
  <c r="AL41" i="21"/>
  <c r="AT40" i="21"/>
  <c r="C43" i="19"/>
  <c r="AB40" i="19"/>
  <c r="BD44" i="72" l="1"/>
  <c r="BF43" i="72"/>
  <c r="AT42" i="72"/>
  <c r="AL43" i="72"/>
  <c r="AF44" i="72"/>
  <c r="AT41" i="21"/>
  <c r="AL42" i="21"/>
  <c r="AF47" i="21"/>
  <c r="BD47" i="21"/>
  <c r="BF42" i="21"/>
  <c r="BF47" i="21" s="1"/>
  <c r="C44" i="19"/>
  <c r="AB41" i="19"/>
  <c r="AT43" i="72" l="1"/>
  <c r="AL44" i="72"/>
  <c r="AF45" i="72"/>
  <c r="BF44" i="72"/>
  <c r="BD45" i="72"/>
  <c r="AT42" i="21"/>
  <c r="AL47" i="21"/>
  <c r="AB42" i="19"/>
  <c r="C45" i="19"/>
  <c r="AT44" i="72" l="1"/>
  <c r="BD46" i="72"/>
  <c r="BF45" i="72"/>
  <c r="AF46" i="72"/>
  <c r="AL45" i="72"/>
  <c r="AT47" i="21"/>
  <c r="AB43" i="19"/>
  <c r="C46" i="19"/>
  <c r="AT45" i="72" l="1"/>
  <c r="AF47" i="72"/>
  <c r="AL46" i="72"/>
  <c r="BF46" i="72"/>
  <c r="BD47" i="72"/>
  <c r="C47" i="19"/>
  <c r="AB44" i="19"/>
  <c r="BD48" i="72" l="1"/>
  <c r="BF47" i="72"/>
  <c r="AT46" i="72"/>
  <c r="AF48" i="72"/>
  <c r="AL47" i="72"/>
  <c r="AB45" i="19"/>
  <c r="C48" i="19"/>
  <c r="AL48" i="72" l="1"/>
  <c r="AF50" i="72"/>
  <c r="AT47" i="72"/>
  <c r="BD50" i="72"/>
  <c r="BF48" i="72"/>
  <c r="BF50" i="72" s="1"/>
  <c r="AB46" i="19"/>
  <c r="C49" i="19"/>
  <c r="AL50" i="72" l="1"/>
  <c r="AT48" i="72"/>
  <c r="C50" i="19"/>
  <c r="AB47" i="19"/>
  <c r="AT50" i="72" l="1"/>
  <c r="C51" i="19"/>
  <c r="AB48" i="19"/>
  <c r="C52" i="19" l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AB49" i="19"/>
  <c r="AB50" i="19" l="1"/>
  <c r="AB51" i="19" l="1"/>
  <c r="AB52" i="19" l="1"/>
  <c r="AB53" i="19" l="1"/>
  <c r="N105" i="4"/>
  <c r="N104" i="4"/>
  <c r="N92" i="4"/>
  <c r="J104" i="4"/>
  <c r="J106" i="4" s="1"/>
  <c r="N107" i="4"/>
  <c r="I105" i="4"/>
  <c r="I104" i="4"/>
  <c r="M106" i="4"/>
  <c r="L106" i="4"/>
  <c r="D106" i="4"/>
  <c r="J81" i="4"/>
  <c r="L81" i="4"/>
  <c r="M81" i="4"/>
  <c r="AF15" i="73" l="1"/>
  <c r="AF31" i="73" s="1"/>
  <c r="AF15" i="75"/>
  <c r="AF28" i="75" s="1"/>
  <c r="AJ16" i="73"/>
  <c r="AF11" i="73" s="1"/>
  <c r="AJ16" i="75"/>
  <c r="AF11" i="75" s="1"/>
  <c r="AF12" i="75" s="1"/>
  <c r="BB16" i="73"/>
  <c r="BD31" i="73" s="1"/>
  <c r="BB16" i="75"/>
  <c r="BD28" i="75" s="1"/>
  <c r="BD11" i="73"/>
  <c r="AF12" i="73"/>
  <c r="AF30" i="73"/>
  <c r="AF32" i="73"/>
  <c r="AB54" i="19"/>
  <c r="AF15" i="19"/>
  <c r="AF28" i="19" s="1"/>
  <c r="AF29" i="19" s="1"/>
  <c r="AF15" i="20"/>
  <c r="AF31" i="20" s="1"/>
  <c r="AJ16" i="19"/>
  <c r="AF11" i="19" s="1"/>
  <c r="AF12" i="19" s="1"/>
  <c r="AJ16" i="20"/>
  <c r="AF11" i="20" s="1"/>
  <c r="BB16" i="20"/>
  <c r="BD31" i="20" s="1"/>
  <c r="BB16" i="19"/>
  <c r="BD28" i="19" s="1"/>
  <c r="N106" i="4"/>
  <c r="P106" i="4"/>
  <c r="H106" i="4"/>
  <c r="O106" i="4"/>
  <c r="BF31" i="73" l="1"/>
  <c r="BD29" i="75"/>
  <c r="BD30" i="75" s="1"/>
  <c r="BD31" i="75" s="1"/>
  <c r="BD32" i="75" s="1"/>
  <c r="BD33" i="75" s="1"/>
  <c r="BD34" i="75" s="1"/>
  <c r="BD35" i="75" s="1"/>
  <c r="BD36" i="75" s="1"/>
  <c r="BD37" i="75" s="1"/>
  <c r="BD38" i="75" s="1"/>
  <c r="AF14" i="73"/>
  <c r="AP29" i="73" s="1"/>
  <c r="AF14" i="75"/>
  <c r="AJ13" i="73"/>
  <c r="AJ31" i="73" s="1"/>
  <c r="AJ30" i="73" s="1"/>
  <c r="AJ29" i="73" s="1"/>
  <c r="AJ28" i="73" s="1"/>
  <c r="AJ13" i="75"/>
  <c r="AJ28" i="75" s="1"/>
  <c r="AJ29" i="75" s="1"/>
  <c r="AJ30" i="75" s="1"/>
  <c r="AJ31" i="75" s="1"/>
  <c r="AJ32" i="75" s="1"/>
  <c r="AJ33" i="75" s="1"/>
  <c r="AJ34" i="75" s="1"/>
  <c r="AJ35" i="75" s="1"/>
  <c r="AJ36" i="75" s="1"/>
  <c r="AJ37" i="75" s="1"/>
  <c r="AJ38" i="75" s="1"/>
  <c r="AJ39" i="75" s="1"/>
  <c r="AJ40" i="75" s="1"/>
  <c r="AJ41" i="75" s="1"/>
  <c r="AJ42" i="75" s="1"/>
  <c r="AJ43" i="75" s="1"/>
  <c r="AJ44" i="75" s="1"/>
  <c r="AJ45" i="75" s="1"/>
  <c r="AJ46" i="75" s="1"/>
  <c r="AJ47" i="75" s="1"/>
  <c r="AJ48" i="75" s="1"/>
  <c r="AJ49" i="75" s="1"/>
  <c r="AJ50" i="75" s="1"/>
  <c r="AJ51" i="75" s="1"/>
  <c r="AJ52" i="75" s="1"/>
  <c r="AJ53" i="75" s="1"/>
  <c r="AJ54" i="75" s="1"/>
  <c r="AJ11" i="73"/>
  <c r="AH31" i="73" s="1"/>
  <c r="AH32" i="73" s="1"/>
  <c r="AH33" i="73" s="1"/>
  <c r="AH34" i="73" s="1"/>
  <c r="AH35" i="73" s="1"/>
  <c r="AH36" i="73" s="1"/>
  <c r="AH37" i="73" s="1"/>
  <c r="AH38" i="73" s="1"/>
  <c r="AH39" i="73" s="1"/>
  <c r="AH40" i="73" s="1"/>
  <c r="AH41" i="73" s="1"/>
  <c r="AH42" i="73" s="1"/>
  <c r="AH43" i="73" s="1"/>
  <c r="AH44" i="73" s="1"/>
  <c r="AH45" i="73" s="1"/>
  <c r="AH46" i="73" s="1"/>
  <c r="AH47" i="73" s="1"/>
  <c r="AH48" i="73" s="1"/>
  <c r="AJ11" i="75"/>
  <c r="AH28" i="75" s="1"/>
  <c r="BD30" i="73"/>
  <c r="BD29" i="73" s="1"/>
  <c r="AF29" i="75"/>
  <c r="AJ15" i="73"/>
  <c r="AR31" i="73" s="1"/>
  <c r="AR32" i="73" s="1"/>
  <c r="AR33" i="73" s="1"/>
  <c r="AR34" i="73" s="1"/>
  <c r="AR35" i="73" s="1"/>
  <c r="AR36" i="73" s="1"/>
  <c r="AR37" i="73" s="1"/>
  <c r="AR38" i="73" s="1"/>
  <c r="AR39" i="73" s="1"/>
  <c r="AR40" i="73" s="1"/>
  <c r="AR41" i="73" s="1"/>
  <c r="AR42" i="73" s="1"/>
  <c r="AR43" i="73" s="1"/>
  <c r="AR44" i="73" s="1"/>
  <c r="AR45" i="73" s="1"/>
  <c r="AR46" i="73" s="1"/>
  <c r="AR47" i="73" s="1"/>
  <c r="AR48" i="73" s="1"/>
  <c r="AJ15" i="75"/>
  <c r="AR28" i="75" s="1"/>
  <c r="BD32" i="73"/>
  <c r="BF32" i="73" s="1"/>
  <c r="AF33" i="73"/>
  <c r="BF30" i="73"/>
  <c r="AF29" i="73"/>
  <c r="AP33" i="73"/>
  <c r="AP31" i="73"/>
  <c r="AP30" i="73"/>
  <c r="AP28" i="73"/>
  <c r="AB55" i="19"/>
  <c r="BD11" i="19"/>
  <c r="AF14" i="19"/>
  <c r="AF14" i="20"/>
  <c r="BD11" i="20"/>
  <c r="BF31" i="20" s="1"/>
  <c r="AF12" i="20"/>
  <c r="AJ15" i="19"/>
  <c r="AR28" i="19" s="1"/>
  <c r="AJ15" i="20"/>
  <c r="AR31" i="20" s="1"/>
  <c r="AF30" i="20"/>
  <c r="AF32" i="20"/>
  <c r="AJ13" i="19"/>
  <c r="AJ28" i="19" s="1"/>
  <c r="AJ13" i="20"/>
  <c r="AJ31" i="20" s="1"/>
  <c r="AJ11" i="19"/>
  <c r="AH28" i="19" s="1"/>
  <c r="AJ11" i="20"/>
  <c r="AH31" i="20" s="1"/>
  <c r="BD30" i="20"/>
  <c r="BD32" i="20"/>
  <c r="AF30" i="19"/>
  <c r="AR30" i="73" l="1"/>
  <c r="AR29" i="73" s="1"/>
  <c r="AR28" i="73" s="1"/>
  <c r="AP32" i="73"/>
  <c r="AH30" i="73"/>
  <c r="AH29" i="73" s="1"/>
  <c r="AH28" i="73" s="1"/>
  <c r="AH52" i="73" s="1"/>
  <c r="AJ32" i="73"/>
  <c r="AJ33" i="73" s="1"/>
  <c r="AJ34" i="73" s="1"/>
  <c r="AJ35" i="73" s="1"/>
  <c r="AJ36" i="73" s="1"/>
  <c r="AJ37" i="73" s="1"/>
  <c r="AJ38" i="73" s="1"/>
  <c r="AJ39" i="73" s="1"/>
  <c r="AJ40" i="73" s="1"/>
  <c r="AJ41" i="73" s="1"/>
  <c r="AJ42" i="73" s="1"/>
  <c r="AJ43" i="73" s="1"/>
  <c r="AJ44" i="73" s="1"/>
  <c r="AJ45" i="73" s="1"/>
  <c r="AJ46" i="73" s="1"/>
  <c r="AJ47" i="73" s="1"/>
  <c r="AJ48" i="73" s="1"/>
  <c r="AH29" i="75"/>
  <c r="AH30" i="75" s="1"/>
  <c r="AH31" i="75" s="1"/>
  <c r="AH32" i="75" s="1"/>
  <c r="AH33" i="75" s="1"/>
  <c r="AH34" i="75" s="1"/>
  <c r="AH35" i="75" s="1"/>
  <c r="AH36" i="75" s="1"/>
  <c r="AH37" i="75" s="1"/>
  <c r="AH38" i="75" s="1"/>
  <c r="AR29" i="75"/>
  <c r="AR30" i="75" s="1"/>
  <c r="AR31" i="75" s="1"/>
  <c r="AR32" i="75" s="1"/>
  <c r="AR33" i="75" s="1"/>
  <c r="AR34" i="75" s="1"/>
  <c r="AR35" i="75" s="1"/>
  <c r="AR36" i="75" s="1"/>
  <c r="AR37" i="75" s="1"/>
  <c r="AR38" i="75" s="1"/>
  <c r="AR39" i="75" s="1"/>
  <c r="AR40" i="75" s="1"/>
  <c r="AR41" i="75" s="1"/>
  <c r="AR42" i="75" s="1"/>
  <c r="AR43" i="75" s="1"/>
  <c r="AR44" i="75" s="1"/>
  <c r="AR45" i="75" s="1"/>
  <c r="AR46" i="75" s="1"/>
  <c r="AR47" i="75" s="1"/>
  <c r="AR48" i="75" s="1"/>
  <c r="AR49" i="75" s="1"/>
  <c r="AR50" i="75" s="1"/>
  <c r="AR51" i="75" s="1"/>
  <c r="AR52" i="75" s="1"/>
  <c r="AR53" i="75" s="1"/>
  <c r="AR54" i="75" s="1"/>
  <c r="AR55" i="75" s="1"/>
  <c r="AR56" i="75" s="1"/>
  <c r="AR57" i="75" s="1"/>
  <c r="AL28" i="75"/>
  <c r="AP32" i="75"/>
  <c r="AP31" i="75"/>
  <c r="AP33" i="75"/>
  <c r="AP30" i="75"/>
  <c r="AJ55" i="75"/>
  <c r="AJ56" i="75" s="1"/>
  <c r="AJ57" i="75" s="1"/>
  <c r="BD33" i="73"/>
  <c r="BD34" i="73" s="1"/>
  <c r="AV31" i="73"/>
  <c r="AF30" i="75"/>
  <c r="AL29" i="75"/>
  <c r="AL31" i="73"/>
  <c r="AT31" i="73" s="1"/>
  <c r="BD39" i="75"/>
  <c r="AR52" i="73"/>
  <c r="AV33" i="73"/>
  <c r="AV32" i="73"/>
  <c r="AL32" i="73"/>
  <c r="AT32" i="73" s="1"/>
  <c r="AV28" i="73"/>
  <c r="AV30" i="73"/>
  <c r="AJ52" i="73"/>
  <c r="AF34" i="73"/>
  <c r="AL29" i="73"/>
  <c r="AF28" i="73"/>
  <c r="AV29" i="73"/>
  <c r="AL30" i="73"/>
  <c r="AT30" i="73" s="1"/>
  <c r="BD28" i="73"/>
  <c r="BF29" i="73"/>
  <c r="AB56" i="19"/>
  <c r="AR29" i="19"/>
  <c r="AR30" i="19" s="1"/>
  <c r="AR31" i="19" s="1"/>
  <c r="AJ29" i="19"/>
  <c r="AJ30" i="19" s="1"/>
  <c r="AJ31" i="19" s="1"/>
  <c r="AH29" i="19"/>
  <c r="AL28" i="19"/>
  <c r="BD33" i="20"/>
  <c r="BF32" i="20"/>
  <c r="AF29" i="20"/>
  <c r="BD29" i="20"/>
  <c r="BF30" i="20"/>
  <c r="AF33" i="20"/>
  <c r="AJ30" i="20"/>
  <c r="AJ29" i="20" s="1"/>
  <c r="AJ28" i="20" s="1"/>
  <c r="AJ32" i="20"/>
  <c r="AJ33" i="20" s="1"/>
  <c r="AJ34" i="20" s="1"/>
  <c r="AJ35" i="20" s="1"/>
  <c r="AJ36" i="20" s="1"/>
  <c r="AJ37" i="20" s="1"/>
  <c r="AJ38" i="20" s="1"/>
  <c r="AJ39" i="20" s="1"/>
  <c r="AJ40" i="20" s="1"/>
  <c r="AJ41" i="20" s="1"/>
  <c r="AJ42" i="20" s="1"/>
  <c r="AJ43" i="20" s="1"/>
  <c r="AJ44" i="20" s="1"/>
  <c r="AJ45" i="20" s="1"/>
  <c r="AJ46" i="20" s="1"/>
  <c r="AJ47" i="20" s="1"/>
  <c r="AJ48" i="20" s="1"/>
  <c r="AJ49" i="20" s="1"/>
  <c r="AJ50" i="20" s="1"/>
  <c r="AJ51" i="20" s="1"/>
  <c r="AJ52" i="20" s="1"/>
  <c r="AJ53" i="20" s="1"/>
  <c r="AJ54" i="20" s="1"/>
  <c r="AJ55" i="20" s="1"/>
  <c r="AJ56" i="20" s="1"/>
  <c r="AJ57" i="20" s="1"/>
  <c r="AJ58" i="20" s="1"/>
  <c r="AJ59" i="20" s="1"/>
  <c r="AJ60" i="20" s="1"/>
  <c r="AJ61" i="20" s="1"/>
  <c r="AJ62" i="20" s="1"/>
  <c r="AR30" i="20"/>
  <c r="AR29" i="20" s="1"/>
  <c r="AR28" i="20" s="1"/>
  <c r="AR32" i="20"/>
  <c r="AR33" i="20" s="1"/>
  <c r="AR34" i="20" s="1"/>
  <c r="AR35" i="20" s="1"/>
  <c r="AR36" i="20" s="1"/>
  <c r="AR37" i="20" s="1"/>
  <c r="AR38" i="20" s="1"/>
  <c r="AR39" i="20" s="1"/>
  <c r="AR40" i="20" s="1"/>
  <c r="AR41" i="20" s="1"/>
  <c r="AR42" i="20" s="1"/>
  <c r="AR43" i="20" s="1"/>
  <c r="AR44" i="20" s="1"/>
  <c r="AR45" i="20" s="1"/>
  <c r="AR46" i="20" s="1"/>
  <c r="AR47" i="20" s="1"/>
  <c r="AR48" i="20" s="1"/>
  <c r="AR49" i="20" s="1"/>
  <c r="AR50" i="20" s="1"/>
  <c r="AR51" i="20" s="1"/>
  <c r="AR52" i="20" s="1"/>
  <c r="AR53" i="20" s="1"/>
  <c r="AR54" i="20" s="1"/>
  <c r="AR55" i="20" s="1"/>
  <c r="AR56" i="20" s="1"/>
  <c r="AR57" i="20" s="1"/>
  <c r="AR58" i="20" s="1"/>
  <c r="AR59" i="20" s="1"/>
  <c r="AR60" i="20" s="1"/>
  <c r="AR61" i="20" s="1"/>
  <c r="AR62" i="20" s="1"/>
  <c r="AP32" i="20"/>
  <c r="AP33" i="20"/>
  <c r="AP31" i="20"/>
  <c r="AV31" i="20" s="1"/>
  <c r="AP34" i="20"/>
  <c r="AP30" i="20"/>
  <c r="AP35" i="20"/>
  <c r="AP29" i="20"/>
  <c r="AP28" i="20"/>
  <c r="AH30" i="20"/>
  <c r="AH29" i="20" s="1"/>
  <c r="AH28" i="20" s="1"/>
  <c r="AH32" i="20"/>
  <c r="AH33" i="20" s="1"/>
  <c r="AH34" i="20" s="1"/>
  <c r="AH35" i="20" s="1"/>
  <c r="AH36" i="20" s="1"/>
  <c r="AH37" i="20" s="1"/>
  <c r="AH38" i="20" s="1"/>
  <c r="AH39" i="20" s="1"/>
  <c r="AH40" i="20" s="1"/>
  <c r="AH41" i="20" s="1"/>
  <c r="AH42" i="20" s="1"/>
  <c r="AH43" i="20" s="1"/>
  <c r="AH44" i="20" s="1"/>
  <c r="AH45" i="20" s="1"/>
  <c r="AH46" i="20" s="1"/>
  <c r="AH47" i="20" s="1"/>
  <c r="AH48" i="20" s="1"/>
  <c r="AH49" i="20" s="1"/>
  <c r="AH50" i="20" s="1"/>
  <c r="AH51" i="20" s="1"/>
  <c r="AH52" i="20" s="1"/>
  <c r="AH53" i="20" s="1"/>
  <c r="AH54" i="20" s="1"/>
  <c r="AH55" i="20" s="1"/>
  <c r="AH56" i="20" s="1"/>
  <c r="AH57" i="20" s="1"/>
  <c r="AH58" i="20" s="1"/>
  <c r="AH59" i="20" s="1"/>
  <c r="AH60" i="20" s="1"/>
  <c r="AH61" i="20" s="1"/>
  <c r="AH62" i="20" s="1"/>
  <c r="AL31" i="20"/>
  <c r="AT31" i="20" s="1"/>
  <c r="AF31" i="19"/>
  <c r="B91" i="4"/>
  <c r="M94" i="4"/>
  <c r="L94" i="4"/>
  <c r="J94" i="4"/>
  <c r="D94" i="4"/>
  <c r="N93" i="4"/>
  <c r="I93" i="4"/>
  <c r="Q94" i="4" s="1"/>
  <c r="AV33" i="75" l="1"/>
  <c r="AL33" i="73"/>
  <c r="AX31" i="73"/>
  <c r="U31" i="73" s="1"/>
  <c r="W31" i="73" s="1"/>
  <c r="Y31" i="73" s="1"/>
  <c r="AV31" i="75"/>
  <c r="AV32" i="75"/>
  <c r="AV30" i="75"/>
  <c r="AJ59" i="75"/>
  <c r="BD40" i="75"/>
  <c r="BF33" i="73"/>
  <c r="AT33" i="73" s="1"/>
  <c r="AX33" i="73" s="1"/>
  <c r="U33" i="73" s="1"/>
  <c r="W33" i="73" s="1"/>
  <c r="Y33" i="73" s="1"/>
  <c r="AR59" i="75"/>
  <c r="AF31" i="75"/>
  <c r="AL30" i="75"/>
  <c r="AH39" i="75"/>
  <c r="AX32" i="73"/>
  <c r="U32" i="73" s="1"/>
  <c r="W32" i="73" s="1"/>
  <c r="Y32" i="73" s="1"/>
  <c r="AF35" i="73"/>
  <c r="AL34" i="73"/>
  <c r="AL28" i="73"/>
  <c r="AF15" i="69"/>
  <c r="AF28" i="69" s="1"/>
  <c r="AF15" i="65"/>
  <c r="BF28" i="73"/>
  <c r="AT29" i="73"/>
  <c r="AX29" i="73" s="1"/>
  <c r="U29" i="73" s="1"/>
  <c r="W29" i="73" s="1"/>
  <c r="Y29" i="73" s="1"/>
  <c r="AX30" i="73"/>
  <c r="U30" i="73" s="1"/>
  <c r="W30" i="73" s="1"/>
  <c r="Y30" i="73" s="1"/>
  <c r="BD35" i="73"/>
  <c r="BF34" i="73"/>
  <c r="AV29" i="20"/>
  <c r="AF15" i="14"/>
  <c r="AF15" i="51"/>
  <c r="AF15" i="40"/>
  <c r="AV34" i="20"/>
  <c r="AV30" i="20"/>
  <c r="AH30" i="19"/>
  <c r="AL29" i="19"/>
  <c r="AB57" i="19"/>
  <c r="AV35" i="20"/>
  <c r="AV33" i="20"/>
  <c r="AV32" i="20"/>
  <c r="AX31" i="20"/>
  <c r="U31" i="20" s="1"/>
  <c r="W31" i="20" s="1"/>
  <c r="Y31" i="20" s="1"/>
  <c r="AV28" i="20"/>
  <c r="BD34" i="20"/>
  <c r="BF33" i="20"/>
  <c r="AR66" i="20"/>
  <c r="AF34" i="20"/>
  <c r="AL33" i="20"/>
  <c r="AF28" i="20"/>
  <c r="AL29" i="20"/>
  <c r="AJ66" i="20"/>
  <c r="BD28" i="20"/>
  <c r="BF29" i="20"/>
  <c r="AH66" i="20"/>
  <c r="AL32" i="20"/>
  <c r="AT32" i="20" s="1"/>
  <c r="AL30" i="20"/>
  <c r="AT30" i="20" s="1"/>
  <c r="AA94" i="4"/>
  <c r="N94" i="4"/>
  <c r="X94" i="4"/>
  <c r="H94" i="4"/>
  <c r="Y94" i="4"/>
  <c r="O94" i="4"/>
  <c r="Z94" i="4"/>
  <c r="P94" i="4"/>
  <c r="AJ14" i="14" s="1"/>
  <c r="AH40" i="75" l="1"/>
  <c r="AF32" i="75"/>
  <c r="AL31" i="75"/>
  <c r="BD41" i="75"/>
  <c r="AJ13" i="69"/>
  <c r="AJ28" i="69" s="1"/>
  <c r="AJ13" i="65"/>
  <c r="AF29" i="69"/>
  <c r="AT34" i="73"/>
  <c r="AJ11" i="69"/>
  <c r="AH28" i="69" s="1"/>
  <c r="AJ11" i="65"/>
  <c r="AF14" i="69"/>
  <c r="BD36" i="73"/>
  <c r="BF35" i="73"/>
  <c r="AT28" i="73"/>
  <c r="AL35" i="73"/>
  <c r="AF36" i="73"/>
  <c r="AJ11" i="14"/>
  <c r="AJ11" i="51"/>
  <c r="AJ11" i="40"/>
  <c r="AJ13" i="14"/>
  <c r="AJ13" i="51"/>
  <c r="AJ13" i="40"/>
  <c r="AX30" i="20"/>
  <c r="U30" i="20" s="1"/>
  <c r="W30" i="20" s="1"/>
  <c r="Y30" i="20" s="1"/>
  <c r="AX32" i="20"/>
  <c r="U32" i="20" s="1"/>
  <c r="W32" i="20" s="1"/>
  <c r="Y32" i="20" s="1"/>
  <c r="AT29" i="20"/>
  <c r="AX29" i="20" s="1"/>
  <c r="U29" i="20" s="1"/>
  <c r="W29" i="20" s="1"/>
  <c r="Y29" i="20" s="1"/>
  <c r="AB58" i="19"/>
  <c r="AH31" i="19"/>
  <c r="AL31" i="19" s="1"/>
  <c r="AL30" i="19"/>
  <c r="AF35" i="20"/>
  <c r="AL34" i="20"/>
  <c r="BF28" i="20"/>
  <c r="AL28" i="20"/>
  <c r="BD35" i="20"/>
  <c r="BF34" i="20"/>
  <c r="AT33" i="20"/>
  <c r="AX33" i="20" s="1"/>
  <c r="U33" i="20" s="1"/>
  <c r="W33" i="20" s="1"/>
  <c r="Y33" i="20" s="1"/>
  <c r="A3" i="14"/>
  <c r="A2" i="14"/>
  <c r="A1" i="14"/>
  <c r="M28" i="14"/>
  <c r="K28" i="14"/>
  <c r="W26" i="14"/>
  <c r="U26" i="14"/>
  <c r="S26" i="14"/>
  <c r="Q26" i="14"/>
  <c r="O26" i="14"/>
  <c r="M26" i="14"/>
  <c r="K26" i="14"/>
  <c r="AF33" i="75" l="1"/>
  <c r="AL32" i="75"/>
  <c r="AH41" i="75"/>
  <c r="BD42" i="75"/>
  <c r="AT35" i="73"/>
  <c r="BD37" i="73"/>
  <c r="BF36" i="73"/>
  <c r="AJ29" i="69"/>
  <c r="AJ30" i="69" s="1"/>
  <c r="AJ31" i="69" s="1"/>
  <c r="AJ32" i="69" s="1"/>
  <c r="AJ33" i="69" s="1"/>
  <c r="AJ34" i="69" s="1"/>
  <c r="AJ35" i="69" s="1"/>
  <c r="AJ36" i="69" s="1"/>
  <c r="AJ37" i="69" s="1"/>
  <c r="AJ38" i="69" s="1"/>
  <c r="AJ39" i="69" s="1"/>
  <c r="AJ40" i="69" s="1"/>
  <c r="AJ41" i="69" s="1"/>
  <c r="AJ42" i="69" s="1"/>
  <c r="AJ43" i="69" s="1"/>
  <c r="AJ44" i="69" s="1"/>
  <c r="AJ45" i="69" s="1"/>
  <c r="AJ46" i="69" s="1"/>
  <c r="AJ47" i="69" s="1"/>
  <c r="AJ48" i="69" s="1"/>
  <c r="AJ49" i="69" s="1"/>
  <c r="AJ50" i="69" s="1"/>
  <c r="AJ51" i="69" s="1"/>
  <c r="AJ52" i="69" s="1"/>
  <c r="AJ53" i="69" s="1"/>
  <c r="AX28" i="73"/>
  <c r="AH29" i="69"/>
  <c r="AH30" i="69" s="1"/>
  <c r="AH31" i="69" s="1"/>
  <c r="AH32" i="69" s="1"/>
  <c r="AH33" i="69" s="1"/>
  <c r="AH34" i="69" s="1"/>
  <c r="AH35" i="69" s="1"/>
  <c r="AH36" i="69" s="1"/>
  <c r="AH37" i="69" s="1"/>
  <c r="AH38" i="69" s="1"/>
  <c r="AH39" i="69" s="1"/>
  <c r="AH40" i="69" s="1"/>
  <c r="AH41" i="69" s="1"/>
  <c r="AH42" i="69" s="1"/>
  <c r="AH43" i="69" s="1"/>
  <c r="AH44" i="69" s="1"/>
  <c r="AH45" i="69" s="1"/>
  <c r="AH46" i="69" s="1"/>
  <c r="AH47" i="69" s="1"/>
  <c r="AH48" i="69" s="1"/>
  <c r="AH49" i="69" s="1"/>
  <c r="AH50" i="69" s="1"/>
  <c r="AH51" i="69" s="1"/>
  <c r="AH52" i="69" s="1"/>
  <c r="AH53" i="69" s="1"/>
  <c r="AL28" i="69"/>
  <c r="AL36" i="73"/>
  <c r="AF37" i="73"/>
  <c r="AF30" i="69"/>
  <c r="AB59" i="19"/>
  <c r="AT34" i="20"/>
  <c r="AX34" i="20" s="1"/>
  <c r="U34" i="20" s="1"/>
  <c r="W34" i="20" s="1"/>
  <c r="Y34" i="20" s="1"/>
  <c r="AT28" i="20"/>
  <c r="BD36" i="20"/>
  <c r="BF35" i="20"/>
  <c r="AF36" i="20"/>
  <c r="AL35" i="20"/>
  <c r="C28" i="14"/>
  <c r="AZ389" i="5"/>
  <c r="AY389" i="5"/>
  <c r="AZ388" i="5"/>
  <c r="AY388" i="5"/>
  <c r="AZ387" i="5"/>
  <c r="AY387" i="5"/>
  <c r="AZ386" i="5"/>
  <c r="AY386" i="5"/>
  <c r="AZ385" i="5"/>
  <c r="AY385" i="5"/>
  <c r="AZ384" i="5"/>
  <c r="AY384" i="5"/>
  <c r="AZ383" i="5"/>
  <c r="AY383" i="5"/>
  <c r="AZ382" i="5"/>
  <c r="AY382" i="5"/>
  <c r="AZ381" i="5"/>
  <c r="AY381" i="5"/>
  <c r="AZ380" i="5"/>
  <c r="AY380" i="5"/>
  <c r="AZ379" i="5"/>
  <c r="AY379" i="5"/>
  <c r="AZ378" i="5"/>
  <c r="AY378" i="5"/>
  <c r="AZ377" i="5"/>
  <c r="AY377" i="5"/>
  <c r="AZ376" i="5"/>
  <c r="AY376" i="5"/>
  <c r="AZ375" i="5"/>
  <c r="AY375" i="5"/>
  <c r="AZ374" i="5"/>
  <c r="AY374" i="5"/>
  <c r="AZ373" i="5"/>
  <c r="AY373" i="5"/>
  <c r="AZ372" i="5"/>
  <c r="AY372" i="5"/>
  <c r="AZ371" i="5"/>
  <c r="AY371" i="5"/>
  <c r="AZ370" i="5"/>
  <c r="AY370" i="5"/>
  <c r="AZ369" i="5"/>
  <c r="AY369" i="5"/>
  <c r="AZ368" i="5"/>
  <c r="AY368" i="5"/>
  <c r="AZ367" i="5"/>
  <c r="AY367" i="5"/>
  <c r="AZ366" i="5"/>
  <c r="AY366" i="5"/>
  <c r="AZ365" i="5"/>
  <c r="AY365" i="5"/>
  <c r="AZ364" i="5"/>
  <c r="AY364" i="5"/>
  <c r="AZ363" i="5"/>
  <c r="AY363" i="5"/>
  <c r="AZ362" i="5"/>
  <c r="AY362" i="5"/>
  <c r="AZ361" i="5"/>
  <c r="AY361" i="5"/>
  <c r="AZ360" i="5"/>
  <c r="AY360" i="5"/>
  <c r="AZ359" i="5"/>
  <c r="AY359" i="5"/>
  <c r="AZ358" i="5"/>
  <c r="AY358" i="5"/>
  <c r="AZ357" i="5"/>
  <c r="AY357" i="5"/>
  <c r="AZ356" i="5"/>
  <c r="AY356" i="5"/>
  <c r="AZ355" i="5"/>
  <c r="AY355" i="5"/>
  <c r="AZ354" i="5"/>
  <c r="AY354" i="5"/>
  <c r="AZ353" i="5"/>
  <c r="AY353" i="5"/>
  <c r="AZ352" i="5"/>
  <c r="AY352" i="5"/>
  <c r="AZ351" i="5"/>
  <c r="AY351" i="5"/>
  <c r="AZ350" i="5"/>
  <c r="AY350" i="5"/>
  <c r="AZ349" i="5"/>
  <c r="AY349" i="5"/>
  <c r="AZ348" i="5"/>
  <c r="AY348" i="5"/>
  <c r="AZ347" i="5"/>
  <c r="AY347" i="5"/>
  <c r="AZ346" i="5"/>
  <c r="AY346" i="5"/>
  <c r="AZ345" i="5"/>
  <c r="AY345" i="5"/>
  <c r="AZ344" i="5"/>
  <c r="AY344" i="5"/>
  <c r="AZ343" i="5"/>
  <c r="AY343" i="5"/>
  <c r="AZ342" i="5"/>
  <c r="AY342" i="5"/>
  <c r="AZ341" i="5"/>
  <c r="AY341" i="5"/>
  <c r="AZ340" i="5"/>
  <c r="AY340" i="5"/>
  <c r="AZ339" i="5"/>
  <c r="AY339" i="5"/>
  <c r="AZ338" i="5"/>
  <c r="AY338" i="5"/>
  <c r="AZ337" i="5"/>
  <c r="AY337" i="5"/>
  <c r="AZ336" i="5"/>
  <c r="AY336" i="5"/>
  <c r="AZ335" i="5"/>
  <c r="AY335" i="5"/>
  <c r="AZ334" i="5"/>
  <c r="AY334" i="5"/>
  <c r="AZ333" i="5"/>
  <c r="AY333" i="5"/>
  <c r="AZ332" i="5"/>
  <c r="AY332" i="5"/>
  <c r="AZ331" i="5"/>
  <c r="AY331" i="5"/>
  <c r="AZ330" i="5"/>
  <c r="AY330" i="5"/>
  <c r="AZ329" i="5"/>
  <c r="AY329" i="5"/>
  <c r="AZ328" i="5"/>
  <c r="AY328" i="5"/>
  <c r="AZ327" i="5"/>
  <c r="AY327" i="5"/>
  <c r="AZ326" i="5"/>
  <c r="AY326" i="5"/>
  <c r="AZ325" i="5"/>
  <c r="AY325" i="5"/>
  <c r="AZ324" i="5"/>
  <c r="AY324" i="5"/>
  <c r="AZ323" i="5"/>
  <c r="AY323" i="5"/>
  <c r="AZ322" i="5"/>
  <c r="AY322" i="5"/>
  <c r="AZ321" i="5"/>
  <c r="AY321" i="5"/>
  <c r="AZ320" i="5"/>
  <c r="AY320" i="5"/>
  <c r="AZ319" i="5"/>
  <c r="AY319" i="5"/>
  <c r="AZ318" i="5"/>
  <c r="AY318" i="5"/>
  <c r="AZ317" i="5"/>
  <c r="AY317" i="5"/>
  <c r="AZ316" i="5"/>
  <c r="AY316" i="5"/>
  <c r="AZ315" i="5"/>
  <c r="AY315" i="5"/>
  <c r="AZ314" i="5"/>
  <c r="AY314" i="5"/>
  <c r="AZ313" i="5"/>
  <c r="AY313" i="5"/>
  <c r="AZ312" i="5"/>
  <c r="AY312" i="5"/>
  <c r="AZ311" i="5"/>
  <c r="AY311" i="5"/>
  <c r="AZ310" i="5"/>
  <c r="AY310" i="5"/>
  <c r="AZ309" i="5"/>
  <c r="AY309" i="5"/>
  <c r="AZ308" i="5"/>
  <c r="AY308" i="5"/>
  <c r="AZ307" i="5"/>
  <c r="AY307" i="5"/>
  <c r="AZ306" i="5"/>
  <c r="AY306" i="5"/>
  <c r="AZ305" i="5"/>
  <c r="AY305" i="5"/>
  <c r="AZ304" i="5"/>
  <c r="AY304" i="5"/>
  <c r="AZ303" i="5"/>
  <c r="AY303" i="5"/>
  <c r="AZ302" i="5"/>
  <c r="AY302" i="5"/>
  <c r="AZ301" i="5"/>
  <c r="AY301" i="5"/>
  <c r="AZ300" i="5"/>
  <c r="AY300" i="5"/>
  <c r="AZ299" i="5"/>
  <c r="AY299" i="5"/>
  <c r="AZ298" i="5"/>
  <c r="AY298" i="5"/>
  <c r="AZ297" i="5"/>
  <c r="AY297" i="5"/>
  <c r="AZ296" i="5"/>
  <c r="AY296" i="5"/>
  <c r="AZ295" i="5"/>
  <c r="AY295" i="5"/>
  <c r="AZ294" i="5"/>
  <c r="AY294" i="5"/>
  <c r="AZ293" i="5"/>
  <c r="AY293" i="5"/>
  <c r="AZ292" i="5"/>
  <c r="AY292" i="5"/>
  <c r="AZ291" i="5"/>
  <c r="AY291" i="5"/>
  <c r="AZ290" i="5"/>
  <c r="AY290" i="5"/>
  <c r="AZ289" i="5"/>
  <c r="AY289" i="5"/>
  <c r="AZ288" i="5"/>
  <c r="AY288" i="5"/>
  <c r="AZ287" i="5"/>
  <c r="AY287" i="5"/>
  <c r="AZ286" i="5"/>
  <c r="AY286" i="5"/>
  <c r="AZ285" i="5"/>
  <c r="AY285" i="5"/>
  <c r="AZ284" i="5"/>
  <c r="AY284" i="5"/>
  <c r="AZ283" i="5"/>
  <c r="AY283" i="5"/>
  <c r="AZ282" i="5"/>
  <c r="AY282" i="5"/>
  <c r="AZ281" i="5"/>
  <c r="AY281" i="5"/>
  <c r="AZ280" i="5"/>
  <c r="AY280" i="5"/>
  <c r="AZ279" i="5"/>
  <c r="AY279" i="5"/>
  <c r="AZ278" i="5"/>
  <c r="AY278" i="5"/>
  <c r="AZ277" i="5"/>
  <c r="AY277" i="5"/>
  <c r="AZ276" i="5"/>
  <c r="AY276" i="5"/>
  <c r="AZ275" i="5"/>
  <c r="AY275" i="5"/>
  <c r="AZ274" i="5"/>
  <c r="AY274" i="5"/>
  <c r="AZ273" i="5"/>
  <c r="AY273" i="5"/>
  <c r="AZ272" i="5"/>
  <c r="AY272" i="5"/>
  <c r="AZ271" i="5"/>
  <c r="AY271" i="5"/>
  <c r="AZ270" i="5"/>
  <c r="AY270" i="5"/>
  <c r="AZ269" i="5"/>
  <c r="AY269" i="5"/>
  <c r="AZ268" i="5"/>
  <c r="AY268" i="5"/>
  <c r="AZ267" i="5"/>
  <c r="AY267" i="5"/>
  <c r="AZ266" i="5"/>
  <c r="AY266" i="5"/>
  <c r="AZ265" i="5"/>
  <c r="AY265" i="5"/>
  <c r="AZ264" i="5"/>
  <c r="AY264" i="5"/>
  <c r="AZ263" i="5"/>
  <c r="AY263" i="5"/>
  <c r="AZ262" i="5"/>
  <c r="AY262" i="5"/>
  <c r="AZ261" i="5"/>
  <c r="AY261" i="5"/>
  <c r="AZ260" i="5"/>
  <c r="AY260" i="5"/>
  <c r="AZ259" i="5"/>
  <c r="AY259" i="5"/>
  <c r="AZ258" i="5"/>
  <c r="AY258" i="5"/>
  <c r="AZ257" i="5"/>
  <c r="AY257" i="5"/>
  <c r="AZ256" i="5"/>
  <c r="AY256" i="5"/>
  <c r="AZ255" i="5"/>
  <c r="AY255" i="5"/>
  <c r="AZ254" i="5"/>
  <c r="AY254" i="5"/>
  <c r="AZ253" i="5"/>
  <c r="AY253" i="5"/>
  <c r="AZ252" i="5"/>
  <c r="AY252" i="5"/>
  <c r="AZ251" i="5"/>
  <c r="AY251" i="5"/>
  <c r="AZ250" i="5"/>
  <c r="AY250" i="5"/>
  <c r="AZ249" i="5"/>
  <c r="AY249" i="5"/>
  <c r="AZ248" i="5"/>
  <c r="AY248" i="5"/>
  <c r="AZ247" i="5"/>
  <c r="AY247" i="5"/>
  <c r="AZ246" i="5"/>
  <c r="AY246" i="5"/>
  <c r="AZ245" i="5"/>
  <c r="AY245" i="5"/>
  <c r="AZ244" i="5"/>
  <c r="AY244" i="5"/>
  <c r="AZ243" i="5"/>
  <c r="AY243" i="5"/>
  <c r="AZ242" i="5"/>
  <c r="AY242" i="5"/>
  <c r="AZ241" i="5"/>
  <c r="AY241" i="5"/>
  <c r="AZ240" i="5"/>
  <c r="AY240" i="5"/>
  <c r="AZ239" i="5"/>
  <c r="AY239" i="5"/>
  <c r="AZ238" i="5"/>
  <c r="AY238" i="5"/>
  <c r="AZ237" i="5"/>
  <c r="AY237" i="5"/>
  <c r="AZ236" i="5"/>
  <c r="AY236" i="5"/>
  <c r="AZ235" i="5"/>
  <c r="AY235" i="5"/>
  <c r="AZ234" i="5"/>
  <c r="AY234" i="5"/>
  <c r="AZ233" i="5"/>
  <c r="AY233" i="5"/>
  <c r="AZ232" i="5"/>
  <c r="AY232" i="5"/>
  <c r="AZ231" i="5"/>
  <c r="AY231" i="5"/>
  <c r="AZ230" i="5"/>
  <c r="AY230" i="5"/>
  <c r="AZ229" i="5"/>
  <c r="AY229" i="5"/>
  <c r="AZ228" i="5"/>
  <c r="AY228" i="5"/>
  <c r="AZ227" i="5"/>
  <c r="AY227" i="5"/>
  <c r="AZ226" i="5"/>
  <c r="AY226" i="5"/>
  <c r="AZ225" i="5"/>
  <c r="AY225" i="5"/>
  <c r="AZ224" i="5"/>
  <c r="AY224" i="5"/>
  <c r="AZ223" i="5"/>
  <c r="AY223" i="5"/>
  <c r="AZ222" i="5"/>
  <c r="AY222" i="5"/>
  <c r="AZ221" i="5"/>
  <c r="AY221" i="5"/>
  <c r="AZ220" i="5"/>
  <c r="AY220" i="5"/>
  <c r="AZ219" i="5"/>
  <c r="AY219" i="5"/>
  <c r="AZ218" i="5"/>
  <c r="AY218" i="5"/>
  <c r="AZ217" i="5"/>
  <c r="AY217" i="5"/>
  <c r="AZ216" i="5"/>
  <c r="AY216" i="5"/>
  <c r="AZ215" i="5"/>
  <c r="AY215" i="5"/>
  <c r="AZ214" i="5"/>
  <c r="AY214" i="5"/>
  <c r="AZ213" i="5"/>
  <c r="AY213" i="5"/>
  <c r="AZ212" i="5"/>
  <c r="AY212" i="5"/>
  <c r="AZ211" i="5"/>
  <c r="AY211" i="5"/>
  <c r="AZ210" i="5"/>
  <c r="AY210" i="5"/>
  <c r="AZ209" i="5"/>
  <c r="AY209" i="5"/>
  <c r="AZ208" i="5"/>
  <c r="AY208" i="5"/>
  <c r="AZ207" i="5"/>
  <c r="AY207" i="5"/>
  <c r="AZ206" i="5"/>
  <c r="AY206" i="5"/>
  <c r="AZ205" i="5"/>
  <c r="AY205" i="5"/>
  <c r="AZ204" i="5"/>
  <c r="AY204" i="5"/>
  <c r="AY203" i="5"/>
  <c r="AZ202" i="5"/>
  <c r="AY202" i="5"/>
  <c r="AZ201" i="5"/>
  <c r="AY201" i="5"/>
  <c r="AZ200" i="5"/>
  <c r="AY200" i="5"/>
  <c r="AZ199" i="5"/>
  <c r="AY199" i="5"/>
  <c r="AZ198" i="5"/>
  <c r="AY198" i="5"/>
  <c r="AZ197" i="5"/>
  <c r="AY197" i="5"/>
  <c r="AZ196" i="5"/>
  <c r="AY196" i="5"/>
  <c r="AZ195" i="5"/>
  <c r="AY195" i="5"/>
  <c r="AZ194" i="5"/>
  <c r="AY194" i="5"/>
  <c r="AZ193" i="5"/>
  <c r="AY193" i="5"/>
  <c r="AZ192" i="5"/>
  <c r="AY192" i="5"/>
  <c r="AZ191" i="5"/>
  <c r="AY191" i="5"/>
  <c r="AZ190" i="5"/>
  <c r="AY190" i="5"/>
  <c r="AZ189" i="5"/>
  <c r="AY189" i="5"/>
  <c r="AZ188" i="5"/>
  <c r="AY188" i="5"/>
  <c r="AZ187" i="5"/>
  <c r="AY187" i="5"/>
  <c r="AZ186" i="5"/>
  <c r="AY186" i="5"/>
  <c r="AZ185" i="5"/>
  <c r="AY185" i="5"/>
  <c r="AZ184" i="5"/>
  <c r="AY184" i="5"/>
  <c r="AZ183" i="5"/>
  <c r="AY183" i="5"/>
  <c r="AZ182" i="5"/>
  <c r="AY182" i="5"/>
  <c r="AZ181" i="5"/>
  <c r="AY181" i="5"/>
  <c r="AZ180" i="5"/>
  <c r="AY180" i="5"/>
  <c r="AZ179" i="5"/>
  <c r="AY179" i="5"/>
  <c r="AZ178" i="5"/>
  <c r="AY178" i="5"/>
  <c r="AZ177" i="5"/>
  <c r="AY177" i="5"/>
  <c r="AZ176" i="5"/>
  <c r="AY176" i="5"/>
  <c r="AZ175" i="5"/>
  <c r="AY175" i="5"/>
  <c r="AZ174" i="5"/>
  <c r="AY174" i="5"/>
  <c r="AZ173" i="5"/>
  <c r="AY173" i="5"/>
  <c r="AZ172" i="5"/>
  <c r="AY172" i="5"/>
  <c r="AZ171" i="5"/>
  <c r="AY171" i="5"/>
  <c r="AZ170" i="5"/>
  <c r="AY170" i="5"/>
  <c r="AZ169" i="5"/>
  <c r="AY169" i="5"/>
  <c r="AZ168" i="5"/>
  <c r="AY168" i="5"/>
  <c r="AZ167" i="5"/>
  <c r="AY167" i="5"/>
  <c r="AZ166" i="5"/>
  <c r="AY166" i="5"/>
  <c r="AZ165" i="5"/>
  <c r="AY165" i="5"/>
  <c r="AZ164" i="5"/>
  <c r="AY164" i="5"/>
  <c r="AZ163" i="5"/>
  <c r="AY163" i="5"/>
  <c r="AZ162" i="5"/>
  <c r="AY162" i="5"/>
  <c r="AZ161" i="5"/>
  <c r="AY161" i="5"/>
  <c r="AZ160" i="5"/>
  <c r="AY160" i="5"/>
  <c r="AZ159" i="5"/>
  <c r="AY159" i="5"/>
  <c r="AZ158" i="5"/>
  <c r="AY158" i="5"/>
  <c r="AZ157" i="5"/>
  <c r="AY157" i="5"/>
  <c r="AZ156" i="5"/>
  <c r="AY156" i="5"/>
  <c r="AZ155" i="5"/>
  <c r="AY155" i="5"/>
  <c r="AZ154" i="5"/>
  <c r="AY154" i="5"/>
  <c r="AZ153" i="5"/>
  <c r="AY153" i="5"/>
  <c r="AZ152" i="5"/>
  <c r="AY152" i="5"/>
  <c r="AZ151" i="5"/>
  <c r="AY151" i="5"/>
  <c r="AZ150" i="5"/>
  <c r="AY150" i="5"/>
  <c r="AZ149" i="5"/>
  <c r="AY149" i="5"/>
  <c r="AZ148" i="5"/>
  <c r="AY148" i="5"/>
  <c r="AZ147" i="5"/>
  <c r="AY147" i="5"/>
  <c r="AZ146" i="5"/>
  <c r="AY146" i="5"/>
  <c r="AZ145" i="5"/>
  <c r="AY145" i="5"/>
  <c r="AZ144" i="5"/>
  <c r="AY144" i="5"/>
  <c r="AZ143" i="5"/>
  <c r="AY143" i="5"/>
  <c r="AZ142" i="5"/>
  <c r="AY142" i="5"/>
  <c r="AZ141" i="5"/>
  <c r="AY141" i="5"/>
  <c r="AZ140" i="5"/>
  <c r="AY140" i="5"/>
  <c r="AZ139" i="5"/>
  <c r="AY139" i="5"/>
  <c r="AZ138" i="5"/>
  <c r="AY138" i="5"/>
  <c r="AZ137" i="5"/>
  <c r="AY137" i="5"/>
  <c r="AZ136" i="5"/>
  <c r="AY136" i="5"/>
  <c r="AZ135" i="5"/>
  <c r="AY135" i="5"/>
  <c r="AZ134" i="5"/>
  <c r="AY134" i="5"/>
  <c r="AZ133" i="5"/>
  <c r="AY133" i="5"/>
  <c r="AZ132" i="5"/>
  <c r="AY132" i="5"/>
  <c r="AZ131" i="5"/>
  <c r="AY131" i="5"/>
  <c r="AZ130" i="5"/>
  <c r="AY130" i="5"/>
  <c r="AZ129" i="5"/>
  <c r="AY129" i="5"/>
  <c r="AZ128" i="5"/>
  <c r="AY128" i="5"/>
  <c r="AZ127" i="5"/>
  <c r="AY127" i="5"/>
  <c r="AZ126" i="5"/>
  <c r="AY126" i="5"/>
  <c r="AZ125" i="5"/>
  <c r="AY125" i="5"/>
  <c r="AZ124" i="5"/>
  <c r="AY124" i="5"/>
  <c r="AZ123" i="5"/>
  <c r="AY123" i="5"/>
  <c r="AZ122" i="5"/>
  <c r="AY122" i="5"/>
  <c r="AZ121" i="5"/>
  <c r="AY121" i="5"/>
  <c r="AZ120" i="5"/>
  <c r="AY120" i="5"/>
  <c r="AZ119" i="5"/>
  <c r="AY119" i="5"/>
  <c r="AZ118" i="5"/>
  <c r="AY118" i="5"/>
  <c r="AZ117" i="5"/>
  <c r="AY117" i="5"/>
  <c r="AZ116" i="5"/>
  <c r="AY116" i="5"/>
  <c r="AZ115" i="5"/>
  <c r="AY115" i="5"/>
  <c r="AZ114" i="5"/>
  <c r="AY114" i="5"/>
  <c r="AZ113" i="5"/>
  <c r="AY113" i="5"/>
  <c r="AZ112" i="5"/>
  <c r="AY112" i="5"/>
  <c r="AZ111" i="5"/>
  <c r="AY111" i="5"/>
  <c r="AZ110" i="5"/>
  <c r="AY110" i="5"/>
  <c r="AZ109" i="5"/>
  <c r="AY109" i="5"/>
  <c r="AZ108" i="5"/>
  <c r="AY108" i="5"/>
  <c r="AZ107" i="5"/>
  <c r="AY107" i="5"/>
  <c r="AZ106" i="5"/>
  <c r="AY106" i="5"/>
  <c r="AZ105" i="5"/>
  <c r="AY105" i="5"/>
  <c r="AZ104" i="5"/>
  <c r="AY104" i="5"/>
  <c r="AZ103" i="5"/>
  <c r="AY103" i="5"/>
  <c r="AZ102" i="5"/>
  <c r="AY102" i="5"/>
  <c r="AZ101" i="5"/>
  <c r="AY101" i="5"/>
  <c r="AZ100" i="5"/>
  <c r="AY100" i="5"/>
  <c r="AZ99" i="5"/>
  <c r="AY99" i="5"/>
  <c r="AZ98" i="5"/>
  <c r="AY98" i="5"/>
  <c r="AZ97" i="5"/>
  <c r="AY97" i="5"/>
  <c r="AZ96" i="5"/>
  <c r="AY96" i="5"/>
  <c r="AZ95" i="5"/>
  <c r="AY95" i="5"/>
  <c r="AZ94" i="5"/>
  <c r="AY94" i="5"/>
  <c r="AZ93" i="5"/>
  <c r="AY93" i="5"/>
  <c r="AZ92" i="5"/>
  <c r="AY92" i="5"/>
  <c r="AZ91" i="5"/>
  <c r="AY91" i="5"/>
  <c r="AZ90" i="5"/>
  <c r="AY90" i="5"/>
  <c r="AZ89" i="5"/>
  <c r="AY89" i="5"/>
  <c r="AZ88" i="5"/>
  <c r="AY88" i="5"/>
  <c r="AZ87" i="5"/>
  <c r="AY87" i="5"/>
  <c r="AZ86" i="5"/>
  <c r="AY86" i="5"/>
  <c r="AZ85" i="5"/>
  <c r="AY85" i="5"/>
  <c r="AZ84" i="5"/>
  <c r="AY84" i="5"/>
  <c r="AZ83" i="5"/>
  <c r="AY83" i="5"/>
  <c r="AZ82" i="5"/>
  <c r="AY82" i="5"/>
  <c r="AZ81" i="5"/>
  <c r="AY81" i="5"/>
  <c r="AZ80" i="5"/>
  <c r="AY80" i="5"/>
  <c r="AZ79" i="5"/>
  <c r="AY79" i="5"/>
  <c r="AZ78" i="5"/>
  <c r="AY78" i="5"/>
  <c r="AZ77" i="5"/>
  <c r="AY77" i="5"/>
  <c r="AZ76" i="5"/>
  <c r="AY76" i="5"/>
  <c r="AZ75" i="5"/>
  <c r="AY75" i="5"/>
  <c r="AZ74" i="5"/>
  <c r="AY74" i="5"/>
  <c r="AZ73" i="5"/>
  <c r="AY73" i="5"/>
  <c r="AZ72" i="5"/>
  <c r="AY72" i="5"/>
  <c r="AZ70" i="5"/>
  <c r="AY70" i="5"/>
  <c r="AZ69" i="5"/>
  <c r="AY69" i="5"/>
  <c r="AZ68" i="5"/>
  <c r="AY68" i="5"/>
  <c r="AZ67" i="5"/>
  <c r="AY67" i="5"/>
  <c r="AZ66" i="5"/>
  <c r="AY66" i="5"/>
  <c r="AZ65" i="5"/>
  <c r="AY65" i="5"/>
  <c r="AZ64" i="5"/>
  <c r="AY64" i="5"/>
  <c r="AZ63" i="5"/>
  <c r="AY63" i="5"/>
  <c r="AZ62" i="5"/>
  <c r="AY62" i="5"/>
  <c r="AZ61" i="5"/>
  <c r="AY61" i="5"/>
  <c r="AZ60" i="5"/>
  <c r="AY60" i="5"/>
  <c r="AZ59" i="5"/>
  <c r="AY59" i="5"/>
  <c r="AZ58" i="5"/>
  <c r="AY58" i="5"/>
  <c r="AZ57" i="5"/>
  <c r="AY57" i="5"/>
  <c r="AZ56" i="5"/>
  <c r="AY56" i="5"/>
  <c r="AZ55" i="5"/>
  <c r="AY55" i="5"/>
  <c r="AZ54" i="5"/>
  <c r="AY54" i="5"/>
  <c r="AZ53" i="5"/>
  <c r="AY53" i="5"/>
  <c r="AZ52" i="5"/>
  <c r="AY52" i="5"/>
  <c r="AZ51" i="5"/>
  <c r="AY51" i="5"/>
  <c r="AZ50" i="5"/>
  <c r="AY50" i="5"/>
  <c r="AZ49" i="5"/>
  <c r="AY49" i="5"/>
  <c r="AZ48" i="5"/>
  <c r="AY48" i="5"/>
  <c r="AZ47" i="5"/>
  <c r="AY47" i="5"/>
  <c r="AZ46" i="5"/>
  <c r="AY46" i="5"/>
  <c r="AZ45" i="5"/>
  <c r="AY45" i="5"/>
  <c r="AZ44" i="5"/>
  <c r="AY44" i="5"/>
  <c r="AZ43" i="5"/>
  <c r="AY43" i="5"/>
  <c r="AZ42" i="5"/>
  <c r="AY42" i="5"/>
  <c r="AZ41" i="5"/>
  <c r="AY41" i="5"/>
  <c r="AZ40" i="5"/>
  <c r="AY40" i="5"/>
  <c r="AZ39" i="5"/>
  <c r="AY39" i="5"/>
  <c r="AZ38" i="5"/>
  <c r="AY38" i="5"/>
  <c r="AZ37" i="5"/>
  <c r="AY37" i="5"/>
  <c r="AZ36" i="5"/>
  <c r="AY36" i="5"/>
  <c r="AZ35" i="5"/>
  <c r="AY35" i="5"/>
  <c r="AZ34" i="5"/>
  <c r="AY34" i="5"/>
  <c r="AV34" i="5"/>
  <c r="BF33" i="5"/>
  <c r="BE33" i="5"/>
  <c r="BE34" i="5" s="1"/>
  <c r="BE35" i="5" s="1"/>
  <c r="AZ33" i="5"/>
  <c r="AY33" i="5"/>
  <c r="AU21" i="5"/>
  <c r="BF32" i="5"/>
  <c r="BD32" i="5"/>
  <c r="AZ32" i="5"/>
  <c r="AY32" i="5"/>
  <c r="AV32" i="5"/>
  <c r="BF31" i="5"/>
  <c r="BD31" i="5"/>
  <c r="AZ31" i="5"/>
  <c r="AY31" i="5"/>
  <c r="AV31" i="5"/>
  <c r="BF30" i="5"/>
  <c r="BD30" i="5"/>
  <c r="AZ30" i="5"/>
  <c r="AY30" i="5"/>
  <c r="AV30" i="5"/>
  <c r="BF29" i="5"/>
  <c r="BD29" i="5"/>
  <c r="AZ29" i="5"/>
  <c r="AY29" i="5"/>
  <c r="AV29" i="5"/>
  <c r="BF28" i="5"/>
  <c r="BD28" i="5"/>
  <c r="AZ28" i="5"/>
  <c r="AY28" i="5"/>
  <c r="AV28" i="5"/>
  <c r="BD27" i="5"/>
  <c r="AZ27" i="5"/>
  <c r="AY27" i="5"/>
  <c r="BD26" i="5"/>
  <c r="AZ26" i="5"/>
  <c r="AY26" i="5"/>
  <c r="BD25" i="5"/>
  <c r="AZ25" i="5"/>
  <c r="AY25" i="5"/>
  <c r="BD24" i="5"/>
  <c r="AZ24" i="5"/>
  <c r="AY24" i="5"/>
  <c r="BD23" i="5"/>
  <c r="AZ23" i="5"/>
  <c r="AY23" i="5"/>
  <c r="BD22" i="5"/>
  <c r="AZ22" i="5"/>
  <c r="AY22" i="5"/>
  <c r="AU22" i="5"/>
  <c r="BG21" i="5"/>
  <c r="BF21" i="5" s="1"/>
  <c r="BD21" i="5"/>
  <c r="AZ21" i="5"/>
  <c r="AY21" i="5"/>
  <c r="AS21" i="5"/>
  <c r="AS22" i="5" s="1"/>
  <c r="C25" i="5"/>
  <c r="BG20" i="5"/>
  <c r="BF20" i="5" s="1"/>
  <c r="BD20" i="5"/>
  <c r="AZ20" i="5"/>
  <c r="AY20" i="5"/>
  <c r="AR20" i="5"/>
  <c r="AU20" i="5"/>
  <c r="N82" i="4"/>
  <c r="BD29" i="19" s="1"/>
  <c r="J82" i="4"/>
  <c r="N80" i="4"/>
  <c r="I80" i="4"/>
  <c r="N79" i="4"/>
  <c r="N81" i="4" s="1"/>
  <c r="I79" i="4"/>
  <c r="P81" i="4" s="1"/>
  <c r="B78" i="4"/>
  <c r="G25" i="5" l="1"/>
  <c r="BD43" i="75"/>
  <c r="AH42" i="75"/>
  <c r="AF34" i="75"/>
  <c r="AL33" i="75"/>
  <c r="AN28" i="69"/>
  <c r="AL29" i="69"/>
  <c r="AT29" i="69" s="1"/>
  <c r="AL37" i="73"/>
  <c r="AF38" i="73"/>
  <c r="U28" i="73"/>
  <c r="AT36" i="73"/>
  <c r="AJ64" i="69"/>
  <c r="AJ15" i="69"/>
  <c r="AR28" i="69" s="1"/>
  <c r="AJ15" i="65"/>
  <c r="AT28" i="69"/>
  <c r="BD38" i="73"/>
  <c r="BF37" i="73"/>
  <c r="AL30" i="69"/>
  <c r="AT30" i="69" s="1"/>
  <c r="AF31" i="69"/>
  <c r="AH64" i="69"/>
  <c r="BD33" i="5"/>
  <c r="AB60" i="19"/>
  <c r="BD30" i="19"/>
  <c r="BD31" i="19" s="1"/>
  <c r="H25" i="5"/>
  <c r="AZ28" i="14"/>
  <c r="AZ29" i="14" s="1"/>
  <c r="AZ30" i="14" s="1"/>
  <c r="AZ31" i="14" s="1"/>
  <c r="AZ32" i="14" s="1"/>
  <c r="AZ33" i="14" s="1"/>
  <c r="AZ34" i="14" s="1"/>
  <c r="AZ35" i="14" s="1"/>
  <c r="AZ36" i="14" s="1"/>
  <c r="AZ37" i="14" s="1"/>
  <c r="AZ38" i="14" s="1"/>
  <c r="AZ39" i="14" s="1"/>
  <c r="AZ40" i="14" s="1"/>
  <c r="AZ41" i="14" s="1"/>
  <c r="AZ42" i="14" s="1"/>
  <c r="AZ43" i="14" s="1"/>
  <c r="AZ44" i="14" s="1"/>
  <c r="AZ45" i="14" s="1"/>
  <c r="AZ46" i="14" s="1"/>
  <c r="AZ47" i="14" s="1"/>
  <c r="AZ48" i="14" s="1"/>
  <c r="AZ49" i="14" s="1"/>
  <c r="AZ50" i="14" s="1"/>
  <c r="AZ51" i="14" s="1"/>
  <c r="AZ52" i="14" s="1"/>
  <c r="AZ53" i="14" s="1"/>
  <c r="AZ54" i="14" s="1"/>
  <c r="AZ55" i="14" s="1"/>
  <c r="AZ56" i="14" s="1"/>
  <c r="C29" i="14"/>
  <c r="C30" i="14" s="1"/>
  <c r="AT35" i="20"/>
  <c r="AX35" i="20" s="1"/>
  <c r="U35" i="20" s="1"/>
  <c r="W35" i="20" s="1"/>
  <c r="Y35" i="20" s="1"/>
  <c r="BD37" i="20"/>
  <c r="BF36" i="20"/>
  <c r="AF37" i="20"/>
  <c r="AL36" i="20"/>
  <c r="AX28" i="20"/>
  <c r="AB28" i="14"/>
  <c r="BF28" i="19"/>
  <c r="BB29" i="19"/>
  <c r="AR21" i="5"/>
  <c r="BD34" i="5"/>
  <c r="H81" i="4"/>
  <c r="O81" i="4"/>
  <c r="AJ16" i="14"/>
  <c r="AS23" i="5"/>
  <c r="AR22" i="5"/>
  <c r="AV33" i="5"/>
  <c r="BE36" i="5"/>
  <c r="AU23" i="5"/>
  <c r="BD35" i="5"/>
  <c r="AT20" i="5"/>
  <c r="AT21" i="5"/>
  <c r="AV21" i="5" s="1"/>
  <c r="C26" i="5"/>
  <c r="AT22" i="5"/>
  <c r="AV22" i="5" s="1"/>
  <c r="AF35" i="75" l="1"/>
  <c r="AL34" i="75"/>
  <c r="AH43" i="75"/>
  <c r="BD44" i="75"/>
  <c r="J26" i="5"/>
  <c r="AN29" i="69" s="1"/>
  <c r="AP29" i="69" s="1"/>
  <c r="AN36" i="20"/>
  <c r="AP36" i="20" s="1"/>
  <c r="AN34" i="73"/>
  <c r="AN34" i="75"/>
  <c r="AP34" i="75" s="1"/>
  <c r="AV34" i="75" s="1"/>
  <c r="AN30" i="21"/>
  <c r="AP30" i="21" s="1"/>
  <c r="AN30" i="72"/>
  <c r="AP28" i="69"/>
  <c r="AF32" i="69"/>
  <c r="AL31" i="69"/>
  <c r="AR29" i="69"/>
  <c r="AF39" i="73"/>
  <c r="AL38" i="73"/>
  <c r="W28" i="73"/>
  <c r="AT37" i="73"/>
  <c r="BD39" i="73"/>
  <c r="BF38" i="73"/>
  <c r="AJ15" i="51"/>
  <c r="AJ15" i="40"/>
  <c r="AB61" i="19"/>
  <c r="H26" i="5"/>
  <c r="G26" i="5"/>
  <c r="AN32" i="19"/>
  <c r="AT28" i="19"/>
  <c r="AB29" i="14"/>
  <c r="U28" i="20"/>
  <c r="W28" i="20" s="1"/>
  <c r="Y28" i="20" s="1"/>
  <c r="AT36" i="20"/>
  <c r="AF38" i="20"/>
  <c r="AL37" i="20"/>
  <c r="BD38" i="20"/>
  <c r="BF37" i="20"/>
  <c r="BF29" i="19"/>
  <c r="AT29" i="19" s="1"/>
  <c r="BB30" i="19"/>
  <c r="K32" i="19"/>
  <c r="AH32" i="19"/>
  <c r="AR32" i="19"/>
  <c r="M32" i="19"/>
  <c r="BD32" i="19"/>
  <c r="AJ32" i="19"/>
  <c r="I32" i="19"/>
  <c r="AF32" i="19"/>
  <c r="AJ15" i="14"/>
  <c r="C31" i="14"/>
  <c r="C27" i="5"/>
  <c r="Y22" i="5"/>
  <c r="AV35" i="5"/>
  <c r="AT23" i="5"/>
  <c r="BG22" i="5"/>
  <c r="BF22" i="5" s="1"/>
  <c r="BF34" i="5"/>
  <c r="AV20" i="5"/>
  <c r="BF35" i="5"/>
  <c r="BG23" i="5"/>
  <c r="BF23" i="5" s="1"/>
  <c r="BE37" i="5"/>
  <c r="AU24" i="5"/>
  <c r="BD36" i="5"/>
  <c r="AR23" i="5"/>
  <c r="AS24" i="5"/>
  <c r="AH44" i="75" l="1"/>
  <c r="BD45" i="75"/>
  <c r="AF36" i="75"/>
  <c r="AL35" i="75"/>
  <c r="AN31" i="21"/>
  <c r="AP31" i="21" s="1"/>
  <c r="AV31" i="21" s="1"/>
  <c r="AX31" i="21" s="1"/>
  <c r="U31" i="21" s="1"/>
  <c r="W31" i="21" s="1"/>
  <c r="Y31" i="21" s="1"/>
  <c r="AN31" i="72"/>
  <c r="AP31" i="72" s="1"/>
  <c r="AV31" i="72" s="1"/>
  <c r="AX31" i="72" s="1"/>
  <c r="U31" i="72" s="1"/>
  <c r="O28" i="45"/>
  <c r="O28" i="44"/>
  <c r="O31" i="72"/>
  <c r="AV28" i="69"/>
  <c r="AX28" i="69" s="1"/>
  <c r="U28" i="69" s="1"/>
  <c r="AN35" i="73"/>
  <c r="AP35" i="73" s="1"/>
  <c r="AV35" i="73" s="1"/>
  <c r="AX35" i="73" s="1"/>
  <c r="U35" i="73" s="1"/>
  <c r="AN35" i="75"/>
  <c r="AP35" i="75" s="1"/>
  <c r="AV35" i="75" s="1"/>
  <c r="AP30" i="72"/>
  <c r="AP34" i="73"/>
  <c r="AT38" i="73"/>
  <c r="AT31" i="69"/>
  <c r="AF40" i="73"/>
  <c r="AL39" i="73"/>
  <c r="AL32" i="69"/>
  <c r="AT32" i="69" s="1"/>
  <c r="AF33" i="69"/>
  <c r="Y28" i="73"/>
  <c r="AR30" i="69"/>
  <c r="AV29" i="69"/>
  <c r="BD40" i="73"/>
  <c r="BF39" i="73"/>
  <c r="E28" i="40"/>
  <c r="AJ28" i="40" s="1"/>
  <c r="J27" i="5"/>
  <c r="AN30" i="69" s="1"/>
  <c r="H27" i="5"/>
  <c r="G27" i="5"/>
  <c r="AV36" i="20"/>
  <c r="AB30" i="14"/>
  <c r="AB31" i="14" s="1"/>
  <c r="E28" i="14"/>
  <c r="AR28" i="14" s="1"/>
  <c r="AN37" i="20"/>
  <c r="AN33" i="19"/>
  <c r="AP33" i="19" s="1"/>
  <c r="AB62" i="19"/>
  <c r="AV30" i="21"/>
  <c r="AT37" i="20"/>
  <c r="AF39" i="20"/>
  <c r="AL38" i="20"/>
  <c r="BD39" i="20"/>
  <c r="BF38" i="20"/>
  <c r="AJ33" i="19"/>
  <c r="AJ34" i="19" s="1"/>
  <c r="AH33" i="19"/>
  <c r="AH34" i="19" s="1"/>
  <c r="I33" i="19"/>
  <c r="I34" i="19" s="1"/>
  <c r="AR33" i="19"/>
  <c r="AR34" i="19" s="1"/>
  <c r="BF30" i="19"/>
  <c r="BB31" i="19"/>
  <c r="AF33" i="19"/>
  <c r="AL32" i="19"/>
  <c r="BD33" i="19"/>
  <c r="BD34" i="19" s="1"/>
  <c r="K33" i="19"/>
  <c r="K34" i="19" s="1"/>
  <c r="M33" i="19"/>
  <c r="M34" i="19" s="1"/>
  <c r="C32" i="14"/>
  <c r="AV23" i="5"/>
  <c r="C28" i="5"/>
  <c r="Y23" i="5"/>
  <c r="BF36" i="5"/>
  <c r="BF24" i="5"/>
  <c r="BE38" i="5"/>
  <c r="AU25" i="5"/>
  <c r="BD37" i="5"/>
  <c r="AR24" i="5"/>
  <c r="AS25" i="5"/>
  <c r="AV36" i="5"/>
  <c r="AT24" i="5"/>
  <c r="AV24" i="5" s="1"/>
  <c r="I24" i="5" l="1"/>
  <c r="AF37" i="75"/>
  <c r="AL36" i="75"/>
  <c r="BD46" i="75"/>
  <c r="AH45" i="75"/>
  <c r="E28" i="51"/>
  <c r="AN34" i="19"/>
  <c r="AN36" i="75"/>
  <c r="AP36" i="75" s="1"/>
  <c r="AV36" i="75" s="1"/>
  <c r="AN36" i="73"/>
  <c r="AV30" i="72"/>
  <c r="E28" i="65"/>
  <c r="AN32" i="21"/>
  <c r="AP32" i="21" s="1"/>
  <c r="AV32" i="21" s="1"/>
  <c r="AX32" i="21" s="1"/>
  <c r="U32" i="21" s="1"/>
  <c r="W32" i="21" s="1"/>
  <c r="Y32" i="21" s="1"/>
  <c r="AN32" i="72"/>
  <c r="AN28" i="40"/>
  <c r="S28" i="44"/>
  <c r="AP30" i="69"/>
  <c r="AV30" i="69" s="1"/>
  <c r="AX30" i="69" s="1"/>
  <c r="U30" i="69" s="1"/>
  <c r="AV34" i="73"/>
  <c r="O28" i="40"/>
  <c r="O29" i="45"/>
  <c r="S29" i="45" s="1"/>
  <c r="O32" i="72"/>
  <c r="S32" i="72" s="1"/>
  <c r="O28" i="65"/>
  <c r="O29" i="44"/>
  <c r="S29" i="44" s="1"/>
  <c r="O28" i="51"/>
  <c r="S28" i="45"/>
  <c r="S31" i="72"/>
  <c r="AF34" i="69"/>
  <c r="AL33" i="69"/>
  <c r="AT33" i="69" s="1"/>
  <c r="AX29" i="69"/>
  <c r="AT39" i="73"/>
  <c r="AR31" i="69"/>
  <c r="AL40" i="73"/>
  <c r="AF41" i="73"/>
  <c r="BD41" i="73"/>
  <c r="BF40" i="73"/>
  <c r="AR28" i="40"/>
  <c r="AN28" i="14"/>
  <c r="E29" i="40"/>
  <c r="I28" i="40"/>
  <c r="AF14" i="40"/>
  <c r="AH28" i="40"/>
  <c r="BB28" i="40"/>
  <c r="BD28" i="40"/>
  <c r="AF28" i="40"/>
  <c r="E29" i="14"/>
  <c r="AX30" i="21"/>
  <c r="AN38" i="20"/>
  <c r="AP38" i="20" s="1"/>
  <c r="AV38" i="20" s="1"/>
  <c r="AP37" i="20"/>
  <c r="AX36" i="20"/>
  <c r="U36" i="20" s="1"/>
  <c r="AH28" i="14"/>
  <c r="BD28" i="14"/>
  <c r="AJ28" i="14"/>
  <c r="AF28" i="14"/>
  <c r="BB28" i="14"/>
  <c r="AV33" i="19"/>
  <c r="J28" i="5"/>
  <c r="H28" i="5"/>
  <c r="G28" i="5"/>
  <c r="AF14" i="14"/>
  <c r="AT30" i="19"/>
  <c r="AT38" i="20"/>
  <c r="BD40" i="20"/>
  <c r="BF39" i="20"/>
  <c r="AF40" i="20"/>
  <c r="AL39" i="20"/>
  <c r="BF31" i="19"/>
  <c r="AT31" i="19" s="1"/>
  <c r="BB32" i="19"/>
  <c r="AF34" i="19"/>
  <c r="AL33" i="19"/>
  <c r="K35" i="19"/>
  <c r="C33" i="14"/>
  <c r="AB32" i="14"/>
  <c r="C29" i="5"/>
  <c r="Y24" i="5"/>
  <c r="AV37" i="5"/>
  <c r="AT25" i="5"/>
  <c r="AV25" i="5" s="1"/>
  <c r="BE39" i="5"/>
  <c r="AU26" i="5"/>
  <c r="BD38" i="5"/>
  <c r="AR25" i="5"/>
  <c r="AS26" i="5"/>
  <c r="BF37" i="5"/>
  <c r="BG25" i="5"/>
  <c r="BF25" i="5" s="1"/>
  <c r="AH46" i="75" l="1"/>
  <c r="BD47" i="75"/>
  <c r="AF38" i="75"/>
  <c r="AL37" i="75"/>
  <c r="AN29" i="14"/>
  <c r="AP29" i="14" s="1"/>
  <c r="AN28" i="65"/>
  <c r="AN28" i="51"/>
  <c r="AN31" i="69"/>
  <c r="E29" i="65"/>
  <c r="E29" i="51"/>
  <c r="M29" i="51" s="1"/>
  <c r="W31" i="72"/>
  <c r="Y31" i="72" s="1"/>
  <c r="AN39" i="20"/>
  <c r="AP39" i="20" s="1"/>
  <c r="AV39" i="20" s="1"/>
  <c r="AN37" i="75"/>
  <c r="AP37" i="75" s="1"/>
  <c r="AV37" i="75" s="1"/>
  <c r="AN37" i="73"/>
  <c r="AP37" i="73" s="1"/>
  <c r="AV37" i="73" s="1"/>
  <c r="AX37" i="73" s="1"/>
  <c r="U37" i="73" s="1"/>
  <c r="AN33" i="21"/>
  <c r="AP33" i="21" s="1"/>
  <c r="AV33" i="21" s="1"/>
  <c r="AX33" i="21" s="1"/>
  <c r="U33" i="21" s="1"/>
  <c r="W33" i="21" s="1"/>
  <c r="Y33" i="21" s="1"/>
  <c r="AN33" i="72"/>
  <c r="AP33" i="72" s="1"/>
  <c r="AV33" i="72" s="1"/>
  <c r="AX33" i="72" s="1"/>
  <c r="U33" i="72" s="1"/>
  <c r="AN35" i="19"/>
  <c r="O29" i="40"/>
  <c r="O30" i="45"/>
  <c r="O33" i="72"/>
  <c r="O29" i="65"/>
  <c r="O30" i="44"/>
  <c r="S30" i="44" s="1"/>
  <c r="O29" i="51"/>
  <c r="AP36" i="73"/>
  <c r="AP32" i="72"/>
  <c r="BB28" i="65"/>
  <c r="BD28" i="65"/>
  <c r="AF28" i="65"/>
  <c r="AF14" i="65"/>
  <c r="AJ28" i="65"/>
  <c r="AH28" i="65"/>
  <c r="AR28" i="65"/>
  <c r="I28" i="51"/>
  <c r="BB28" i="51"/>
  <c r="BD28" i="51"/>
  <c r="AF28" i="51"/>
  <c r="AF14" i="51"/>
  <c r="AJ28" i="51"/>
  <c r="AH28" i="51"/>
  <c r="AR28" i="51"/>
  <c r="AX34" i="73"/>
  <c r="U34" i="73" s="1"/>
  <c r="AX30" i="72"/>
  <c r="AF35" i="69"/>
  <c r="AL34" i="69"/>
  <c r="AL41" i="73"/>
  <c r="AF42" i="73"/>
  <c r="AR32" i="69"/>
  <c r="BD42" i="73"/>
  <c r="BF41" i="73"/>
  <c r="AT40" i="73"/>
  <c r="U29" i="69"/>
  <c r="AP28" i="14"/>
  <c r="AP28" i="40"/>
  <c r="AJ29" i="40"/>
  <c r="M29" i="40"/>
  <c r="AF29" i="40"/>
  <c r="AR29" i="40"/>
  <c r="E30" i="40"/>
  <c r="AH29" i="40"/>
  <c r="BD29" i="40"/>
  <c r="AN29" i="40"/>
  <c r="AP29" i="40" s="1"/>
  <c r="BF28" i="40"/>
  <c r="BB29" i="40"/>
  <c r="I29" i="40"/>
  <c r="AX38" i="20"/>
  <c r="U38" i="20" s="1"/>
  <c r="W38" i="20" s="1"/>
  <c r="Y38" i="20" s="1"/>
  <c r="H29" i="5"/>
  <c r="AN34" i="21" s="1"/>
  <c r="AP34" i="21" s="1"/>
  <c r="AV34" i="21" s="1"/>
  <c r="AX34" i="21" s="1"/>
  <c r="U34" i="21" s="1"/>
  <c r="W34" i="21" s="1"/>
  <c r="Y34" i="21" s="1"/>
  <c r="J29" i="5"/>
  <c r="AN30" i="14" s="1"/>
  <c r="G29" i="5"/>
  <c r="E30" i="14"/>
  <c r="AV37" i="20"/>
  <c r="U30" i="21"/>
  <c r="W36" i="20"/>
  <c r="AT39" i="20"/>
  <c r="AF41" i="20"/>
  <c r="AL40" i="20"/>
  <c r="BD41" i="20"/>
  <c r="BF40" i="20"/>
  <c r="I35" i="19"/>
  <c r="M35" i="19"/>
  <c r="BB33" i="19"/>
  <c r="BF32" i="19"/>
  <c r="AT32" i="19" s="1"/>
  <c r="K36" i="19"/>
  <c r="AJ35" i="19"/>
  <c r="AF35" i="19"/>
  <c r="AL34" i="19"/>
  <c r="AH35" i="19"/>
  <c r="BD35" i="19"/>
  <c r="AR35" i="19"/>
  <c r="M29" i="14"/>
  <c r="BB29" i="14"/>
  <c r="AF29" i="14"/>
  <c r="BD29" i="14"/>
  <c r="K29" i="14"/>
  <c r="AJ29" i="14"/>
  <c r="AR29" i="14"/>
  <c r="AH29" i="14"/>
  <c r="C34" i="14"/>
  <c r="AB33" i="14"/>
  <c r="BE40" i="5"/>
  <c r="AU27" i="5"/>
  <c r="BD39" i="5"/>
  <c r="C30" i="5"/>
  <c r="Y25" i="5"/>
  <c r="BF38" i="5"/>
  <c r="BG26" i="5"/>
  <c r="BF26" i="5" s="1"/>
  <c r="AS27" i="5"/>
  <c r="AR26" i="5"/>
  <c r="AV38" i="5"/>
  <c r="AT26" i="5"/>
  <c r="AR29" i="65" l="1"/>
  <c r="AF39" i="75"/>
  <c r="AL38" i="75"/>
  <c r="BD48" i="75"/>
  <c r="AH47" i="75"/>
  <c r="AJ29" i="51"/>
  <c r="AR29" i="51"/>
  <c r="AH29" i="51"/>
  <c r="O30" i="40"/>
  <c r="O31" i="45"/>
  <c r="S31" i="45" s="1"/>
  <c r="O34" i="73"/>
  <c r="O34" i="72"/>
  <c r="S34" i="72" s="1"/>
  <c r="O30" i="65"/>
  <c r="O31" i="44"/>
  <c r="S31" i="44" s="1"/>
  <c r="O30" i="51"/>
  <c r="AP28" i="65"/>
  <c r="AV28" i="65" s="1"/>
  <c r="AF29" i="51"/>
  <c r="AL28" i="51"/>
  <c r="AF29" i="65"/>
  <c r="AL28" i="65"/>
  <c r="AV32" i="72"/>
  <c r="S30" i="45"/>
  <c r="U30" i="72"/>
  <c r="BD29" i="51"/>
  <c r="AH29" i="65"/>
  <c r="BD29" i="65"/>
  <c r="AN40" i="20"/>
  <c r="AP40" i="20" s="1"/>
  <c r="AV40" i="20" s="1"/>
  <c r="BB29" i="51"/>
  <c r="BF28" i="51"/>
  <c r="AJ29" i="65"/>
  <c r="BB29" i="65"/>
  <c r="BF28" i="65"/>
  <c r="AV36" i="73"/>
  <c r="M29" i="65"/>
  <c r="K29" i="65"/>
  <c r="AP31" i="69"/>
  <c r="S28" i="51"/>
  <c r="I29" i="51"/>
  <c r="S33" i="72"/>
  <c r="AP28" i="51"/>
  <c r="AT41" i="73"/>
  <c r="AL35" i="69"/>
  <c r="AT35" i="69" s="1"/>
  <c r="AF36" i="69"/>
  <c r="AR33" i="69"/>
  <c r="BD43" i="73"/>
  <c r="BF42" i="73"/>
  <c r="AF43" i="73"/>
  <c r="AL42" i="73"/>
  <c r="AT34" i="69"/>
  <c r="AH30" i="14"/>
  <c r="BD30" i="14"/>
  <c r="M30" i="40"/>
  <c r="I30" i="40"/>
  <c r="AJ30" i="40"/>
  <c r="BB30" i="40"/>
  <c r="BF29" i="40"/>
  <c r="E31" i="40"/>
  <c r="AF30" i="40"/>
  <c r="BD30" i="40"/>
  <c r="AH30" i="40"/>
  <c r="AR30" i="40"/>
  <c r="AP30" i="14"/>
  <c r="J30" i="5"/>
  <c r="AN31" i="14" s="1"/>
  <c r="H30" i="5"/>
  <c r="AN35" i="21" s="1"/>
  <c r="AP35" i="21" s="1"/>
  <c r="G30" i="5"/>
  <c r="AN41" i="20" s="1"/>
  <c r="AP41" i="20" s="1"/>
  <c r="AV41" i="20" s="1"/>
  <c r="AX37" i="20"/>
  <c r="U37" i="20" s="1"/>
  <c r="W37" i="20" s="1"/>
  <c r="Y37" i="20" s="1"/>
  <c r="E31" i="14"/>
  <c r="W30" i="21"/>
  <c r="BD42" i="20"/>
  <c r="BF41" i="20"/>
  <c r="AF42" i="20"/>
  <c r="AL41" i="20"/>
  <c r="Y36" i="20"/>
  <c r="AX39" i="20"/>
  <c r="AT40" i="20"/>
  <c r="K30" i="14"/>
  <c r="M30" i="14"/>
  <c r="AJ30" i="14"/>
  <c r="BB30" i="14"/>
  <c r="BD36" i="19"/>
  <c r="M36" i="19"/>
  <c r="AJ36" i="19"/>
  <c r="I36" i="19"/>
  <c r="AH36" i="19"/>
  <c r="AR36" i="19"/>
  <c r="BF33" i="19"/>
  <c r="BB34" i="19"/>
  <c r="AR30" i="14"/>
  <c r="AF30" i="14"/>
  <c r="AL35" i="19"/>
  <c r="AF36" i="19"/>
  <c r="K37" i="19"/>
  <c r="AB34" i="14"/>
  <c r="C35" i="14"/>
  <c r="Y26" i="5"/>
  <c r="BF39" i="5"/>
  <c r="BF27" i="5"/>
  <c r="C31" i="5"/>
  <c r="AV26" i="5"/>
  <c r="AS28" i="5"/>
  <c r="AR27" i="5"/>
  <c r="BE41" i="5"/>
  <c r="BF40" i="5"/>
  <c r="AV40" i="5"/>
  <c r="BD40" i="5"/>
  <c r="AV39" i="5"/>
  <c r="AT27" i="5"/>
  <c r="AV27" i="5" s="1"/>
  <c r="AH48" i="75" l="1"/>
  <c r="BD49" i="75"/>
  <c r="AF40" i="75"/>
  <c r="AL39" i="75"/>
  <c r="AX40" i="20"/>
  <c r="U40" i="20" s="1"/>
  <c r="W40" i="20" s="1"/>
  <c r="Y40" i="20" s="1"/>
  <c r="AT42" i="73"/>
  <c r="W30" i="72"/>
  <c r="AX32" i="72"/>
  <c r="AT28" i="51"/>
  <c r="AV28" i="51"/>
  <c r="W33" i="72"/>
  <c r="Y33" i="72" s="1"/>
  <c r="AT28" i="65"/>
  <c r="AX28" i="65" s="1"/>
  <c r="U28" i="65" s="1"/>
  <c r="AL29" i="51"/>
  <c r="AV31" i="69"/>
  <c r="AX31" i="69" s="1"/>
  <c r="U31" i="69" s="1"/>
  <c r="BF29" i="65"/>
  <c r="AL29" i="65"/>
  <c r="O31" i="40"/>
  <c r="O32" i="45"/>
  <c r="O35" i="73"/>
  <c r="S35" i="73" s="1"/>
  <c r="W35" i="73" s="1"/>
  <c r="Y35" i="73" s="1"/>
  <c r="O35" i="72"/>
  <c r="O31" i="65"/>
  <c r="O32" i="44"/>
  <c r="O31" i="51"/>
  <c r="S29" i="51"/>
  <c r="AX36" i="73"/>
  <c r="U36" i="73" s="1"/>
  <c r="BF29" i="51"/>
  <c r="S34" i="73"/>
  <c r="W34" i="73" s="1"/>
  <c r="Y34" i="73" s="1"/>
  <c r="AF44" i="73"/>
  <c r="AL43" i="73"/>
  <c r="AR34" i="69"/>
  <c r="AF37" i="69"/>
  <c r="AL36" i="69"/>
  <c r="BD44" i="73"/>
  <c r="BF43" i="73"/>
  <c r="AH31" i="14"/>
  <c r="M31" i="40"/>
  <c r="I31" i="40"/>
  <c r="AR31" i="40"/>
  <c r="AJ31" i="40"/>
  <c r="AF31" i="40"/>
  <c r="BF30" i="40"/>
  <c r="BB31" i="40"/>
  <c r="BD31" i="40"/>
  <c r="AH31" i="40"/>
  <c r="BB31" i="14"/>
  <c r="AN37" i="19"/>
  <c r="K31" i="14"/>
  <c r="AJ31" i="14"/>
  <c r="AF31" i="14"/>
  <c r="M31" i="14"/>
  <c r="BD31" i="14"/>
  <c r="AR31" i="14"/>
  <c r="AP31" i="14"/>
  <c r="AV35" i="21"/>
  <c r="Y30" i="21"/>
  <c r="AT33" i="19"/>
  <c r="AX33" i="19" s="1"/>
  <c r="U33" i="19" s="1"/>
  <c r="W33" i="19" s="1"/>
  <c r="Y33" i="19" s="1"/>
  <c r="E32" i="14"/>
  <c r="H31" i="5"/>
  <c r="J31" i="5"/>
  <c r="AN32" i="14" s="1"/>
  <c r="G31" i="5"/>
  <c r="AN42" i="20" s="1"/>
  <c r="AP42" i="20" s="1"/>
  <c r="AV42" i="20" s="1"/>
  <c r="AT41" i="20"/>
  <c r="AX41" i="20" s="1"/>
  <c r="U41" i="20" s="1"/>
  <c r="W41" i="20" s="1"/>
  <c r="Y41" i="20" s="1"/>
  <c r="U39" i="20"/>
  <c r="AF43" i="20"/>
  <c r="AL42" i="20"/>
  <c r="BD43" i="20"/>
  <c r="BF42" i="20"/>
  <c r="AJ37" i="19"/>
  <c r="I37" i="19"/>
  <c r="BD37" i="19"/>
  <c r="AH37" i="19"/>
  <c r="AR37" i="19"/>
  <c r="M37" i="19"/>
  <c r="BF34" i="19"/>
  <c r="AT34" i="19" s="1"/>
  <c r="BB35" i="19"/>
  <c r="K38" i="19"/>
  <c r="AF37" i="19"/>
  <c r="AL36" i="19"/>
  <c r="C36" i="14"/>
  <c r="AB35" i="14"/>
  <c r="C32" i="5"/>
  <c r="AR28" i="5"/>
  <c r="AS29" i="5"/>
  <c r="BE42" i="5"/>
  <c r="BF41" i="5"/>
  <c r="AV41" i="5"/>
  <c r="BD41" i="5"/>
  <c r="Y27" i="5"/>
  <c r="AF41" i="75" l="1"/>
  <c r="AL40" i="75"/>
  <c r="BD50" i="75"/>
  <c r="AH49" i="75"/>
  <c r="AX28" i="51"/>
  <c r="U28" i="51" s="1"/>
  <c r="W28" i="51" s="1"/>
  <c r="Y28" i="51" s="1"/>
  <c r="S35" i="72"/>
  <c r="AT29" i="51"/>
  <c r="U32" i="72"/>
  <c r="O32" i="40"/>
  <c r="O33" i="45"/>
  <c r="S33" i="45" s="1"/>
  <c r="O36" i="73"/>
  <c r="O36" i="72"/>
  <c r="S36" i="72" s="1"/>
  <c r="O32" i="65"/>
  <c r="O33" i="44"/>
  <c r="S33" i="44" s="1"/>
  <c r="O32" i="51"/>
  <c r="S32" i="44"/>
  <c r="S32" i="45"/>
  <c r="AT29" i="65"/>
  <c r="Y30" i="72"/>
  <c r="AR35" i="69"/>
  <c r="AT36" i="69"/>
  <c r="AT43" i="73"/>
  <c r="BD45" i="73"/>
  <c r="BF44" i="73"/>
  <c r="AF38" i="69"/>
  <c r="AL37" i="69"/>
  <c r="AT37" i="69" s="1"/>
  <c r="AL44" i="73"/>
  <c r="AF45" i="73"/>
  <c r="AF32" i="14"/>
  <c r="BF31" i="40"/>
  <c r="AP32" i="14"/>
  <c r="E33" i="14"/>
  <c r="AX35" i="21"/>
  <c r="J32" i="5"/>
  <c r="AN33" i="14" s="1"/>
  <c r="H32" i="5"/>
  <c r="G32" i="5"/>
  <c r="BD44" i="20"/>
  <c r="BF43" i="20"/>
  <c r="AT42" i="20"/>
  <c r="AX42" i="20" s="1"/>
  <c r="AF44" i="20"/>
  <c r="AL43" i="20"/>
  <c r="W39" i="20"/>
  <c r="K39" i="19"/>
  <c r="AH38" i="19"/>
  <c r="AH39" i="19" s="1"/>
  <c r="BF35" i="19"/>
  <c r="AT35" i="19" s="1"/>
  <c r="BB36" i="19"/>
  <c r="AF38" i="19"/>
  <c r="AL37" i="19"/>
  <c r="AR38" i="19"/>
  <c r="AR39" i="19" s="1"/>
  <c r="AJ32" i="14"/>
  <c r="AH32" i="14"/>
  <c r="BB32" i="14"/>
  <c r="BD32" i="14"/>
  <c r="K32" i="14"/>
  <c r="I38" i="19"/>
  <c r="I39" i="19" s="1"/>
  <c r="M32" i="14"/>
  <c r="AJ38" i="19"/>
  <c r="AJ39" i="19" s="1"/>
  <c r="AR32" i="14"/>
  <c r="BD38" i="19"/>
  <c r="BD39" i="19" s="1"/>
  <c r="M38" i="19"/>
  <c r="M39" i="19" s="1"/>
  <c r="AB36" i="14"/>
  <c r="C37" i="14"/>
  <c r="BE43" i="5"/>
  <c r="BF42" i="5"/>
  <c r="AV42" i="5"/>
  <c r="BD42" i="5"/>
  <c r="AR29" i="5"/>
  <c r="AS30" i="5"/>
  <c r="Y28" i="5"/>
  <c r="C33" i="5"/>
  <c r="BD51" i="75" l="1"/>
  <c r="AH50" i="75"/>
  <c r="AF42" i="75"/>
  <c r="AL41" i="75"/>
  <c r="AT44" i="73"/>
  <c r="O33" i="40"/>
  <c r="O34" i="45"/>
  <c r="S34" i="45" s="1"/>
  <c r="O37" i="73"/>
  <c r="S37" i="73" s="1"/>
  <c r="W37" i="73" s="1"/>
  <c r="Y37" i="73" s="1"/>
  <c r="O37" i="72"/>
  <c r="S37" i="72" s="1"/>
  <c r="O33" i="65"/>
  <c r="O34" i="44"/>
  <c r="S34" i="44" s="1"/>
  <c r="O33" i="51"/>
  <c r="S36" i="73"/>
  <c r="W36" i="73" s="1"/>
  <c r="Y36" i="73" s="1"/>
  <c r="W32" i="72"/>
  <c r="BD46" i="73"/>
  <c r="BF45" i="73"/>
  <c r="AL45" i="73"/>
  <c r="AF46" i="73"/>
  <c r="AL38" i="69"/>
  <c r="AT38" i="69" s="1"/>
  <c r="AF39" i="69"/>
  <c r="AR36" i="69"/>
  <c r="AF33" i="14"/>
  <c r="K33" i="5"/>
  <c r="AP33" i="14"/>
  <c r="AT43" i="20"/>
  <c r="H33" i="5"/>
  <c r="J33" i="5"/>
  <c r="AN34" i="14" s="1"/>
  <c r="G33" i="5"/>
  <c r="E34" i="14"/>
  <c r="U35" i="21"/>
  <c r="AF45" i="20"/>
  <c r="AL44" i="20"/>
  <c r="U42" i="20"/>
  <c r="Y39" i="20"/>
  <c r="BD45" i="20"/>
  <c r="BF44" i="20"/>
  <c r="K33" i="14"/>
  <c r="AJ33" i="14"/>
  <c r="M33" i="14"/>
  <c r="BB33" i="14"/>
  <c r="AR33" i="14"/>
  <c r="BF36" i="19"/>
  <c r="AT36" i="19" s="1"/>
  <c r="BB37" i="19"/>
  <c r="AL38" i="19"/>
  <c r="AF39" i="19"/>
  <c r="BD33" i="14"/>
  <c r="AH33" i="14"/>
  <c r="AB37" i="14"/>
  <c r="C38" i="14"/>
  <c r="AS31" i="5"/>
  <c r="AR30" i="5"/>
  <c r="BE44" i="5"/>
  <c r="BF43" i="5"/>
  <c r="AV43" i="5"/>
  <c r="BD43" i="5"/>
  <c r="C34" i="5"/>
  <c r="K34" i="5" s="1"/>
  <c r="Y29" i="5"/>
  <c r="AH51" i="75" l="1"/>
  <c r="AF43" i="75"/>
  <c r="AL42" i="75"/>
  <c r="BD52" i="75"/>
  <c r="AT45" i="73"/>
  <c r="Y32" i="72"/>
  <c r="O34" i="40"/>
  <c r="O35" i="45"/>
  <c r="O38" i="73"/>
  <c r="O38" i="72"/>
  <c r="S38" i="72" s="1"/>
  <c r="O34" i="65"/>
  <c r="O35" i="44"/>
  <c r="S35" i="44" s="1"/>
  <c r="O34" i="51"/>
  <c r="AL46" i="73"/>
  <c r="AF47" i="73"/>
  <c r="AR37" i="69"/>
  <c r="AF34" i="14"/>
  <c r="AL39" i="69"/>
  <c r="AT39" i="69" s="1"/>
  <c r="AF40" i="69"/>
  <c r="BD47" i="73"/>
  <c r="BF46" i="73"/>
  <c r="AT44" i="20"/>
  <c r="J34" i="5"/>
  <c r="AN35" i="14" s="1"/>
  <c r="H34" i="5"/>
  <c r="G34" i="5"/>
  <c r="W35" i="21"/>
  <c r="E35" i="14"/>
  <c r="AF35" i="14" s="1"/>
  <c r="AP34" i="14"/>
  <c r="W42" i="20"/>
  <c r="BD46" i="20"/>
  <c r="BF45" i="20"/>
  <c r="AF46" i="20"/>
  <c r="AL45" i="20"/>
  <c r="BB34" i="14"/>
  <c r="AH34" i="14"/>
  <c r="AJ34" i="14"/>
  <c r="BF37" i="19"/>
  <c r="AT37" i="19" s="1"/>
  <c r="BB38" i="19"/>
  <c r="AL39" i="19"/>
  <c r="K34" i="14"/>
  <c r="M34" i="14"/>
  <c r="BD34" i="14"/>
  <c r="AR34" i="14"/>
  <c r="AB38" i="14"/>
  <c r="C39" i="14"/>
  <c r="C35" i="5"/>
  <c r="K35" i="5" s="1"/>
  <c r="Y30" i="5"/>
  <c r="BE45" i="5"/>
  <c r="BF44" i="5"/>
  <c r="BD44" i="5"/>
  <c r="AR31" i="5"/>
  <c r="AS32" i="5"/>
  <c r="BD53" i="75" l="1"/>
  <c r="AF44" i="75"/>
  <c r="AL43" i="75"/>
  <c r="AH52" i="75"/>
  <c r="O35" i="40"/>
  <c r="O36" i="45"/>
  <c r="S36" i="45" s="1"/>
  <c r="O39" i="73"/>
  <c r="S39" i="73" s="1"/>
  <c r="O39" i="72"/>
  <c r="S39" i="72" s="1"/>
  <c r="O35" i="65"/>
  <c r="O36" i="44"/>
  <c r="S36" i="44" s="1"/>
  <c r="O35" i="51"/>
  <c r="S35" i="45"/>
  <c r="S38" i="73"/>
  <c r="BD48" i="73"/>
  <c r="BF47" i="73"/>
  <c r="AF41" i="69"/>
  <c r="AL40" i="69"/>
  <c r="AT40" i="69" s="1"/>
  <c r="AR38" i="69"/>
  <c r="AF48" i="73"/>
  <c r="AL47" i="73"/>
  <c r="AT46" i="73"/>
  <c r="AT45" i="20"/>
  <c r="E36" i="14"/>
  <c r="AF36" i="14" s="1"/>
  <c r="J35" i="5"/>
  <c r="AN36" i="14" s="1"/>
  <c r="H35" i="5"/>
  <c r="G35" i="5"/>
  <c r="Y35" i="21"/>
  <c r="AP35" i="14"/>
  <c r="BD47" i="20"/>
  <c r="BF46" i="20"/>
  <c r="AF47" i="20"/>
  <c r="AL46" i="20"/>
  <c r="Y42" i="20"/>
  <c r="AJ35" i="14"/>
  <c r="AR35" i="14"/>
  <c r="M35" i="14"/>
  <c r="BF38" i="19"/>
  <c r="AT38" i="19" s="1"/>
  <c r="BB39" i="19"/>
  <c r="BF39" i="19" s="1"/>
  <c r="AT39" i="19" s="1"/>
  <c r="BB35" i="14"/>
  <c r="AH35" i="14"/>
  <c r="K35" i="14"/>
  <c r="BD35" i="14"/>
  <c r="AB39" i="14"/>
  <c r="C40" i="14"/>
  <c r="BE46" i="5"/>
  <c r="BF45" i="5"/>
  <c r="AV45" i="5"/>
  <c r="BD45" i="5"/>
  <c r="AV44" i="5"/>
  <c r="C36" i="5"/>
  <c r="Y31" i="5"/>
  <c r="AS33" i="5"/>
  <c r="AR32" i="5"/>
  <c r="AH53" i="75" l="1"/>
  <c r="BD54" i="75"/>
  <c r="AF45" i="75"/>
  <c r="AL44" i="75"/>
  <c r="O36" i="40"/>
  <c r="O37" i="45"/>
  <c r="O40" i="73"/>
  <c r="O40" i="72"/>
  <c r="S40" i="72" s="1"/>
  <c r="O36" i="65"/>
  <c r="O37" i="44"/>
  <c r="S37" i="44" s="1"/>
  <c r="O36" i="51"/>
  <c r="AT47" i="73"/>
  <c r="AF42" i="69"/>
  <c r="AL41" i="69"/>
  <c r="AT41" i="69" s="1"/>
  <c r="AL48" i="73"/>
  <c r="AF52" i="73"/>
  <c r="AR39" i="69"/>
  <c r="BF48" i="73"/>
  <c r="BF52" i="73" s="1"/>
  <c r="BD52" i="73"/>
  <c r="L36" i="5"/>
  <c r="K36" i="5"/>
  <c r="AP36" i="14"/>
  <c r="J36" i="5"/>
  <c r="AN37" i="14" s="1"/>
  <c r="H36" i="5"/>
  <c r="G36" i="5"/>
  <c r="E37" i="14"/>
  <c r="AF37" i="14" s="1"/>
  <c r="AT46" i="20"/>
  <c r="AF48" i="20"/>
  <c r="AL47" i="20"/>
  <c r="BD48" i="20"/>
  <c r="BF47" i="20"/>
  <c r="AH36" i="14"/>
  <c r="AR36" i="14"/>
  <c r="AJ36" i="14"/>
  <c r="BD36" i="14"/>
  <c r="K36" i="14"/>
  <c r="M36" i="14"/>
  <c r="BB36" i="14"/>
  <c r="C41" i="14"/>
  <c r="AB40" i="14"/>
  <c r="AS34" i="5"/>
  <c r="AR33" i="5"/>
  <c r="C37" i="5"/>
  <c r="M37" i="5" s="1"/>
  <c r="Y32" i="5"/>
  <c r="BE47" i="5"/>
  <c r="BF46" i="5"/>
  <c r="AV46" i="5"/>
  <c r="BD46" i="5"/>
  <c r="BD55" i="75" l="1"/>
  <c r="AF46" i="75"/>
  <c r="AL45" i="75"/>
  <c r="AH54" i="75"/>
  <c r="S37" i="45"/>
  <c r="O37" i="40"/>
  <c r="O38" i="45"/>
  <c r="S38" i="45" s="1"/>
  <c r="O41" i="73"/>
  <c r="S41" i="73" s="1"/>
  <c r="O41" i="72"/>
  <c r="S41" i="72" s="1"/>
  <c r="O37" i="65"/>
  <c r="O75" i="65" s="1"/>
  <c r="O38" i="44"/>
  <c r="S38" i="44" s="1"/>
  <c r="O37" i="51"/>
  <c r="S40" i="73"/>
  <c r="AR40" i="69"/>
  <c r="AT48" i="73"/>
  <c r="AL52" i="73"/>
  <c r="AF43" i="69"/>
  <c r="AL42" i="69"/>
  <c r="AT42" i="69" s="1"/>
  <c r="AN28" i="50"/>
  <c r="E38" i="14"/>
  <c r="AF38" i="14" s="1"/>
  <c r="L37" i="5"/>
  <c r="K37" i="5"/>
  <c r="AP37" i="14"/>
  <c r="H37" i="5"/>
  <c r="J37" i="5"/>
  <c r="AN38" i="14" s="1"/>
  <c r="G37" i="5"/>
  <c r="BD49" i="20"/>
  <c r="BF48" i="20"/>
  <c r="AF49" i="20"/>
  <c r="AL48" i="20"/>
  <c r="AT47" i="20"/>
  <c r="AJ37" i="14"/>
  <c r="K37" i="14"/>
  <c r="BD37" i="14"/>
  <c r="BB37" i="14"/>
  <c r="M37" i="14"/>
  <c r="AR37" i="14"/>
  <c r="AH37" i="14"/>
  <c r="AB41" i="14"/>
  <c r="C42" i="14"/>
  <c r="BE48" i="5"/>
  <c r="BF47" i="5"/>
  <c r="AV47" i="5"/>
  <c r="BD47" i="5"/>
  <c r="AR34" i="5"/>
  <c r="AS35" i="5"/>
  <c r="C38" i="5"/>
  <c r="Y33" i="5"/>
  <c r="M38" i="5" l="1"/>
  <c r="AH55" i="75"/>
  <c r="AF47" i="75"/>
  <c r="AL46" i="75"/>
  <c r="BD56" i="75"/>
  <c r="O38" i="40"/>
  <c r="O39" i="45"/>
  <c r="S39" i="45" s="1"/>
  <c r="O42" i="73"/>
  <c r="S42" i="73" s="1"/>
  <c r="O42" i="72"/>
  <c r="S42" i="72" s="1"/>
  <c r="O39" i="44"/>
  <c r="S39" i="44" s="1"/>
  <c r="O38" i="51"/>
  <c r="AT52" i="73"/>
  <c r="AF44" i="69"/>
  <c r="AL43" i="69"/>
  <c r="AT43" i="69" s="1"/>
  <c r="AR41" i="69"/>
  <c r="AN40" i="31"/>
  <c r="AP40" i="31" s="1"/>
  <c r="AN39" i="57"/>
  <c r="AP39" i="57" s="1"/>
  <c r="AN39" i="24"/>
  <c r="AP39" i="24" s="1"/>
  <c r="AV39" i="24" s="1"/>
  <c r="AX39" i="24" s="1"/>
  <c r="AN28" i="47"/>
  <c r="AP28" i="47" s="1"/>
  <c r="AN28" i="48"/>
  <c r="AN28" i="49"/>
  <c r="AN29" i="50"/>
  <c r="AP29" i="50" s="1"/>
  <c r="AV29" i="50" s="1"/>
  <c r="AX29" i="50" s="1"/>
  <c r="U29" i="50" s="1"/>
  <c r="W29" i="50" s="1"/>
  <c r="Y29" i="50" s="1"/>
  <c r="AP28" i="50"/>
  <c r="AJ38" i="14"/>
  <c r="M38" i="14"/>
  <c r="AP38" i="14"/>
  <c r="BB38" i="14"/>
  <c r="AH38" i="14"/>
  <c r="BD38" i="14"/>
  <c r="AR38" i="14"/>
  <c r="K38" i="14"/>
  <c r="E39" i="14"/>
  <c r="L38" i="5"/>
  <c r="AN28" i="66" s="1"/>
  <c r="AP28" i="66" s="1"/>
  <c r="AV28" i="66" s="1"/>
  <c r="K38" i="5"/>
  <c r="AN39" i="74" s="1"/>
  <c r="S39" i="24"/>
  <c r="J38" i="5"/>
  <c r="AN39" i="14" s="1"/>
  <c r="H38" i="5"/>
  <c r="G38" i="5"/>
  <c r="AT48" i="20"/>
  <c r="BD50" i="20"/>
  <c r="BF49" i="20"/>
  <c r="AF50" i="20"/>
  <c r="AL49" i="20"/>
  <c r="C43" i="14"/>
  <c r="AB42" i="14"/>
  <c r="S40" i="24"/>
  <c r="Y34" i="5"/>
  <c r="BE49" i="5"/>
  <c r="BF48" i="5"/>
  <c r="BD48" i="5"/>
  <c r="AR35" i="5"/>
  <c r="AS36" i="5"/>
  <c r="C39" i="5"/>
  <c r="N39" i="5" s="1"/>
  <c r="M39" i="5" l="1"/>
  <c r="AF48" i="75"/>
  <c r="AL47" i="75"/>
  <c r="BD57" i="75"/>
  <c r="AH56" i="75"/>
  <c r="O39" i="40"/>
  <c r="O40" i="45"/>
  <c r="S40" i="45" s="1"/>
  <c r="O43" i="73"/>
  <c r="S43" i="73" s="1"/>
  <c r="O43" i="72"/>
  <c r="S43" i="72" s="1"/>
  <c r="O40" i="44"/>
  <c r="S40" i="44" s="1"/>
  <c r="O39" i="51"/>
  <c r="AP39" i="74"/>
  <c r="AL44" i="69"/>
  <c r="AT44" i="69" s="1"/>
  <c r="AF45" i="69"/>
  <c r="AR42" i="69"/>
  <c r="AN28" i="70"/>
  <c r="AN39" i="63"/>
  <c r="AN39" i="61"/>
  <c r="AN38" i="65"/>
  <c r="AN39" i="62"/>
  <c r="AN39" i="60"/>
  <c r="AN39" i="59"/>
  <c r="AN41" i="31"/>
  <c r="AP41" i="31" s="1"/>
  <c r="AN39" i="58"/>
  <c r="AN40" i="57"/>
  <c r="AP40" i="57" s="1"/>
  <c r="AV28" i="50"/>
  <c r="AP28" i="48"/>
  <c r="AN40" i="24"/>
  <c r="AP40" i="24" s="1"/>
  <c r="AN29" i="48"/>
  <c r="AP29" i="48" s="1"/>
  <c r="AV29" i="48" s="1"/>
  <c r="AX29" i="48" s="1"/>
  <c r="U29" i="48" s="1"/>
  <c r="W29" i="48" s="1"/>
  <c r="Y29" i="48" s="1"/>
  <c r="AN29" i="49"/>
  <c r="AP29" i="49" s="1"/>
  <c r="AV29" i="49" s="1"/>
  <c r="AX29" i="49" s="1"/>
  <c r="U29" i="49" s="1"/>
  <c r="W29" i="49" s="1"/>
  <c r="Y29" i="49" s="1"/>
  <c r="AN29" i="47"/>
  <c r="AP29" i="47" s="1"/>
  <c r="AV29" i="47" s="1"/>
  <c r="AX29" i="47" s="1"/>
  <c r="U29" i="47" s="1"/>
  <c r="W29" i="47" s="1"/>
  <c r="Y29" i="47" s="1"/>
  <c r="AN30" i="50"/>
  <c r="AP30" i="50" s="1"/>
  <c r="AV30" i="50" s="1"/>
  <c r="AX30" i="50" s="1"/>
  <c r="U30" i="50" s="1"/>
  <c r="W30" i="50" s="1"/>
  <c r="Y30" i="50" s="1"/>
  <c r="AP28" i="49"/>
  <c r="AV28" i="47"/>
  <c r="AX28" i="47" s="1"/>
  <c r="AR39" i="14"/>
  <c r="AP39" i="14"/>
  <c r="L39" i="5"/>
  <c r="K39" i="5"/>
  <c r="AN40" i="74" s="1"/>
  <c r="AP40" i="74" s="1"/>
  <c r="AV40" i="74" s="1"/>
  <c r="AX40" i="74" s="1"/>
  <c r="U40" i="74" s="1"/>
  <c r="W40" i="74" s="1"/>
  <c r="Y40" i="74" s="1"/>
  <c r="H39" i="5"/>
  <c r="J39" i="5"/>
  <c r="AN40" i="14" s="1"/>
  <c r="G39" i="5"/>
  <c r="E40" i="14"/>
  <c r="AT49" i="20"/>
  <c r="AF51" i="20"/>
  <c r="AL50" i="20"/>
  <c r="BD51" i="20"/>
  <c r="BF50" i="20"/>
  <c r="K39" i="14"/>
  <c r="M39" i="14"/>
  <c r="BB39" i="14"/>
  <c r="BD39" i="14"/>
  <c r="AF39" i="14"/>
  <c r="AJ39" i="14"/>
  <c r="AH39" i="14"/>
  <c r="C44" i="14"/>
  <c r="AB43" i="14"/>
  <c r="S41" i="24"/>
  <c r="BF49" i="5"/>
  <c r="AV49" i="5"/>
  <c r="BD49" i="5"/>
  <c r="BE50" i="5"/>
  <c r="C40" i="5"/>
  <c r="Y35" i="5"/>
  <c r="AR36" i="5"/>
  <c r="AS37" i="5"/>
  <c r="AV48" i="5"/>
  <c r="M40" i="5" l="1"/>
  <c r="AH57" i="75"/>
  <c r="BD59" i="75"/>
  <c r="AF49" i="75"/>
  <c r="AL48" i="75"/>
  <c r="O40" i="40"/>
  <c r="O41" i="45"/>
  <c r="S41" i="45" s="1"/>
  <c r="O44" i="73"/>
  <c r="S44" i="73" s="1"/>
  <c r="O44" i="72"/>
  <c r="S44" i="72" s="1"/>
  <c r="O41" i="44"/>
  <c r="S41" i="44" s="1"/>
  <c r="O40" i="51"/>
  <c r="AV39" i="74"/>
  <c r="AX39" i="74" s="1"/>
  <c r="AR43" i="69"/>
  <c r="AL45" i="69"/>
  <c r="AT45" i="69" s="1"/>
  <c r="AF46" i="69"/>
  <c r="AP38" i="65"/>
  <c r="AP39" i="60"/>
  <c r="AP39" i="63"/>
  <c r="AN28" i="68"/>
  <c r="AP28" i="68" s="1"/>
  <c r="AV28" i="68" s="1"/>
  <c r="AX28" i="68" s="1"/>
  <c r="U28" i="68" s="1"/>
  <c r="W28" i="68" s="1"/>
  <c r="Y28" i="68" s="1"/>
  <c r="AN28" i="67"/>
  <c r="AP28" i="67" s="1"/>
  <c r="AV28" i="67" s="1"/>
  <c r="AN29" i="66"/>
  <c r="AP29" i="66" s="1"/>
  <c r="AV29" i="66" s="1"/>
  <c r="AP39" i="59"/>
  <c r="AP39" i="61"/>
  <c r="AN29" i="70"/>
  <c r="AP29" i="70" s="1"/>
  <c r="AV29" i="70" s="1"/>
  <c r="AX29" i="70" s="1"/>
  <c r="U29" i="70" s="1"/>
  <c r="W29" i="70" s="1"/>
  <c r="Y29" i="70" s="1"/>
  <c r="AN40" i="63"/>
  <c r="AP40" i="63" s="1"/>
  <c r="AV40" i="63" s="1"/>
  <c r="AX40" i="63" s="1"/>
  <c r="U40" i="63" s="1"/>
  <c r="W40" i="63" s="1"/>
  <c r="Y40" i="63" s="1"/>
  <c r="AN40" i="61"/>
  <c r="AP40" i="61" s="1"/>
  <c r="AV40" i="61" s="1"/>
  <c r="AX40" i="61" s="1"/>
  <c r="U40" i="61" s="1"/>
  <c r="W40" i="61" s="1"/>
  <c r="Y40" i="61" s="1"/>
  <c r="AN40" i="60"/>
  <c r="AP40" i="60" s="1"/>
  <c r="AV40" i="60" s="1"/>
  <c r="AX40" i="60" s="1"/>
  <c r="U40" i="60" s="1"/>
  <c r="AN40" i="62"/>
  <c r="AP40" i="62" s="1"/>
  <c r="AV40" i="62" s="1"/>
  <c r="AX40" i="62" s="1"/>
  <c r="U40" i="62" s="1"/>
  <c r="W40" i="62" s="1"/>
  <c r="Y40" i="62" s="1"/>
  <c r="AN39" i="65"/>
  <c r="AP39" i="65" s="1"/>
  <c r="AN40" i="59"/>
  <c r="AP40" i="59" s="1"/>
  <c r="AV40" i="59" s="1"/>
  <c r="AX40" i="59" s="1"/>
  <c r="U40" i="59" s="1"/>
  <c r="W40" i="59" s="1"/>
  <c r="Y40" i="59" s="1"/>
  <c r="AP39" i="62"/>
  <c r="AP28" i="70"/>
  <c r="AN42" i="31"/>
  <c r="AP42" i="31" s="1"/>
  <c r="AN40" i="58"/>
  <c r="AP40" i="58" s="1"/>
  <c r="AN41" i="57"/>
  <c r="AP41" i="57" s="1"/>
  <c r="AP39" i="58"/>
  <c r="AN41" i="24"/>
  <c r="AP41" i="24" s="1"/>
  <c r="AN30" i="48"/>
  <c r="AP30" i="48" s="1"/>
  <c r="AV30" i="48" s="1"/>
  <c r="AX30" i="48" s="1"/>
  <c r="U30" i="48" s="1"/>
  <c r="W30" i="48" s="1"/>
  <c r="Y30" i="48" s="1"/>
  <c r="AN30" i="49"/>
  <c r="AN30" i="47"/>
  <c r="AN31" i="50"/>
  <c r="AX28" i="50"/>
  <c r="AV28" i="49"/>
  <c r="AV28" i="48"/>
  <c r="AR40" i="14"/>
  <c r="AN28" i="42"/>
  <c r="AN28" i="43"/>
  <c r="U28" i="47"/>
  <c r="L40" i="5"/>
  <c r="K40" i="5"/>
  <c r="AN41" i="74" s="1"/>
  <c r="AP41" i="74" s="1"/>
  <c r="AV41" i="74" s="1"/>
  <c r="AX41" i="74" s="1"/>
  <c r="U41" i="74" s="1"/>
  <c r="W41" i="74" s="1"/>
  <c r="Y41" i="74" s="1"/>
  <c r="K40" i="14"/>
  <c r="AP40" i="14"/>
  <c r="BD40" i="14"/>
  <c r="AH40" i="14"/>
  <c r="J40" i="5"/>
  <c r="AN41" i="14" s="1"/>
  <c r="H40" i="5"/>
  <c r="G40" i="5"/>
  <c r="AJ40" i="14"/>
  <c r="BB40" i="14"/>
  <c r="AF40" i="14"/>
  <c r="M40" i="14"/>
  <c r="E41" i="14"/>
  <c r="AH41" i="14" s="1"/>
  <c r="AF52" i="20"/>
  <c r="AL51" i="20"/>
  <c r="BD52" i="20"/>
  <c r="BF51" i="20"/>
  <c r="AT50" i="20"/>
  <c r="C45" i="14"/>
  <c r="AB44" i="14"/>
  <c r="S42" i="24"/>
  <c r="BE51" i="5"/>
  <c r="BD50" i="5"/>
  <c r="BF50" i="5"/>
  <c r="AR37" i="5"/>
  <c r="AS38" i="5"/>
  <c r="Y36" i="5"/>
  <c r="C41" i="5"/>
  <c r="M41" i="5" l="1"/>
  <c r="AF50" i="75"/>
  <c r="AL49" i="75"/>
  <c r="AH59" i="75"/>
  <c r="O41" i="40"/>
  <c r="O42" i="45"/>
  <c r="S42" i="45" s="1"/>
  <c r="O45" i="73"/>
  <c r="S45" i="73" s="1"/>
  <c r="O45" i="72"/>
  <c r="S45" i="72" s="1"/>
  <c r="O42" i="44"/>
  <c r="S42" i="44" s="1"/>
  <c r="O41" i="51"/>
  <c r="U39" i="74"/>
  <c r="AL46" i="69"/>
  <c r="AT46" i="69" s="1"/>
  <c r="AF47" i="69"/>
  <c r="AR44" i="69"/>
  <c r="AN30" i="70"/>
  <c r="AN41" i="63"/>
  <c r="AP41" i="63" s="1"/>
  <c r="AV41" i="63" s="1"/>
  <c r="AX41" i="63" s="1"/>
  <c r="U41" i="63" s="1"/>
  <c r="W41" i="63" s="1"/>
  <c r="Y41" i="63" s="1"/>
  <c r="AN41" i="61"/>
  <c r="AP41" i="61" s="1"/>
  <c r="AV41" i="61" s="1"/>
  <c r="AX41" i="61" s="1"/>
  <c r="U41" i="61" s="1"/>
  <c r="W41" i="61" s="1"/>
  <c r="Y41" i="61" s="1"/>
  <c r="AN40" i="65"/>
  <c r="AP40" i="65" s="1"/>
  <c r="AN41" i="62"/>
  <c r="AN41" i="60"/>
  <c r="AN41" i="59"/>
  <c r="AP41" i="59" s="1"/>
  <c r="AV41" i="59" s="1"/>
  <c r="AX41" i="59" s="1"/>
  <c r="U41" i="59" s="1"/>
  <c r="W41" i="59" s="1"/>
  <c r="Y41" i="59" s="1"/>
  <c r="AN29" i="68"/>
  <c r="AP29" i="68" s="1"/>
  <c r="AV29" i="68" s="1"/>
  <c r="AX29" i="68" s="1"/>
  <c r="U29" i="68" s="1"/>
  <c r="W29" i="68" s="1"/>
  <c r="Y29" i="68" s="1"/>
  <c r="AN29" i="67"/>
  <c r="AP29" i="67" s="1"/>
  <c r="AV29" i="67" s="1"/>
  <c r="AN30" i="66"/>
  <c r="AP30" i="66" s="1"/>
  <c r="AV30" i="66" s="1"/>
  <c r="AV39" i="60"/>
  <c r="AX39" i="60" s="1"/>
  <c r="AV28" i="70"/>
  <c r="AV39" i="61"/>
  <c r="AX39" i="61" s="1"/>
  <c r="AV39" i="59"/>
  <c r="AX39" i="59" s="1"/>
  <c r="AV39" i="62"/>
  <c r="AX39" i="62" s="1"/>
  <c r="AV39" i="63"/>
  <c r="AX39" i="63" s="1"/>
  <c r="AV38" i="65"/>
  <c r="AN43" i="31"/>
  <c r="AP43" i="31" s="1"/>
  <c r="AN41" i="58"/>
  <c r="AN42" i="57"/>
  <c r="AP42" i="57" s="1"/>
  <c r="AX28" i="49"/>
  <c r="AP30" i="49"/>
  <c r="AN42" i="24"/>
  <c r="AP42" i="24" s="1"/>
  <c r="AN31" i="48"/>
  <c r="AN31" i="49"/>
  <c r="AP31" i="49" s="1"/>
  <c r="AV31" i="49" s="1"/>
  <c r="AX31" i="49" s="1"/>
  <c r="U31" i="49" s="1"/>
  <c r="W31" i="49" s="1"/>
  <c r="Y31" i="49" s="1"/>
  <c r="AN31" i="47"/>
  <c r="AP31" i="47" s="1"/>
  <c r="AV31" i="47" s="1"/>
  <c r="AX31" i="47" s="1"/>
  <c r="U31" i="47" s="1"/>
  <c r="W31" i="47" s="1"/>
  <c r="Y31" i="47" s="1"/>
  <c r="AN32" i="50"/>
  <c r="AP32" i="50" s="1"/>
  <c r="AV32" i="50" s="1"/>
  <c r="AX32" i="50" s="1"/>
  <c r="U32" i="50" s="1"/>
  <c r="W32" i="50" s="1"/>
  <c r="Y32" i="50" s="1"/>
  <c r="AX28" i="48"/>
  <c r="U28" i="50"/>
  <c r="AP31" i="50"/>
  <c r="W28" i="47"/>
  <c r="AN29" i="43"/>
  <c r="AP29" i="43" s="1"/>
  <c r="AV29" i="43" s="1"/>
  <c r="AN29" i="42"/>
  <c r="AP29" i="42" s="1"/>
  <c r="AV29" i="42" s="1"/>
  <c r="AP28" i="43"/>
  <c r="AP28" i="42"/>
  <c r="AP30" i="47"/>
  <c r="L41" i="5"/>
  <c r="K41" i="5"/>
  <c r="AN42" i="74" s="1"/>
  <c r="AP42" i="74" s="1"/>
  <c r="AV42" i="74" s="1"/>
  <c r="AX42" i="74" s="1"/>
  <c r="U42" i="74" s="1"/>
  <c r="W42" i="74" s="1"/>
  <c r="Y42" i="74" s="1"/>
  <c r="AP41" i="14"/>
  <c r="H41" i="5"/>
  <c r="J41" i="5"/>
  <c r="AN42" i="14" s="1"/>
  <c r="G41" i="5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E42" i="14"/>
  <c r="AH42" i="14" s="1"/>
  <c r="AT51" i="20"/>
  <c r="BD53" i="20"/>
  <c r="BF52" i="20"/>
  <c r="AF53" i="20"/>
  <c r="AL52" i="20"/>
  <c r="M41" i="14"/>
  <c r="AJ41" i="14"/>
  <c r="BD41" i="14"/>
  <c r="BB41" i="14"/>
  <c r="AR41" i="14"/>
  <c r="K41" i="14"/>
  <c r="AF41" i="14"/>
  <c r="C46" i="14"/>
  <c r="AB45" i="14"/>
  <c r="S43" i="24"/>
  <c r="AR38" i="5"/>
  <c r="AS39" i="5"/>
  <c r="AV50" i="5"/>
  <c r="BF51" i="5"/>
  <c r="AV51" i="5"/>
  <c r="BD51" i="5"/>
  <c r="BE52" i="5"/>
  <c r="Y37" i="5"/>
  <c r="C42" i="5"/>
  <c r="M42" i="5" l="1"/>
  <c r="AF51" i="75"/>
  <c r="AL50" i="75"/>
  <c r="O42" i="40"/>
  <c r="O43" i="45"/>
  <c r="S43" i="45" s="1"/>
  <c r="O46" i="73"/>
  <c r="S46" i="73" s="1"/>
  <c r="O46" i="72"/>
  <c r="S46" i="72" s="1"/>
  <c r="O43" i="44"/>
  <c r="S43" i="44" s="1"/>
  <c r="O42" i="51"/>
  <c r="W39" i="74"/>
  <c r="AF48" i="69"/>
  <c r="AL47" i="69"/>
  <c r="AT47" i="69" s="1"/>
  <c r="AR45" i="69"/>
  <c r="U39" i="63"/>
  <c r="U39" i="61"/>
  <c r="U39" i="60"/>
  <c r="AN30" i="68"/>
  <c r="AP30" i="68" s="1"/>
  <c r="AV30" i="68" s="1"/>
  <c r="AX30" i="68" s="1"/>
  <c r="U30" i="68" s="1"/>
  <c r="W30" i="68" s="1"/>
  <c r="Y30" i="68" s="1"/>
  <c r="AN30" i="67"/>
  <c r="AP30" i="67" s="1"/>
  <c r="AV30" i="67" s="1"/>
  <c r="AN31" i="66"/>
  <c r="AP31" i="66" s="1"/>
  <c r="AV31" i="66" s="1"/>
  <c r="AN31" i="70"/>
  <c r="AP31" i="70" s="1"/>
  <c r="AV31" i="70" s="1"/>
  <c r="AX31" i="70" s="1"/>
  <c r="U31" i="70" s="1"/>
  <c r="W31" i="70" s="1"/>
  <c r="Y31" i="70" s="1"/>
  <c r="AN42" i="63"/>
  <c r="AN42" i="61"/>
  <c r="AN41" i="65"/>
  <c r="AN42" i="62"/>
  <c r="AP42" i="62" s="1"/>
  <c r="AV42" i="62" s="1"/>
  <c r="AX42" i="62" s="1"/>
  <c r="U42" i="62" s="1"/>
  <c r="W42" i="62" s="1"/>
  <c r="Y42" i="62" s="1"/>
  <c r="AN42" i="60"/>
  <c r="AP42" i="60" s="1"/>
  <c r="AV42" i="60" s="1"/>
  <c r="AX42" i="60" s="1"/>
  <c r="U42" i="60" s="1"/>
  <c r="AN42" i="59"/>
  <c r="U39" i="62"/>
  <c r="U39" i="59"/>
  <c r="AX28" i="70"/>
  <c r="AP41" i="60"/>
  <c r="AP41" i="62"/>
  <c r="AP30" i="70"/>
  <c r="AN44" i="31"/>
  <c r="AP44" i="31" s="1"/>
  <c r="AN42" i="58"/>
  <c r="AP42" i="58" s="1"/>
  <c r="AN43" i="57"/>
  <c r="AP43" i="57" s="1"/>
  <c r="AP41" i="58"/>
  <c r="W28" i="50"/>
  <c r="AV30" i="49"/>
  <c r="AN43" i="24"/>
  <c r="AP43" i="24" s="1"/>
  <c r="AN32" i="48"/>
  <c r="AP32" i="48" s="1"/>
  <c r="AV32" i="48" s="1"/>
  <c r="AX32" i="48" s="1"/>
  <c r="U32" i="48" s="1"/>
  <c r="W32" i="48" s="1"/>
  <c r="Y32" i="48" s="1"/>
  <c r="AN32" i="49"/>
  <c r="AN32" i="47"/>
  <c r="AN33" i="50"/>
  <c r="AP33" i="50" s="1"/>
  <c r="AV33" i="50" s="1"/>
  <c r="AX33" i="50" s="1"/>
  <c r="U33" i="50" s="1"/>
  <c r="W33" i="50" s="1"/>
  <c r="Y33" i="50" s="1"/>
  <c r="AV31" i="50"/>
  <c r="U28" i="48"/>
  <c r="AP31" i="48"/>
  <c r="U28" i="49"/>
  <c r="AV28" i="42"/>
  <c r="AV28" i="43"/>
  <c r="AV30" i="47"/>
  <c r="AX30" i="47" s="1"/>
  <c r="Y28" i="47"/>
  <c r="AN30" i="43"/>
  <c r="AP30" i="43" s="1"/>
  <c r="AV30" i="43" s="1"/>
  <c r="AN30" i="42"/>
  <c r="E43" i="14"/>
  <c r="L42" i="5"/>
  <c r="K42" i="5"/>
  <c r="AN43" i="74" s="1"/>
  <c r="AP43" i="74" s="1"/>
  <c r="AV43" i="74" s="1"/>
  <c r="AX43" i="74" s="1"/>
  <c r="U43" i="74" s="1"/>
  <c r="W43" i="74" s="1"/>
  <c r="Y43" i="74" s="1"/>
  <c r="AN36" i="19"/>
  <c r="G58" i="5"/>
  <c r="G59" i="5" s="1"/>
  <c r="G60" i="5" s="1"/>
  <c r="G61" i="5" s="1"/>
  <c r="G62" i="5" s="1"/>
  <c r="G63" i="5" s="1"/>
  <c r="G64" i="5" s="1"/>
  <c r="G65" i="5" s="1"/>
  <c r="G66" i="5" s="1"/>
  <c r="G67" i="5" s="1"/>
  <c r="G68" i="5" s="1"/>
  <c r="G69" i="5" s="1"/>
  <c r="G70" i="5" s="1"/>
  <c r="G71" i="5" s="1"/>
  <c r="G93" i="5" s="1"/>
  <c r="G94" i="5" s="1"/>
  <c r="G95" i="5" s="1"/>
  <c r="G96" i="5" s="1"/>
  <c r="AP42" i="14"/>
  <c r="AR42" i="14"/>
  <c r="AJ42" i="14"/>
  <c r="J42" i="5"/>
  <c r="AN43" i="14" s="1"/>
  <c r="H42" i="5"/>
  <c r="BB42" i="14"/>
  <c r="M42" i="14"/>
  <c r="K42" i="14"/>
  <c r="AF42" i="14"/>
  <c r="BD42" i="14"/>
  <c r="AT52" i="20"/>
  <c r="AF54" i="20"/>
  <c r="AL53" i="20"/>
  <c r="BD54" i="20"/>
  <c r="BF53" i="20"/>
  <c r="C47" i="14"/>
  <c r="AB46" i="14"/>
  <c r="S44" i="24"/>
  <c r="AR39" i="5"/>
  <c r="AS40" i="5"/>
  <c r="Y38" i="5"/>
  <c r="C43" i="5"/>
  <c r="BE53" i="5"/>
  <c r="BD52" i="5"/>
  <c r="BF52" i="5"/>
  <c r="M43" i="5" l="1"/>
  <c r="AF52" i="75"/>
  <c r="AL51" i="75"/>
  <c r="O43" i="40"/>
  <c r="O44" i="45"/>
  <c r="S44" i="45" s="1"/>
  <c r="O47" i="73"/>
  <c r="S47" i="73" s="1"/>
  <c r="O47" i="72"/>
  <c r="S47" i="72" s="1"/>
  <c r="O44" i="44"/>
  <c r="S44" i="44" s="1"/>
  <c r="O43" i="51"/>
  <c r="AN38" i="73"/>
  <c r="Y39" i="74"/>
  <c r="AR46" i="69"/>
  <c r="AL48" i="69"/>
  <c r="AT48" i="69" s="1"/>
  <c r="AF49" i="69"/>
  <c r="AN32" i="70"/>
  <c r="AN43" i="63"/>
  <c r="AP43" i="63" s="1"/>
  <c r="AV43" i="63" s="1"/>
  <c r="AX43" i="63" s="1"/>
  <c r="U43" i="63" s="1"/>
  <c r="W43" i="63" s="1"/>
  <c r="Y43" i="63" s="1"/>
  <c r="AN43" i="61"/>
  <c r="AP43" i="61" s="1"/>
  <c r="AV43" i="61" s="1"/>
  <c r="AX43" i="61" s="1"/>
  <c r="U43" i="61" s="1"/>
  <c r="W43" i="61" s="1"/>
  <c r="Y43" i="61" s="1"/>
  <c r="AN42" i="65"/>
  <c r="AP42" i="65" s="1"/>
  <c r="AN43" i="60"/>
  <c r="AN43" i="62"/>
  <c r="AN43" i="59"/>
  <c r="AP43" i="59" s="1"/>
  <c r="AV43" i="59" s="1"/>
  <c r="AX43" i="59" s="1"/>
  <c r="U43" i="59" s="1"/>
  <c r="W43" i="59" s="1"/>
  <c r="Y43" i="59" s="1"/>
  <c r="U28" i="70"/>
  <c r="AN31" i="68"/>
  <c r="AP31" i="68" s="1"/>
  <c r="AV31" i="68" s="1"/>
  <c r="AX31" i="68" s="1"/>
  <c r="U31" i="68" s="1"/>
  <c r="W31" i="68" s="1"/>
  <c r="Y31" i="68" s="1"/>
  <c r="AN31" i="67"/>
  <c r="AP31" i="67" s="1"/>
  <c r="AV31" i="67" s="1"/>
  <c r="AN32" i="66"/>
  <c r="AP32" i="66" s="1"/>
  <c r="AV32" i="66" s="1"/>
  <c r="AV41" i="62"/>
  <c r="AX41" i="62" s="1"/>
  <c r="W39" i="62"/>
  <c r="Y39" i="62" s="1"/>
  <c r="AP41" i="65"/>
  <c r="W39" i="61"/>
  <c r="Y39" i="61" s="1"/>
  <c r="AP42" i="59"/>
  <c r="AP42" i="61"/>
  <c r="AV30" i="70"/>
  <c r="AV41" i="60"/>
  <c r="AX41" i="60" s="1"/>
  <c r="W39" i="59"/>
  <c r="Y39" i="59" s="1"/>
  <c r="AP42" i="63"/>
  <c r="W39" i="63"/>
  <c r="Y39" i="63" s="1"/>
  <c r="AP43" i="14"/>
  <c r="AN45" i="31"/>
  <c r="AP45" i="31" s="1"/>
  <c r="AN43" i="58"/>
  <c r="AN44" i="57"/>
  <c r="AP44" i="57" s="1"/>
  <c r="W28" i="49"/>
  <c r="W28" i="48"/>
  <c r="AN44" i="24"/>
  <c r="AP44" i="24" s="1"/>
  <c r="AN33" i="48"/>
  <c r="AN33" i="49"/>
  <c r="AP33" i="49" s="1"/>
  <c r="AV33" i="49" s="1"/>
  <c r="AX33" i="49" s="1"/>
  <c r="U33" i="49" s="1"/>
  <c r="W33" i="49" s="1"/>
  <c r="Y33" i="49" s="1"/>
  <c r="AN33" i="47"/>
  <c r="AP33" i="47" s="1"/>
  <c r="AV33" i="47" s="1"/>
  <c r="AX33" i="47" s="1"/>
  <c r="U33" i="47" s="1"/>
  <c r="W33" i="47" s="1"/>
  <c r="Y33" i="47" s="1"/>
  <c r="AN34" i="50"/>
  <c r="AP34" i="50" s="1"/>
  <c r="AP32" i="49"/>
  <c r="AV31" i="48"/>
  <c r="AX31" i="50"/>
  <c r="AX30" i="49"/>
  <c r="Y28" i="50"/>
  <c r="AN31" i="43"/>
  <c r="AP31" i="43" s="1"/>
  <c r="AN31" i="42"/>
  <c r="AP31" i="42" s="1"/>
  <c r="AV31" i="42" s="1"/>
  <c r="AP32" i="47"/>
  <c r="AP30" i="42"/>
  <c r="U30" i="47"/>
  <c r="BB43" i="14"/>
  <c r="L43" i="5"/>
  <c r="K43" i="5"/>
  <c r="AN44" i="74" s="1"/>
  <c r="AP44" i="74" s="1"/>
  <c r="AV44" i="74" s="1"/>
  <c r="AX44" i="74" s="1"/>
  <c r="U44" i="74" s="1"/>
  <c r="W44" i="74" s="1"/>
  <c r="Y44" i="74" s="1"/>
  <c r="J43" i="5"/>
  <c r="AN44" i="14" s="1"/>
  <c r="H43" i="5"/>
  <c r="E44" i="14"/>
  <c r="AF55" i="20"/>
  <c r="AL54" i="20"/>
  <c r="BD55" i="20"/>
  <c r="BF54" i="20"/>
  <c r="AT53" i="20"/>
  <c r="K43" i="14"/>
  <c r="AF43" i="14"/>
  <c r="AJ43" i="14"/>
  <c r="AH43" i="14"/>
  <c r="BD43" i="14"/>
  <c r="M43" i="14"/>
  <c r="AR43" i="14"/>
  <c r="AB47" i="14"/>
  <c r="C48" i="14"/>
  <c r="S45" i="24"/>
  <c r="Y39" i="5"/>
  <c r="AV52" i="5"/>
  <c r="BF53" i="5"/>
  <c r="BE54" i="5"/>
  <c r="BD53" i="5"/>
  <c r="AR40" i="5"/>
  <c r="AS41" i="5"/>
  <c r="C44" i="5"/>
  <c r="M44" i="5" l="1"/>
  <c r="AF53" i="75"/>
  <c r="AL52" i="75"/>
  <c r="AP38" i="73"/>
  <c r="O44" i="40"/>
  <c r="O45" i="45"/>
  <c r="S45" i="45" s="1"/>
  <c r="O48" i="73"/>
  <c r="O48" i="72"/>
  <c r="O45" i="44"/>
  <c r="S45" i="44" s="1"/>
  <c r="O44" i="51"/>
  <c r="AL49" i="69"/>
  <c r="AT49" i="69" s="1"/>
  <c r="AF50" i="69"/>
  <c r="AR47" i="69"/>
  <c r="W28" i="70"/>
  <c r="AN33" i="70"/>
  <c r="AP33" i="70" s="1"/>
  <c r="AV33" i="70" s="1"/>
  <c r="AX33" i="70" s="1"/>
  <c r="U33" i="70" s="1"/>
  <c r="W33" i="70" s="1"/>
  <c r="Y33" i="70" s="1"/>
  <c r="AN44" i="61"/>
  <c r="AN44" i="63"/>
  <c r="AN43" i="65"/>
  <c r="AN44" i="62"/>
  <c r="AP44" i="62" s="1"/>
  <c r="AV44" i="62" s="1"/>
  <c r="AX44" i="62" s="1"/>
  <c r="U44" i="62" s="1"/>
  <c r="W44" i="62" s="1"/>
  <c r="Y44" i="62" s="1"/>
  <c r="AN44" i="60"/>
  <c r="AP44" i="60" s="1"/>
  <c r="AV44" i="60" s="1"/>
  <c r="AX44" i="60" s="1"/>
  <c r="U44" i="60" s="1"/>
  <c r="AN44" i="59"/>
  <c r="AP44" i="59" s="1"/>
  <c r="AV44" i="59" s="1"/>
  <c r="AX44" i="59" s="1"/>
  <c r="U44" i="59" s="1"/>
  <c r="W44" i="59" s="1"/>
  <c r="Y44" i="59" s="1"/>
  <c r="AX30" i="70"/>
  <c r="AV42" i="61"/>
  <c r="AX42" i="61" s="1"/>
  <c r="AN32" i="68"/>
  <c r="AP32" i="68" s="1"/>
  <c r="AV32" i="68" s="1"/>
  <c r="AX32" i="68" s="1"/>
  <c r="U32" i="68" s="1"/>
  <c r="W32" i="68" s="1"/>
  <c r="Y32" i="68" s="1"/>
  <c r="AN32" i="67"/>
  <c r="AP32" i="67" s="1"/>
  <c r="AV32" i="67" s="1"/>
  <c r="AN33" i="66"/>
  <c r="AP33" i="66" s="1"/>
  <c r="AV33" i="66" s="1"/>
  <c r="AP43" i="62"/>
  <c r="AV42" i="63"/>
  <c r="AX42" i="63" s="1"/>
  <c r="U41" i="60"/>
  <c r="AV42" i="59"/>
  <c r="AX42" i="59" s="1"/>
  <c r="U41" i="62"/>
  <c r="AP43" i="60"/>
  <c r="AP32" i="70"/>
  <c r="AN46" i="31"/>
  <c r="AP46" i="31" s="1"/>
  <c r="AN44" i="58"/>
  <c r="AP44" i="58" s="1"/>
  <c r="AN45" i="57"/>
  <c r="AP45" i="57" s="1"/>
  <c r="AP43" i="58"/>
  <c r="BB44" i="14"/>
  <c r="AN45" i="24"/>
  <c r="AP45" i="24" s="1"/>
  <c r="AN34" i="48"/>
  <c r="AP34" i="48" s="1"/>
  <c r="AV34" i="48" s="1"/>
  <c r="AX34" i="48" s="1"/>
  <c r="U34" i="48" s="1"/>
  <c r="W34" i="48" s="1"/>
  <c r="Y34" i="48" s="1"/>
  <c r="AN34" i="49"/>
  <c r="AN34" i="47"/>
  <c r="AP34" i="47" s="1"/>
  <c r="AV34" i="47" s="1"/>
  <c r="AX34" i="47" s="1"/>
  <c r="U34" i="47" s="1"/>
  <c r="W34" i="47" s="1"/>
  <c r="Y34" i="47" s="1"/>
  <c r="AN35" i="50"/>
  <c r="AP35" i="50" s="1"/>
  <c r="AV35" i="50" s="1"/>
  <c r="AX35" i="50" s="1"/>
  <c r="U35" i="50" s="1"/>
  <c r="W35" i="50" s="1"/>
  <c r="Y35" i="50" s="1"/>
  <c r="AV34" i="50"/>
  <c r="Y28" i="49"/>
  <c r="U30" i="49"/>
  <c r="AX31" i="48"/>
  <c r="Y28" i="48"/>
  <c r="U31" i="50"/>
  <c r="AV32" i="49"/>
  <c r="AP33" i="48"/>
  <c r="W30" i="47"/>
  <c r="AV32" i="47"/>
  <c r="AX32" i="47" s="1"/>
  <c r="AV31" i="43"/>
  <c r="AN32" i="43"/>
  <c r="AP32" i="43" s="1"/>
  <c r="AV32" i="43" s="1"/>
  <c r="AN32" i="42"/>
  <c r="AV30" i="42"/>
  <c r="L44" i="5"/>
  <c r="K44" i="5"/>
  <c r="AN45" i="74" s="1"/>
  <c r="AP45" i="74" s="1"/>
  <c r="AV45" i="74" s="1"/>
  <c r="AX45" i="74" s="1"/>
  <c r="U45" i="74" s="1"/>
  <c r="W45" i="74" s="1"/>
  <c r="Y45" i="74" s="1"/>
  <c r="AP44" i="14"/>
  <c r="E45" i="14"/>
  <c r="J44" i="5"/>
  <c r="AN45" i="14" s="1"/>
  <c r="H44" i="5"/>
  <c r="AT54" i="20"/>
  <c r="BD56" i="20"/>
  <c r="BF55" i="20"/>
  <c r="AF56" i="20"/>
  <c r="AL55" i="20"/>
  <c r="AR44" i="14"/>
  <c r="AJ44" i="14"/>
  <c r="M44" i="14"/>
  <c r="AF44" i="14"/>
  <c r="BD44" i="14"/>
  <c r="K44" i="14"/>
  <c r="AH44" i="14"/>
  <c r="C49" i="14"/>
  <c r="AB48" i="14"/>
  <c r="S46" i="24"/>
  <c r="AR41" i="5"/>
  <c r="AS42" i="5"/>
  <c r="BE55" i="5"/>
  <c r="BD54" i="5"/>
  <c r="BF54" i="5"/>
  <c r="AV53" i="5"/>
  <c r="Y40" i="5"/>
  <c r="C45" i="5"/>
  <c r="M45" i="5" l="1"/>
  <c r="AF54" i="75"/>
  <c r="AL53" i="75"/>
  <c r="O45" i="40"/>
  <c r="O46" i="45"/>
  <c r="S46" i="45" s="1"/>
  <c r="O46" i="44"/>
  <c r="S46" i="44" s="1"/>
  <c r="O45" i="51"/>
  <c r="S48" i="72"/>
  <c r="O50" i="72"/>
  <c r="S48" i="73"/>
  <c r="O52" i="73"/>
  <c r="AV38" i="73"/>
  <c r="AR48" i="69"/>
  <c r="AL50" i="69"/>
  <c r="AT50" i="69" s="1"/>
  <c r="AF51" i="69"/>
  <c r="AN33" i="68"/>
  <c r="AP33" i="68" s="1"/>
  <c r="AV33" i="68" s="1"/>
  <c r="AX33" i="68" s="1"/>
  <c r="U33" i="68" s="1"/>
  <c r="W33" i="68" s="1"/>
  <c r="Y33" i="68" s="1"/>
  <c r="AN33" i="67"/>
  <c r="AP33" i="67" s="1"/>
  <c r="AV33" i="67" s="1"/>
  <c r="AN34" i="66"/>
  <c r="AP34" i="66" s="1"/>
  <c r="AV34" i="66" s="1"/>
  <c r="AV32" i="70"/>
  <c r="W41" i="62"/>
  <c r="Y41" i="62" s="1"/>
  <c r="U42" i="59"/>
  <c r="U42" i="63"/>
  <c r="U42" i="61"/>
  <c r="AP44" i="61"/>
  <c r="AV43" i="60"/>
  <c r="AX43" i="60" s="1"/>
  <c r="AV43" i="62"/>
  <c r="AX43" i="62" s="1"/>
  <c r="U30" i="70"/>
  <c r="AP43" i="65"/>
  <c r="AN34" i="70"/>
  <c r="AN45" i="63"/>
  <c r="AP45" i="63" s="1"/>
  <c r="AV45" i="63" s="1"/>
  <c r="AX45" i="63" s="1"/>
  <c r="U45" i="63" s="1"/>
  <c r="W45" i="63" s="1"/>
  <c r="Y45" i="63" s="1"/>
  <c r="AN45" i="61"/>
  <c r="AP45" i="61" s="1"/>
  <c r="AV45" i="61" s="1"/>
  <c r="AX45" i="61" s="1"/>
  <c r="U45" i="61" s="1"/>
  <c r="W45" i="61" s="1"/>
  <c r="Y45" i="61" s="1"/>
  <c r="AN44" i="65"/>
  <c r="AP44" i="65" s="1"/>
  <c r="AN45" i="62"/>
  <c r="AN45" i="60"/>
  <c r="AN45" i="59"/>
  <c r="AP45" i="59" s="1"/>
  <c r="AP44" i="63"/>
  <c r="Y28" i="70"/>
  <c r="AN47" i="31"/>
  <c r="AP47" i="31" s="1"/>
  <c r="AN45" i="58"/>
  <c r="AN46" i="57"/>
  <c r="AP46" i="57" s="1"/>
  <c r="BB45" i="14"/>
  <c r="AX32" i="49"/>
  <c r="AP34" i="49"/>
  <c r="W30" i="49"/>
  <c r="AX34" i="50"/>
  <c r="AV33" i="48"/>
  <c r="W31" i="50"/>
  <c r="AN46" i="24"/>
  <c r="AP46" i="24" s="1"/>
  <c r="AN35" i="48"/>
  <c r="AN35" i="49"/>
  <c r="AP35" i="49" s="1"/>
  <c r="AV35" i="49" s="1"/>
  <c r="AX35" i="49" s="1"/>
  <c r="U35" i="49" s="1"/>
  <c r="W35" i="49" s="1"/>
  <c r="Y35" i="49" s="1"/>
  <c r="AN35" i="47"/>
  <c r="AP35" i="47" s="1"/>
  <c r="AV35" i="47" s="1"/>
  <c r="AX35" i="47" s="1"/>
  <c r="U35" i="47" s="1"/>
  <c r="W35" i="47" s="1"/>
  <c r="Y35" i="47" s="1"/>
  <c r="AN36" i="50"/>
  <c r="AP36" i="50" s="1"/>
  <c r="AV36" i="50" s="1"/>
  <c r="AX36" i="50" s="1"/>
  <c r="U36" i="50" s="1"/>
  <c r="W36" i="50" s="1"/>
  <c r="Y36" i="50" s="1"/>
  <c r="U31" i="48"/>
  <c r="U32" i="47"/>
  <c r="AN33" i="43"/>
  <c r="AP33" i="43" s="1"/>
  <c r="AV33" i="43" s="1"/>
  <c r="AN33" i="42"/>
  <c r="AP33" i="42" s="1"/>
  <c r="AV33" i="42" s="1"/>
  <c r="AP32" i="42"/>
  <c r="Y30" i="47"/>
  <c r="L45" i="5"/>
  <c r="K45" i="5"/>
  <c r="AN46" i="74" s="1"/>
  <c r="AP46" i="74" s="1"/>
  <c r="AV46" i="74" s="1"/>
  <c r="AX46" i="74" s="1"/>
  <c r="U46" i="74" s="1"/>
  <c r="W46" i="74" s="1"/>
  <c r="Y46" i="74" s="1"/>
  <c r="AP45" i="14"/>
  <c r="H45" i="5"/>
  <c r="J45" i="5"/>
  <c r="AN46" i="14" s="1"/>
  <c r="E46" i="14"/>
  <c r="AF57" i="20"/>
  <c r="AL56" i="20"/>
  <c r="AT55" i="20"/>
  <c r="BD57" i="20"/>
  <c r="BF56" i="20"/>
  <c r="AJ45" i="14"/>
  <c r="K45" i="14"/>
  <c r="AF45" i="14"/>
  <c r="AH45" i="14"/>
  <c r="M45" i="14"/>
  <c r="BD45" i="14"/>
  <c r="AR45" i="14"/>
  <c r="AB49" i="14"/>
  <c r="C50" i="14"/>
  <c r="S47" i="24"/>
  <c r="Y41" i="5"/>
  <c r="C46" i="5"/>
  <c r="BF55" i="5"/>
  <c r="BE56" i="5"/>
  <c r="BD55" i="5"/>
  <c r="AV54" i="5"/>
  <c r="AR42" i="5"/>
  <c r="AS43" i="5"/>
  <c r="M46" i="5" l="1"/>
  <c r="AF55" i="75"/>
  <c r="AL54" i="75"/>
  <c r="S52" i="73"/>
  <c r="G44" i="32" s="1"/>
  <c r="O46" i="40"/>
  <c r="O47" i="45"/>
  <c r="S47" i="45" s="1"/>
  <c r="O47" i="44"/>
  <c r="S47" i="44" s="1"/>
  <c r="O46" i="51"/>
  <c r="AX38" i="73"/>
  <c r="S50" i="72"/>
  <c r="G55" i="32" s="1"/>
  <c r="AF52" i="69"/>
  <c r="AL51" i="69"/>
  <c r="AT51" i="69" s="1"/>
  <c r="AR49" i="69"/>
  <c r="AN35" i="70"/>
  <c r="AP35" i="70" s="1"/>
  <c r="AV35" i="70" s="1"/>
  <c r="AX35" i="70" s="1"/>
  <c r="U35" i="70" s="1"/>
  <c r="W35" i="70" s="1"/>
  <c r="Y35" i="70" s="1"/>
  <c r="AN46" i="63"/>
  <c r="AP46" i="63" s="1"/>
  <c r="AV46" i="63" s="1"/>
  <c r="AX46" i="63" s="1"/>
  <c r="U46" i="63" s="1"/>
  <c r="W46" i="63" s="1"/>
  <c r="Y46" i="63" s="1"/>
  <c r="AN46" i="61"/>
  <c r="AP46" i="61" s="1"/>
  <c r="AV46" i="61" s="1"/>
  <c r="AX46" i="61" s="1"/>
  <c r="U46" i="61" s="1"/>
  <c r="W46" i="61" s="1"/>
  <c r="Y46" i="61" s="1"/>
  <c r="AN45" i="65"/>
  <c r="AP45" i="65" s="1"/>
  <c r="AN46" i="60"/>
  <c r="AP46" i="60" s="1"/>
  <c r="AV46" i="60" s="1"/>
  <c r="AX46" i="60" s="1"/>
  <c r="U46" i="60" s="1"/>
  <c r="AN46" i="62"/>
  <c r="AP46" i="62" s="1"/>
  <c r="AV46" i="62" s="1"/>
  <c r="AX46" i="62" s="1"/>
  <c r="U46" i="62" s="1"/>
  <c r="W46" i="62" s="1"/>
  <c r="Y46" i="62" s="1"/>
  <c r="AN46" i="59"/>
  <c r="AP46" i="59" s="1"/>
  <c r="AV46" i="59" s="1"/>
  <c r="AX46" i="59" s="1"/>
  <c r="U46" i="59" s="1"/>
  <c r="W46" i="59" s="1"/>
  <c r="Y46" i="59" s="1"/>
  <c r="AP45" i="60"/>
  <c r="U43" i="60"/>
  <c r="W42" i="61"/>
  <c r="Y42" i="61" s="1"/>
  <c r="W42" i="59"/>
  <c r="Y42" i="59" s="1"/>
  <c r="AX32" i="70"/>
  <c r="AP45" i="62"/>
  <c r="AP34" i="70"/>
  <c r="W30" i="70"/>
  <c r="AN34" i="68"/>
  <c r="AP34" i="68" s="1"/>
  <c r="AV34" i="68" s="1"/>
  <c r="AX34" i="68" s="1"/>
  <c r="U34" i="68" s="1"/>
  <c r="W34" i="68" s="1"/>
  <c r="Y34" i="68" s="1"/>
  <c r="AN34" i="67"/>
  <c r="AP34" i="67" s="1"/>
  <c r="AV34" i="67" s="1"/>
  <c r="AN35" i="66"/>
  <c r="AP35" i="66" s="1"/>
  <c r="AV35" i="66" s="1"/>
  <c r="AV44" i="63"/>
  <c r="AX44" i="63" s="1"/>
  <c r="AV44" i="61"/>
  <c r="AX44" i="61" s="1"/>
  <c r="W42" i="63"/>
  <c r="Y42" i="63" s="1"/>
  <c r="AV45" i="59"/>
  <c r="AX45" i="59" s="1"/>
  <c r="U43" i="62"/>
  <c r="BB46" i="14"/>
  <c r="AP45" i="58"/>
  <c r="AN48" i="31"/>
  <c r="AP48" i="31" s="1"/>
  <c r="AN46" i="58"/>
  <c r="AP46" i="58" s="1"/>
  <c r="AN47" i="57"/>
  <c r="AP47" i="57" s="1"/>
  <c r="AN47" i="24"/>
  <c r="AP47" i="24" s="1"/>
  <c r="AN36" i="48"/>
  <c r="AP36" i="48" s="1"/>
  <c r="AV36" i="48" s="1"/>
  <c r="AX36" i="48" s="1"/>
  <c r="U36" i="48" s="1"/>
  <c r="W36" i="48" s="1"/>
  <c r="Y36" i="48" s="1"/>
  <c r="AN36" i="49"/>
  <c r="AP36" i="49" s="1"/>
  <c r="AV36" i="49" s="1"/>
  <c r="AX36" i="49" s="1"/>
  <c r="U36" i="49" s="1"/>
  <c r="W36" i="49" s="1"/>
  <c r="Y36" i="49" s="1"/>
  <c r="AN36" i="47"/>
  <c r="AP36" i="47" s="1"/>
  <c r="AV36" i="47" s="1"/>
  <c r="AX36" i="47" s="1"/>
  <c r="U36" i="47" s="1"/>
  <c r="W36" i="47" s="1"/>
  <c r="Y36" i="47" s="1"/>
  <c r="AN37" i="50"/>
  <c r="AP37" i="50" s="1"/>
  <c r="AV37" i="50" s="1"/>
  <c r="AX37" i="50" s="1"/>
  <c r="U37" i="50" s="1"/>
  <c r="W37" i="50" s="1"/>
  <c r="Y37" i="50" s="1"/>
  <c r="W31" i="48"/>
  <c r="AX33" i="48"/>
  <c r="Y30" i="49"/>
  <c r="U32" i="49"/>
  <c r="AP35" i="48"/>
  <c r="Y31" i="50"/>
  <c r="U34" i="50"/>
  <c r="AV34" i="49"/>
  <c r="AV32" i="42"/>
  <c r="AN34" i="43"/>
  <c r="AP34" i="43" s="1"/>
  <c r="AV34" i="43" s="1"/>
  <c r="AN34" i="42"/>
  <c r="W32" i="47"/>
  <c r="E47" i="14"/>
  <c r="L46" i="5"/>
  <c r="K46" i="5"/>
  <c r="AN47" i="74" s="1"/>
  <c r="AP47" i="74" s="1"/>
  <c r="AV47" i="74" s="1"/>
  <c r="AX47" i="74" s="1"/>
  <c r="U47" i="74" s="1"/>
  <c r="W47" i="74" s="1"/>
  <c r="Y47" i="74" s="1"/>
  <c r="AF46" i="14"/>
  <c r="BD46" i="14"/>
  <c r="AR46" i="14"/>
  <c r="AH46" i="14"/>
  <c r="AP46" i="14"/>
  <c r="M46" i="14"/>
  <c r="AJ46" i="14"/>
  <c r="J46" i="5"/>
  <c r="AN47" i="14" s="1"/>
  <c r="H46" i="5"/>
  <c r="K46" i="14"/>
  <c r="BD58" i="20"/>
  <c r="BF57" i="20"/>
  <c r="AT56" i="20"/>
  <c r="AF58" i="20"/>
  <c r="AL57" i="20"/>
  <c r="AB50" i="14"/>
  <c r="C51" i="14"/>
  <c r="S48" i="24"/>
  <c r="AV55" i="5"/>
  <c r="AR43" i="5"/>
  <c r="AS44" i="5"/>
  <c r="BE57" i="5"/>
  <c r="BD56" i="5"/>
  <c r="BF56" i="5"/>
  <c r="AV56" i="5"/>
  <c r="Y42" i="5"/>
  <c r="C47" i="5"/>
  <c r="M47" i="5" l="1"/>
  <c r="AF56" i="75"/>
  <c r="AL55" i="75"/>
  <c r="U38" i="73"/>
  <c r="O47" i="40"/>
  <c r="O58" i="40" s="1"/>
  <c r="O48" i="45"/>
  <c r="S48" i="45" s="1"/>
  <c r="O48" i="44"/>
  <c r="S48" i="44" s="1"/>
  <c r="O47" i="51"/>
  <c r="O58" i="51" s="1"/>
  <c r="AR50" i="69"/>
  <c r="AF53" i="69"/>
  <c r="AL52" i="69"/>
  <c r="AT52" i="69" s="1"/>
  <c r="BB47" i="14"/>
  <c r="AV34" i="70"/>
  <c r="U32" i="70"/>
  <c r="AV45" i="60"/>
  <c r="AX45" i="60" s="1"/>
  <c r="W43" i="62"/>
  <c r="Y43" i="62" s="1"/>
  <c r="U45" i="59"/>
  <c r="U44" i="61"/>
  <c r="U44" i="63"/>
  <c r="AN36" i="70"/>
  <c r="AP36" i="70" s="1"/>
  <c r="AV36" i="70" s="1"/>
  <c r="AX36" i="70" s="1"/>
  <c r="U36" i="70" s="1"/>
  <c r="W36" i="70" s="1"/>
  <c r="Y36" i="70" s="1"/>
  <c r="AN47" i="63"/>
  <c r="AP47" i="63" s="1"/>
  <c r="AV47" i="63" s="1"/>
  <c r="AX47" i="63" s="1"/>
  <c r="U47" i="63" s="1"/>
  <c r="W47" i="63" s="1"/>
  <c r="Y47" i="63" s="1"/>
  <c r="AN47" i="61"/>
  <c r="AP47" i="61" s="1"/>
  <c r="AN46" i="65"/>
  <c r="AP46" i="65" s="1"/>
  <c r="AN47" i="62"/>
  <c r="AP47" i="62" s="1"/>
  <c r="AV47" i="62" s="1"/>
  <c r="AX47" i="62" s="1"/>
  <c r="U47" i="62" s="1"/>
  <c r="W47" i="62" s="1"/>
  <c r="Y47" i="62" s="1"/>
  <c r="AN47" i="60"/>
  <c r="AP47" i="60" s="1"/>
  <c r="AV47" i="60" s="1"/>
  <c r="AX47" i="60" s="1"/>
  <c r="U47" i="60" s="1"/>
  <c r="AN47" i="59"/>
  <c r="AP47" i="59" s="1"/>
  <c r="Y30" i="70"/>
  <c r="AV45" i="62"/>
  <c r="AX45" i="62" s="1"/>
  <c r="AN35" i="68"/>
  <c r="AP35" i="68" s="1"/>
  <c r="AV35" i="68" s="1"/>
  <c r="AX35" i="68" s="1"/>
  <c r="U35" i="68" s="1"/>
  <c r="W35" i="68" s="1"/>
  <c r="Y35" i="68" s="1"/>
  <c r="AN35" i="67"/>
  <c r="AP35" i="67" s="1"/>
  <c r="AV35" i="67" s="1"/>
  <c r="AN36" i="66"/>
  <c r="AP36" i="66" s="1"/>
  <c r="AV36" i="66" s="1"/>
  <c r="AN49" i="31"/>
  <c r="AP49" i="31" s="1"/>
  <c r="AN47" i="58"/>
  <c r="AP47" i="58" s="1"/>
  <c r="AN48" i="57"/>
  <c r="AP48" i="57" s="1"/>
  <c r="W34" i="50"/>
  <c r="AV35" i="48"/>
  <c r="W32" i="49"/>
  <c r="Y31" i="48"/>
  <c r="AN48" i="24"/>
  <c r="AP48" i="24" s="1"/>
  <c r="AN37" i="48"/>
  <c r="AP37" i="48" s="1"/>
  <c r="AV37" i="48" s="1"/>
  <c r="AX37" i="48" s="1"/>
  <c r="U37" i="48" s="1"/>
  <c r="W37" i="48" s="1"/>
  <c r="Y37" i="48" s="1"/>
  <c r="AN37" i="49"/>
  <c r="AP37" i="49" s="1"/>
  <c r="AN37" i="47"/>
  <c r="AP37" i="47" s="1"/>
  <c r="AV37" i="47" s="1"/>
  <c r="AX37" i="47" s="1"/>
  <c r="U37" i="47" s="1"/>
  <c r="AN38" i="50"/>
  <c r="AP38" i="50" s="1"/>
  <c r="AV38" i="50" s="1"/>
  <c r="AX38" i="50" s="1"/>
  <c r="AX34" i="49"/>
  <c r="U33" i="48"/>
  <c r="AP34" i="42"/>
  <c r="AN35" i="43"/>
  <c r="AP35" i="43" s="1"/>
  <c r="AV35" i="43" s="1"/>
  <c r="AN35" i="42"/>
  <c r="AP35" i="42" s="1"/>
  <c r="AV35" i="42" s="1"/>
  <c r="Y32" i="47"/>
  <c r="AJ47" i="14"/>
  <c r="K47" i="14"/>
  <c r="M47" i="14"/>
  <c r="BD47" i="14"/>
  <c r="AP47" i="14"/>
  <c r="AF47" i="14"/>
  <c r="AR47" i="14"/>
  <c r="AH47" i="14"/>
  <c r="L47" i="5"/>
  <c r="K47" i="5"/>
  <c r="AN48" i="74" s="1"/>
  <c r="AP48" i="74" s="1"/>
  <c r="AV48" i="74" s="1"/>
  <c r="AX48" i="74" s="1"/>
  <c r="U48" i="74" s="1"/>
  <c r="W48" i="74" s="1"/>
  <c r="Y48" i="74" s="1"/>
  <c r="H47" i="5"/>
  <c r="J47" i="5"/>
  <c r="AN48" i="14" s="1"/>
  <c r="E48" i="14"/>
  <c r="AT57" i="20"/>
  <c r="AF59" i="20"/>
  <c r="AL58" i="20"/>
  <c r="BD59" i="20"/>
  <c r="BF58" i="20"/>
  <c r="AB51" i="14"/>
  <c r="C52" i="14"/>
  <c r="S49" i="24"/>
  <c r="Y43" i="5"/>
  <c r="C48" i="5"/>
  <c r="AR44" i="5"/>
  <c r="AS45" i="5"/>
  <c r="BF57" i="5"/>
  <c r="AV57" i="5"/>
  <c r="BD57" i="5"/>
  <c r="BE58" i="5"/>
  <c r="M48" i="5" l="1"/>
  <c r="BB48" i="14"/>
  <c r="AF57" i="75"/>
  <c r="AL56" i="75"/>
  <c r="O49" i="45"/>
  <c r="S49" i="45" s="1"/>
  <c r="O49" i="44"/>
  <c r="S49" i="44" s="1"/>
  <c r="W38" i="73"/>
  <c r="AL53" i="69"/>
  <c r="AF64" i="69"/>
  <c r="AR51" i="69"/>
  <c r="AV47" i="59"/>
  <c r="AX47" i="59" s="1"/>
  <c r="AV47" i="61"/>
  <c r="AX47" i="61" s="1"/>
  <c r="W44" i="63"/>
  <c r="Y44" i="63" s="1"/>
  <c r="W45" i="59"/>
  <c r="Y45" i="59" s="1"/>
  <c r="U45" i="60"/>
  <c r="AX34" i="70"/>
  <c r="AN36" i="68"/>
  <c r="AP36" i="68" s="1"/>
  <c r="AV36" i="68" s="1"/>
  <c r="AX36" i="68" s="1"/>
  <c r="U36" i="68" s="1"/>
  <c r="W36" i="68" s="1"/>
  <c r="Y36" i="68" s="1"/>
  <c r="AN36" i="67"/>
  <c r="AP36" i="67" s="1"/>
  <c r="AV36" i="67" s="1"/>
  <c r="AN37" i="66"/>
  <c r="AP37" i="66" s="1"/>
  <c r="AV37" i="66" s="1"/>
  <c r="U45" i="62"/>
  <c r="AN37" i="70"/>
  <c r="AP37" i="70" s="1"/>
  <c r="AV37" i="70" s="1"/>
  <c r="AX37" i="70" s="1"/>
  <c r="U37" i="70" s="1"/>
  <c r="W37" i="70" s="1"/>
  <c r="Y37" i="70" s="1"/>
  <c r="AN48" i="61"/>
  <c r="AP48" i="61" s="1"/>
  <c r="AV48" i="61" s="1"/>
  <c r="AX48" i="61" s="1"/>
  <c r="U48" i="61" s="1"/>
  <c r="W48" i="61" s="1"/>
  <c r="Y48" i="61" s="1"/>
  <c r="AN48" i="63"/>
  <c r="AP48" i="63" s="1"/>
  <c r="AV48" i="63" s="1"/>
  <c r="AX48" i="63" s="1"/>
  <c r="AN47" i="65"/>
  <c r="AP47" i="65" s="1"/>
  <c r="AN48" i="62"/>
  <c r="AP48" i="62" s="1"/>
  <c r="AV48" i="62" s="1"/>
  <c r="AX48" i="62" s="1"/>
  <c r="U48" i="62" s="1"/>
  <c r="W48" i="62" s="1"/>
  <c r="Y48" i="62" s="1"/>
  <c r="AN48" i="60"/>
  <c r="AP48" i="60" s="1"/>
  <c r="AV48" i="60" s="1"/>
  <c r="AX48" i="60" s="1"/>
  <c r="U48" i="60" s="1"/>
  <c r="AN48" i="59"/>
  <c r="AP48" i="59" s="1"/>
  <c r="AV48" i="59" s="1"/>
  <c r="AX48" i="59" s="1"/>
  <c r="U48" i="59" s="1"/>
  <c r="W48" i="59" s="1"/>
  <c r="Y48" i="59" s="1"/>
  <c r="W44" i="61"/>
  <c r="Y44" i="61" s="1"/>
  <c r="W32" i="70"/>
  <c r="AN50" i="31"/>
  <c r="AP50" i="31" s="1"/>
  <c r="AN48" i="58"/>
  <c r="AP48" i="58" s="1"/>
  <c r="AN49" i="57"/>
  <c r="AP49" i="57" s="1"/>
  <c r="U38" i="50"/>
  <c r="Y32" i="49"/>
  <c r="Y34" i="50"/>
  <c r="W33" i="48"/>
  <c r="AV37" i="49"/>
  <c r="AN49" i="24"/>
  <c r="AP49" i="24" s="1"/>
  <c r="AN38" i="48"/>
  <c r="AP38" i="48" s="1"/>
  <c r="AV38" i="48" s="1"/>
  <c r="AX38" i="48" s="1"/>
  <c r="U38" i="48" s="1"/>
  <c r="W38" i="48" s="1"/>
  <c r="Y38" i="48" s="1"/>
  <c r="AN38" i="49"/>
  <c r="AP38" i="49" s="1"/>
  <c r="AV38" i="49" s="1"/>
  <c r="AX38" i="49" s="1"/>
  <c r="U38" i="49" s="1"/>
  <c r="W38" i="49" s="1"/>
  <c r="Y38" i="49" s="1"/>
  <c r="AN38" i="47"/>
  <c r="AP38" i="47" s="1"/>
  <c r="AV38" i="47" s="1"/>
  <c r="AX38" i="47" s="1"/>
  <c r="U38" i="47" s="1"/>
  <c r="W38" i="47" s="1"/>
  <c r="Y38" i="47" s="1"/>
  <c r="AN39" i="50"/>
  <c r="AP39" i="50" s="1"/>
  <c r="AV39" i="50" s="1"/>
  <c r="AX39" i="50" s="1"/>
  <c r="U39" i="50" s="1"/>
  <c r="W39" i="50" s="1"/>
  <c r="Y39" i="50" s="1"/>
  <c r="U34" i="49"/>
  <c r="AX35" i="48"/>
  <c r="W37" i="47"/>
  <c r="AN36" i="43"/>
  <c r="AP36" i="43" s="1"/>
  <c r="AV36" i="43" s="1"/>
  <c r="AN36" i="42"/>
  <c r="AP36" i="42" s="1"/>
  <c r="AV36" i="42" s="1"/>
  <c r="AV34" i="42"/>
  <c r="E49" i="14"/>
  <c r="L48" i="5"/>
  <c r="K48" i="5"/>
  <c r="AN49" i="74" s="1"/>
  <c r="AP49" i="74" s="1"/>
  <c r="AV49" i="74" s="1"/>
  <c r="AX49" i="74" s="1"/>
  <c r="U49" i="74" s="1"/>
  <c r="W49" i="74" s="1"/>
  <c r="Y49" i="74" s="1"/>
  <c r="AP48" i="14"/>
  <c r="J48" i="5"/>
  <c r="AN49" i="14" s="1"/>
  <c r="H48" i="5"/>
  <c r="AT58" i="20"/>
  <c r="BD60" i="20"/>
  <c r="BF59" i="20"/>
  <c r="AF60" i="20"/>
  <c r="AL59" i="20"/>
  <c r="K48" i="14"/>
  <c r="M48" i="14"/>
  <c r="AF48" i="14"/>
  <c r="AR48" i="14"/>
  <c r="AH48" i="14"/>
  <c r="BD48" i="14"/>
  <c r="AJ48" i="14"/>
  <c r="C53" i="14"/>
  <c r="AB52" i="14"/>
  <c r="S50" i="24"/>
  <c r="Y44" i="5"/>
  <c r="C49" i="5"/>
  <c r="AR45" i="5"/>
  <c r="AS46" i="5"/>
  <c r="BE59" i="5"/>
  <c r="BD58" i="5"/>
  <c r="BF58" i="5"/>
  <c r="AV58" i="5"/>
  <c r="BB49" i="14" l="1"/>
  <c r="M49" i="5"/>
  <c r="AF59" i="75"/>
  <c r="AL57" i="75"/>
  <c r="Y38" i="73"/>
  <c r="O50" i="45"/>
  <c r="S50" i="45" s="1"/>
  <c r="O50" i="44"/>
  <c r="S50" i="44" s="1"/>
  <c r="AR52" i="69"/>
  <c r="AT53" i="69"/>
  <c r="AL64" i="69"/>
  <c r="Y32" i="70"/>
  <c r="U34" i="70"/>
  <c r="U47" i="61"/>
  <c r="AN38" i="70"/>
  <c r="AP38" i="70" s="1"/>
  <c r="AV38" i="70" s="1"/>
  <c r="AX38" i="70" s="1"/>
  <c r="U38" i="70" s="1"/>
  <c r="W38" i="70" s="1"/>
  <c r="Y38" i="70" s="1"/>
  <c r="AN49" i="61"/>
  <c r="AP49" i="61" s="1"/>
  <c r="AV49" i="61" s="1"/>
  <c r="AX49" i="61" s="1"/>
  <c r="U49" i="61" s="1"/>
  <c r="W49" i="61" s="1"/>
  <c r="Y49" i="61" s="1"/>
  <c r="AN49" i="63"/>
  <c r="AP49" i="63" s="1"/>
  <c r="AV49" i="63" s="1"/>
  <c r="AX49" i="63" s="1"/>
  <c r="U49" i="63" s="1"/>
  <c r="W49" i="63" s="1"/>
  <c r="Y49" i="63" s="1"/>
  <c r="AN49" i="62"/>
  <c r="AP49" i="62" s="1"/>
  <c r="AV49" i="62" s="1"/>
  <c r="AX49" i="62" s="1"/>
  <c r="U49" i="62" s="1"/>
  <c r="W49" i="62" s="1"/>
  <c r="Y49" i="62" s="1"/>
  <c r="AN48" i="65"/>
  <c r="AP48" i="65" s="1"/>
  <c r="AN49" i="60"/>
  <c r="AP49" i="60" s="1"/>
  <c r="AV49" i="60" s="1"/>
  <c r="AX49" i="60" s="1"/>
  <c r="U49" i="60" s="1"/>
  <c r="AN49" i="59"/>
  <c r="AP49" i="59" s="1"/>
  <c r="AV49" i="59" s="1"/>
  <c r="AX49" i="59" s="1"/>
  <c r="U49" i="59" s="1"/>
  <c r="W49" i="59" s="1"/>
  <c r="Y49" i="59" s="1"/>
  <c r="U47" i="59"/>
  <c r="AN37" i="68"/>
  <c r="AP37" i="68" s="1"/>
  <c r="AV37" i="68" s="1"/>
  <c r="AX37" i="68" s="1"/>
  <c r="U37" i="68" s="1"/>
  <c r="W37" i="68" s="1"/>
  <c r="Y37" i="68" s="1"/>
  <c r="AN37" i="67"/>
  <c r="AP37" i="67" s="1"/>
  <c r="AV37" i="67" s="1"/>
  <c r="AN38" i="66"/>
  <c r="AP38" i="66" s="1"/>
  <c r="AV38" i="66" s="1"/>
  <c r="U48" i="63"/>
  <c r="W45" i="62"/>
  <c r="Y45" i="62" s="1"/>
  <c r="AN51" i="31"/>
  <c r="AP51" i="31" s="1"/>
  <c r="AN49" i="58"/>
  <c r="AP49" i="58" s="1"/>
  <c r="AN50" i="57"/>
  <c r="AP50" i="57" s="1"/>
  <c r="AN50" i="24"/>
  <c r="AP50" i="24" s="1"/>
  <c r="AN39" i="48"/>
  <c r="AP39" i="48" s="1"/>
  <c r="AV39" i="48" s="1"/>
  <c r="AN39" i="49"/>
  <c r="AP39" i="49" s="1"/>
  <c r="AV39" i="49" s="1"/>
  <c r="AX39" i="49" s="1"/>
  <c r="U39" i="49" s="1"/>
  <c r="W39" i="49" s="1"/>
  <c r="Y39" i="49" s="1"/>
  <c r="AN39" i="47"/>
  <c r="AP39" i="47" s="1"/>
  <c r="AV39" i="47" s="1"/>
  <c r="AX39" i="47" s="1"/>
  <c r="U39" i="47" s="1"/>
  <c r="W39" i="47" s="1"/>
  <c r="Y39" i="47" s="1"/>
  <c r="AN40" i="50"/>
  <c r="AP40" i="50" s="1"/>
  <c r="AV40" i="50" s="1"/>
  <c r="AX40" i="50" s="1"/>
  <c r="U40" i="50" s="1"/>
  <c r="W40" i="50" s="1"/>
  <c r="Y40" i="50" s="1"/>
  <c r="W34" i="49"/>
  <c r="Y33" i="48"/>
  <c r="U35" i="48"/>
  <c r="AX37" i="49"/>
  <c r="W38" i="50"/>
  <c r="AP49" i="14"/>
  <c r="Y37" i="47"/>
  <c r="AN37" i="43"/>
  <c r="AP37" i="43" s="1"/>
  <c r="AV37" i="43" s="1"/>
  <c r="AN37" i="42"/>
  <c r="AP37" i="42" s="1"/>
  <c r="L49" i="5"/>
  <c r="K49" i="5"/>
  <c r="AN50" i="74" s="1"/>
  <c r="AP50" i="74" s="1"/>
  <c r="AV50" i="74" s="1"/>
  <c r="AX50" i="74" s="1"/>
  <c r="U50" i="74" s="1"/>
  <c r="W50" i="74" s="1"/>
  <c r="Y50" i="74" s="1"/>
  <c r="E50" i="14"/>
  <c r="BB50" i="14" s="1"/>
  <c r="H49" i="5"/>
  <c r="J49" i="5"/>
  <c r="AN50" i="14" s="1"/>
  <c r="AT59" i="20"/>
  <c r="AF61" i="20"/>
  <c r="AL60" i="20"/>
  <c r="BD61" i="20"/>
  <c r="BF60" i="20"/>
  <c r="AJ49" i="14"/>
  <c r="M49" i="14"/>
  <c r="AR49" i="14"/>
  <c r="K49" i="14"/>
  <c r="BD49" i="14"/>
  <c r="AF49" i="14"/>
  <c r="AH49" i="14"/>
  <c r="AB53" i="14"/>
  <c r="C54" i="14"/>
  <c r="S51" i="24"/>
  <c r="BF59" i="5"/>
  <c r="AV59" i="5"/>
  <c r="BD59" i="5"/>
  <c r="BE60" i="5"/>
  <c r="AR46" i="5"/>
  <c r="AS47" i="5"/>
  <c r="Y45" i="5"/>
  <c r="C50" i="5"/>
  <c r="M50" i="5" l="1"/>
  <c r="AL59" i="75"/>
  <c r="O51" i="45"/>
  <c r="S51" i="45" s="1"/>
  <c r="O51" i="44"/>
  <c r="S51" i="44" s="1"/>
  <c r="AT64" i="69"/>
  <c r="AR53" i="69"/>
  <c r="W48" i="63"/>
  <c r="Y48" i="63" s="1"/>
  <c r="W34" i="70"/>
  <c r="AN39" i="70"/>
  <c r="AP39" i="70" s="1"/>
  <c r="AV39" i="70" s="1"/>
  <c r="AX39" i="70" s="1"/>
  <c r="U39" i="70" s="1"/>
  <c r="W39" i="70" s="1"/>
  <c r="Y39" i="70" s="1"/>
  <c r="AN50" i="63"/>
  <c r="AP50" i="63" s="1"/>
  <c r="AV50" i="63" s="1"/>
  <c r="AX50" i="63" s="1"/>
  <c r="U50" i="63" s="1"/>
  <c r="W50" i="63" s="1"/>
  <c r="Y50" i="63" s="1"/>
  <c r="AN50" i="61"/>
  <c r="AP50" i="61" s="1"/>
  <c r="AV50" i="61" s="1"/>
  <c r="AX50" i="61" s="1"/>
  <c r="U50" i="61" s="1"/>
  <c r="W50" i="61" s="1"/>
  <c r="Y50" i="61" s="1"/>
  <c r="AN50" i="62"/>
  <c r="AP50" i="62" s="1"/>
  <c r="AV50" i="62" s="1"/>
  <c r="AX50" i="62" s="1"/>
  <c r="U50" i="62" s="1"/>
  <c r="W50" i="62" s="1"/>
  <c r="Y50" i="62" s="1"/>
  <c r="AN49" i="65"/>
  <c r="AP49" i="65" s="1"/>
  <c r="AN50" i="60"/>
  <c r="AP50" i="60" s="1"/>
  <c r="AV50" i="60" s="1"/>
  <c r="AX50" i="60" s="1"/>
  <c r="U50" i="60" s="1"/>
  <c r="AN50" i="59"/>
  <c r="AP50" i="59" s="1"/>
  <c r="AV50" i="59" s="1"/>
  <c r="AX50" i="59" s="1"/>
  <c r="U50" i="59" s="1"/>
  <c r="W50" i="59" s="1"/>
  <c r="Y50" i="59" s="1"/>
  <c r="W47" i="59"/>
  <c r="Y47" i="59" s="1"/>
  <c r="AN38" i="68"/>
  <c r="AP38" i="68" s="1"/>
  <c r="AV38" i="68" s="1"/>
  <c r="AX38" i="68" s="1"/>
  <c r="U38" i="68" s="1"/>
  <c r="W38" i="68" s="1"/>
  <c r="Y38" i="68" s="1"/>
  <c r="AN38" i="67"/>
  <c r="AP38" i="67" s="1"/>
  <c r="AV38" i="67" s="1"/>
  <c r="AN39" i="66"/>
  <c r="AP39" i="66" s="1"/>
  <c r="AV39" i="66" s="1"/>
  <c r="W47" i="61"/>
  <c r="Y47" i="61" s="1"/>
  <c r="AN52" i="31"/>
  <c r="AP52" i="31" s="1"/>
  <c r="AN50" i="58"/>
  <c r="AP50" i="58" s="1"/>
  <c r="AN51" i="57"/>
  <c r="AP51" i="57" s="1"/>
  <c r="U37" i="49"/>
  <c r="AX39" i="48"/>
  <c r="AN51" i="24"/>
  <c r="AP51" i="24" s="1"/>
  <c r="AN40" i="48"/>
  <c r="AP40" i="48" s="1"/>
  <c r="AV40" i="48" s="1"/>
  <c r="AX40" i="48" s="1"/>
  <c r="U40" i="48" s="1"/>
  <c r="W40" i="48" s="1"/>
  <c r="Y40" i="48" s="1"/>
  <c r="AN40" i="49"/>
  <c r="AP40" i="49" s="1"/>
  <c r="AV40" i="49" s="1"/>
  <c r="AX40" i="49" s="1"/>
  <c r="U40" i="49" s="1"/>
  <c r="W40" i="49" s="1"/>
  <c r="Y40" i="49" s="1"/>
  <c r="AN40" i="47"/>
  <c r="AP40" i="47" s="1"/>
  <c r="AV40" i="47" s="1"/>
  <c r="AX40" i="47" s="1"/>
  <c r="U40" i="47" s="1"/>
  <c r="W40" i="47" s="1"/>
  <c r="Y40" i="47" s="1"/>
  <c r="AN41" i="50"/>
  <c r="AP41" i="50" s="1"/>
  <c r="AV41" i="50" s="1"/>
  <c r="AX41" i="50" s="1"/>
  <c r="U41" i="50" s="1"/>
  <c r="Y38" i="50"/>
  <c r="W35" i="48"/>
  <c r="Y34" i="49"/>
  <c r="AN38" i="43"/>
  <c r="AP38" i="43" s="1"/>
  <c r="AV38" i="43" s="1"/>
  <c r="AN38" i="42"/>
  <c r="AP38" i="42" s="1"/>
  <c r="AV38" i="42" s="1"/>
  <c r="AV37" i="42"/>
  <c r="E51" i="14"/>
  <c r="BB51" i="14" s="1"/>
  <c r="L50" i="5"/>
  <c r="K50" i="5"/>
  <c r="AN51" i="74" s="1"/>
  <c r="AP51" i="74" s="1"/>
  <c r="AV51" i="74" s="1"/>
  <c r="AX51" i="74" s="1"/>
  <c r="U51" i="74" s="1"/>
  <c r="W51" i="74" s="1"/>
  <c r="Y51" i="74" s="1"/>
  <c r="AP50" i="14"/>
  <c r="J50" i="5"/>
  <c r="AN51" i="14" s="1"/>
  <c r="H50" i="5"/>
  <c r="BD62" i="20"/>
  <c r="BF61" i="20"/>
  <c r="AF62" i="20"/>
  <c r="AL61" i="20"/>
  <c r="AT60" i="20"/>
  <c r="AR50" i="14"/>
  <c r="AF50" i="14"/>
  <c r="AJ50" i="14"/>
  <c r="AH50" i="14"/>
  <c r="BD50" i="14"/>
  <c r="K50" i="14"/>
  <c r="M50" i="14"/>
  <c r="AB54" i="14"/>
  <c r="C55" i="14"/>
  <c r="Y46" i="5"/>
  <c r="C51" i="5"/>
  <c r="AR47" i="5"/>
  <c r="AS48" i="5"/>
  <c r="BE61" i="5"/>
  <c r="BD60" i="5"/>
  <c r="BF60" i="5"/>
  <c r="AV60" i="5"/>
  <c r="M51" i="5" l="1"/>
  <c r="O52" i="45"/>
  <c r="O52" i="44"/>
  <c r="AR64" i="69"/>
  <c r="AN40" i="70"/>
  <c r="AP40" i="70" s="1"/>
  <c r="AV40" i="70" s="1"/>
  <c r="AX40" i="70" s="1"/>
  <c r="U40" i="70" s="1"/>
  <c r="W40" i="70" s="1"/>
  <c r="Y40" i="70" s="1"/>
  <c r="AN51" i="61"/>
  <c r="AP51" i="61" s="1"/>
  <c r="AV51" i="61" s="1"/>
  <c r="AX51" i="61" s="1"/>
  <c r="U51" i="61" s="1"/>
  <c r="W51" i="61" s="1"/>
  <c r="Y51" i="61" s="1"/>
  <c r="AN51" i="63"/>
  <c r="AP51" i="63" s="1"/>
  <c r="AV51" i="63" s="1"/>
  <c r="AX51" i="63" s="1"/>
  <c r="U51" i="63" s="1"/>
  <c r="W51" i="63" s="1"/>
  <c r="Y51" i="63" s="1"/>
  <c r="AN51" i="62"/>
  <c r="AP51" i="62" s="1"/>
  <c r="AV51" i="62" s="1"/>
  <c r="AX51" i="62" s="1"/>
  <c r="U51" i="62" s="1"/>
  <c r="W51" i="62" s="1"/>
  <c r="Y51" i="62" s="1"/>
  <c r="AN50" i="65"/>
  <c r="AP50" i="65" s="1"/>
  <c r="AN51" i="60"/>
  <c r="AP51" i="60" s="1"/>
  <c r="AV51" i="60" s="1"/>
  <c r="AX51" i="60" s="1"/>
  <c r="U51" i="60" s="1"/>
  <c r="AN51" i="59"/>
  <c r="AP51" i="59" s="1"/>
  <c r="AV51" i="59" s="1"/>
  <c r="AX51" i="59" s="1"/>
  <c r="U51" i="59" s="1"/>
  <c r="W51" i="59" s="1"/>
  <c r="Y51" i="59" s="1"/>
  <c r="Y34" i="70"/>
  <c r="AN39" i="68"/>
  <c r="AP39" i="68" s="1"/>
  <c r="AV39" i="68" s="1"/>
  <c r="AX39" i="68" s="1"/>
  <c r="U39" i="68" s="1"/>
  <c r="W39" i="68" s="1"/>
  <c r="Y39" i="68" s="1"/>
  <c r="AN39" i="67"/>
  <c r="AP39" i="67" s="1"/>
  <c r="AV39" i="67" s="1"/>
  <c r="AN40" i="66"/>
  <c r="AP40" i="66" s="1"/>
  <c r="AV40" i="66" s="1"/>
  <c r="AN53" i="31"/>
  <c r="AP53" i="31" s="1"/>
  <c r="AN51" i="58"/>
  <c r="AP51" i="58" s="1"/>
  <c r="AN52" i="57"/>
  <c r="AP52" i="57" s="1"/>
  <c r="W41" i="50"/>
  <c r="AN52" i="24"/>
  <c r="AP52" i="24" s="1"/>
  <c r="AN41" i="48"/>
  <c r="AP41" i="48" s="1"/>
  <c r="AV41" i="48" s="1"/>
  <c r="AX41" i="48" s="1"/>
  <c r="U41" i="48" s="1"/>
  <c r="W41" i="48" s="1"/>
  <c r="Y41" i="48" s="1"/>
  <c r="AN41" i="49"/>
  <c r="AP41" i="49" s="1"/>
  <c r="AV41" i="49" s="1"/>
  <c r="AX41" i="49" s="1"/>
  <c r="U41" i="49" s="1"/>
  <c r="W41" i="49" s="1"/>
  <c r="Y41" i="49" s="1"/>
  <c r="AN41" i="47"/>
  <c r="AP41" i="47" s="1"/>
  <c r="AV41" i="47" s="1"/>
  <c r="AX41" i="47" s="1"/>
  <c r="U41" i="47" s="1"/>
  <c r="W41" i="47" s="1"/>
  <c r="Y41" i="47" s="1"/>
  <c r="AN42" i="50"/>
  <c r="AP42" i="50" s="1"/>
  <c r="AV42" i="50" s="1"/>
  <c r="AX42" i="50" s="1"/>
  <c r="U42" i="50" s="1"/>
  <c r="W42" i="50" s="1"/>
  <c r="Y42" i="50" s="1"/>
  <c r="Y35" i="48"/>
  <c r="U39" i="48"/>
  <c r="W37" i="49"/>
  <c r="AP51" i="14"/>
  <c r="AN39" i="43"/>
  <c r="AP39" i="43" s="1"/>
  <c r="AV39" i="43" s="1"/>
  <c r="AN39" i="42"/>
  <c r="AP39" i="42" s="1"/>
  <c r="AV39" i="42" s="1"/>
  <c r="S52" i="24"/>
  <c r="S71" i="24" s="1"/>
  <c r="I71" i="24"/>
  <c r="L51" i="5"/>
  <c r="K51" i="5"/>
  <c r="AN52" i="74" s="1"/>
  <c r="AP52" i="74" s="1"/>
  <c r="AV52" i="74" s="1"/>
  <c r="AX52" i="74" s="1"/>
  <c r="U52" i="74" s="1"/>
  <c r="W52" i="74" s="1"/>
  <c r="Y52" i="74" s="1"/>
  <c r="J51" i="5"/>
  <c r="AN52" i="14" s="1"/>
  <c r="H51" i="5"/>
  <c r="E52" i="14"/>
  <c r="BB52" i="14" s="1"/>
  <c r="AL62" i="20"/>
  <c r="AF66" i="20"/>
  <c r="AT61" i="20"/>
  <c r="BF62" i="20"/>
  <c r="BF66" i="20" s="1"/>
  <c r="BD66" i="20"/>
  <c r="C56" i="14"/>
  <c r="BD51" i="14"/>
  <c r="AJ51" i="14"/>
  <c r="M51" i="14"/>
  <c r="AF51" i="14"/>
  <c r="AH51" i="14"/>
  <c r="AR51" i="14"/>
  <c r="K51" i="14"/>
  <c r="AB55" i="14"/>
  <c r="AR48" i="5"/>
  <c r="AS49" i="5"/>
  <c r="Y47" i="5"/>
  <c r="C52" i="5"/>
  <c r="BF61" i="5"/>
  <c r="AV61" i="5"/>
  <c r="BE62" i="5"/>
  <c r="BD61" i="5"/>
  <c r="M52" i="5" l="1"/>
  <c r="S52" i="44"/>
  <c r="O61" i="44"/>
  <c r="S52" i="45"/>
  <c r="S61" i="45" s="1"/>
  <c r="G39" i="32" s="1"/>
  <c r="O61" i="45"/>
  <c r="AN41" i="70"/>
  <c r="AP41" i="70" s="1"/>
  <c r="AV41" i="70" s="1"/>
  <c r="AX41" i="70" s="1"/>
  <c r="U41" i="70" s="1"/>
  <c r="W41" i="70" s="1"/>
  <c r="AN52" i="61"/>
  <c r="AP52" i="61" s="1"/>
  <c r="AV52" i="61" s="1"/>
  <c r="AX52" i="61" s="1"/>
  <c r="U52" i="61" s="1"/>
  <c r="W52" i="61" s="1"/>
  <c r="Y52" i="61" s="1"/>
  <c r="AN52" i="63"/>
  <c r="AP52" i="63" s="1"/>
  <c r="AV52" i="63" s="1"/>
  <c r="AX52" i="63" s="1"/>
  <c r="U52" i="63" s="1"/>
  <c r="W52" i="63" s="1"/>
  <c r="Y52" i="63" s="1"/>
  <c r="AN52" i="60"/>
  <c r="AP52" i="60" s="1"/>
  <c r="AV52" i="60" s="1"/>
  <c r="AX52" i="60" s="1"/>
  <c r="U52" i="60" s="1"/>
  <c r="AN52" i="62"/>
  <c r="AP52" i="62" s="1"/>
  <c r="AV52" i="62" s="1"/>
  <c r="AX52" i="62" s="1"/>
  <c r="U52" i="62" s="1"/>
  <c r="W52" i="62" s="1"/>
  <c r="Y52" i="62" s="1"/>
  <c r="AN51" i="65"/>
  <c r="AP51" i="65" s="1"/>
  <c r="AN52" i="59"/>
  <c r="AP52" i="59" s="1"/>
  <c r="AV52" i="59" s="1"/>
  <c r="AX52" i="59" s="1"/>
  <c r="U52" i="59" s="1"/>
  <c r="W52" i="59" s="1"/>
  <c r="Y52" i="59" s="1"/>
  <c r="AN40" i="68"/>
  <c r="AP40" i="68" s="1"/>
  <c r="AV40" i="68" s="1"/>
  <c r="AX40" i="68" s="1"/>
  <c r="U40" i="68" s="1"/>
  <c r="W40" i="68" s="1"/>
  <c r="Y40" i="68" s="1"/>
  <c r="AN40" i="67"/>
  <c r="AP40" i="67" s="1"/>
  <c r="AV40" i="67" s="1"/>
  <c r="AN41" i="66"/>
  <c r="AP41" i="66" s="1"/>
  <c r="AV41" i="66" s="1"/>
  <c r="AN54" i="31"/>
  <c r="AP54" i="31" s="1"/>
  <c r="AN52" i="58"/>
  <c r="AP52" i="58" s="1"/>
  <c r="AN53" i="57"/>
  <c r="AP53" i="57" s="1"/>
  <c r="Y37" i="49"/>
  <c r="AN53" i="24"/>
  <c r="AP53" i="24" s="1"/>
  <c r="AN42" i="48"/>
  <c r="AP42" i="48" s="1"/>
  <c r="AV42" i="48" s="1"/>
  <c r="AX42" i="48" s="1"/>
  <c r="U42" i="48" s="1"/>
  <c r="W42" i="48" s="1"/>
  <c r="Y42" i="48" s="1"/>
  <c r="AN42" i="49"/>
  <c r="AP42" i="49" s="1"/>
  <c r="AV42" i="49" s="1"/>
  <c r="AX42" i="49" s="1"/>
  <c r="U42" i="49" s="1"/>
  <c r="W42" i="49" s="1"/>
  <c r="Y42" i="49" s="1"/>
  <c r="AN42" i="47"/>
  <c r="AP42" i="47" s="1"/>
  <c r="AV42" i="47" s="1"/>
  <c r="AX42" i="47" s="1"/>
  <c r="U42" i="47" s="1"/>
  <c r="W42" i="47" s="1"/>
  <c r="Y42" i="47" s="1"/>
  <c r="AN43" i="50"/>
  <c r="AP43" i="50" s="1"/>
  <c r="AV43" i="50" s="1"/>
  <c r="AX43" i="50" s="1"/>
  <c r="U43" i="50" s="1"/>
  <c r="W43" i="50" s="1"/>
  <c r="Y43" i="50" s="1"/>
  <c r="W39" i="48"/>
  <c r="Y41" i="50"/>
  <c r="AN40" i="43"/>
  <c r="AP40" i="43" s="1"/>
  <c r="AV40" i="43" s="1"/>
  <c r="AN40" i="42"/>
  <c r="AP40" i="42" s="1"/>
  <c r="AV40" i="42" s="1"/>
  <c r="G26" i="32"/>
  <c r="E53" i="14"/>
  <c r="BB53" i="14" s="1"/>
  <c r="L52" i="5"/>
  <c r="K52" i="5"/>
  <c r="AN53" i="74" s="1"/>
  <c r="AP53" i="74" s="1"/>
  <c r="AV53" i="74" s="1"/>
  <c r="AX53" i="74" s="1"/>
  <c r="U53" i="74" s="1"/>
  <c r="W53" i="74" s="1"/>
  <c r="Y53" i="74" s="1"/>
  <c r="BD52" i="14"/>
  <c r="AF52" i="14"/>
  <c r="AP52" i="14"/>
  <c r="AR52" i="14"/>
  <c r="AJ52" i="14"/>
  <c r="J52" i="5"/>
  <c r="AN53" i="14" s="1"/>
  <c r="H52" i="5"/>
  <c r="H53" i="5" s="1"/>
  <c r="H54" i="5" s="1"/>
  <c r="H55" i="5" s="1"/>
  <c r="K52" i="14"/>
  <c r="M52" i="14"/>
  <c r="AH52" i="14"/>
  <c r="AT62" i="20"/>
  <c r="AL66" i="20"/>
  <c r="AB56" i="14"/>
  <c r="Y48" i="5"/>
  <c r="C53" i="5"/>
  <c r="AS50" i="5"/>
  <c r="AR49" i="5"/>
  <c r="BE63" i="5"/>
  <c r="BD62" i="5"/>
  <c r="AV62" i="5"/>
  <c r="BF62" i="5"/>
  <c r="M53" i="5" l="1"/>
  <c r="S61" i="44"/>
  <c r="G38" i="32" s="1"/>
  <c r="AN41" i="68"/>
  <c r="AP41" i="68" s="1"/>
  <c r="AV41" i="68" s="1"/>
  <c r="AX41" i="68" s="1"/>
  <c r="U41" i="68" s="1"/>
  <c r="W41" i="68" s="1"/>
  <c r="Y41" i="68" s="1"/>
  <c r="AN41" i="67"/>
  <c r="AP41" i="67" s="1"/>
  <c r="AV41" i="67" s="1"/>
  <c r="AN42" i="66"/>
  <c r="AP42" i="66" s="1"/>
  <c r="AV42" i="66" s="1"/>
  <c r="AN42" i="70"/>
  <c r="AP42" i="70" s="1"/>
  <c r="AV42" i="70" s="1"/>
  <c r="AX42" i="70" s="1"/>
  <c r="U42" i="70" s="1"/>
  <c r="W42" i="70" s="1"/>
  <c r="Y42" i="70" s="1"/>
  <c r="AN53" i="61"/>
  <c r="AP53" i="61" s="1"/>
  <c r="AV53" i="61" s="1"/>
  <c r="AX53" i="61" s="1"/>
  <c r="U53" i="61" s="1"/>
  <c r="W53" i="61" s="1"/>
  <c r="Y53" i="61" s="1"/>
  <c r="AN53" i="63"/>
  <c r="AP53" i="63" s="1"/>
  <c r="AV53" i="63" s="1"/>
  <c r="AX53" i="63" s="1"/>
  <c r="U53" i="63" s="1"/>
  <c r="W53" i="63" s="1"/>
  <c r="Y53" i="63" s="1"/>
  <c r="AN52" i="65"/>
  <c r="AP52" i="65" s="1"/>
  <c r="AN53" i="62"/>
  <c r="AP53" i="62" s="1"/>
  <c r="AV53" i="62" s="1"/>
  <c r="AX53" i="62" s="1"/>
  <c r="U53" i="62" s="1"/>
  <c r="W53" i="62" s="1"/>
  <c r="Y53" i="62" s="1"/>
  <c r="AN53" i="60"/>
  <c r="AP53" i="60" s="1"/>
  <c r="AV53" i="60" s="1"/>
  <c r="AX53" i="60" s="1"/>
  <c r="U53" i="60" s="1"/>
  <c r="AN53" i="59"/>
  <c r="AP53" i="59" s="1"/>
  <c r="AV53" i="59" s="1"/>
  <c r="AX53" i="59" s="1"/>
  <c r="U53" i="59" s="1"/>
  <c r="W53" i="59" s="1"/>
  <c r="Y53" i="59" s="1"/>
  <c r="Y41" i="70"/>
  <c r="AN55" i="31"/>
  <c r="AP55" i="31" s="1"/>
  <c r="AN53" i="58"/>
  <c r="AP53" i="58" s="1"/>
  <c r="AN54" i="57"/>
  <c r="AP54" i="57" s="1"/>
  <c r="AN54" i="24"/>
  <c r="AP54" i="24" s="1"/>
  <c r="AN43" i="48"/>
  <c r="AP43" i="48" s="1"/>
  <c r="AV43" i="48" s="1"/>
  <c r="AX43" i="48" s="1"/>
  <c r="U43" i="48" s="1"/>
  <c r="W43" i="48" s="1"/>
  <c r="Y43" i="48" s="1"/>
  <c r="AN43" i="49"/>
  <c r="AP43" i="49" s="1"/>
  <c r="AV43" i="49" s="1"/>
  <c r="AX43" i="49" s="1"/>
  <c r="U43" i="49" s="1"/>
  <c r="W43" i="49" s="1"/>
  <c r="Y43" i="49" s="1"/>
  <c r="AN43" i="47"/>
  <c r="AP43" i="47" s="1"/>
  <c r="AV43" i="47" s="1"/>
  <c r="AX43" i="47" s="1"/>
  <c r="U43" i="47" s="1"/>
  <c r="W43" i="47" s="1"/>
  <c r="Y43" i="47" s="1"/>
  <c r="AN44" i="50"/>
  <c r="AP44" i="50" s="1"/>
  <c r="AV44" i="50" s="1"/>
  <c r="AX44" i="50" s="1"/>
  <c r="U44" i="50" s="1"/>
  <c r="W44" i="50" s="1"/>
  <c r="Y44" i="50" s="1"/>
  <c r="Y39" i="48"/>
  <c r="AN41" i="43"/>
  <c r="AP41" i="43" s="1"/>
  <c r="AV41" i="43" s="1"/>
  <c r="AN41" i="42"/>
  <c r="AP41" i="42" s="1"/>
  <c r="AV41" i="42" s="1"/>
  <c r="AP53" i="14"/>
  <c r="H56" i="5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L53" i="5"/>
  <c r="K53" i="5"/>
  <c r="AN54" i="74" s="1"/>
  <c r="AP54" i="74" s="1"/>
  <c r="AV54" i="74" s="1"/>
  <c r="AX54" i="74" s="1"/>
  <c r="U54" i="74" s="1"/>
  <c r="W54" i="74" s="1"/>
  <c r="Y54" i="74" s="1"/>
  <c r="AN36" i="21"/>
  <c r="AP36" i="21" s="1"/>
  <c r="AV36" i="21" s="1"/>
  <c r="AX36" i="21" s="1"/>
  <c r="C54" i="5"/>
  <c r="J53" i="5"/>
  <c r="AN54" i="14" s="1"/>
  <c r="E54" i="14"/>
  <c r="AT66" i="20"/>
  <c r="BD53" i="14"/>
  <c r="AF53" i="14"/>
  <c r="AJ53" i="14"/>
  <c r="M53" i="14"/>
  <c r="AH53" i="14"/>
  <c r="K53" i="14"/>
  <c r="AR53" i="14"/>
  <c r="V51" i="5"/>
  <c r="Y49" i="5"/>
  <c r="Y50" i="5" s="1"/>
  <c r="BF63" i="5"/>
  <c r="AV63" i="5"/>
  <c r="BD63" i="5"/>
  <c r="BE64" i="5"/>
  <c r="AS51" i="5"/>
  <c r="AR50" i="5"/>
  <c r="M54" i="5" l="1"/>
  <c r="Y51" i="5"/>
  <c r="AN43" i="70"/>
  <c r="AP43" i="70" s="1"/>
  <c r="AV43" i="70" s="1"/>
  <c r="AX43" i="70" s="1"/>
  <c r="U43" i="70" s="1"/>
  <c r="W43" i="70" s="1"/>
  <c r="Y43" i="70" s="1"/>
  <c r="AN54" i="63"/>
  <c r="AP54" i="63" s="1"/>
  <c r="AV54" i="63" s="1"/>
  <c r="AX54" i="63" s="1"/>
  <c r="U54" i="63" s="1"/>
  <c r="W54" i="63" s="1"/>
  <c r="Y54" i="63" s="1"/>
  <c r="AN54" i="61"/>
  <c r="AP54" i="61" s="1"/>
  <c r="AV54" i="61" s="1"/>
  <c r="AX54" i="61" s="1"/>
  <c r="U54" i="61" s="1"/>
  <c r="W54" i="61" s="1"/>
  <c r="Y54" i="61" s="1"/>
  <c r="AN54" i="62"/>
  <c r="AP54" i="62" s="1"/>
  <c r="AV54" i="62" s="1"/>
  <c r="AX54" i="62" s="1"/>
  <c r="U54" i="62" s="1"/>
  <c r="W54" i="62" s="1"/>
  <c r="Y54" i="62" s="1"/>
  <c r="AN53" i="65"/>
  <c r="AP53" i="65" s="1"/>
  <c r="AN54" i="60"/>
  <c r="AP54" i="60" s="1"/>
  <c r="AV54" i="60" s="1"/>
  <c r="AX54" i="60" s="1"/>
  <c r="U54" i="60" s="1"/>
  <c r="AN54" i="59"/>
  <c r="AP54" i="59" s="1"/>
  <c r="AV54" i="59" s="1"/>
  <c r="AX54" i="59" s="1"/>
  <c r="U54" i="59" s="1"/>
  <c r="W54" i="59" s="1"/>
  <c r="Y54" i="59" s="1"/>
  <c r="AN42" i="68"/>
  <c r="AP42" i="68" s="1"/>
  <c r="AV42" i="68" s="1"/>
  <c r="AX42" i="68" s="1"/>
  <c r="U42" i="68" s="1"/>
  <c r="W42" i="68" s="1"/>
  <c r="Y42" i="68" s="1"/>
  <c r="AN42" i="67"/>
  <c r="AP42" i="67" s="1"/>
  <c r="AV42" i="67" s="1"/>
  <c r="AN43" i="66"/>
  <c r="AP43" i="66" s="1"/>
  <c r="AV43" i="66" s="1"/>
  <c r="AN56" i="31"/>
  <c r="AP56" i="31" s="1"/>
  <c r="AN54" i="58"/>
  <c r="AP54" i="58" s="1"/>
  <c r="AN55" i="57"/>
  <c r="AP55" i="57" s="1"/>
  <c r="AN55" i="24"/>
  <c r="AP55" i="24" s="1"/>
  <c r="AN44" i="48"/>
  <c r="AP44" i="48" s="1"/>
  <c r="AV44" i="48" s="1"/>
  <c r="AX44" i="48" s="1"/>
  <c r="U44" i="48" s="1"/>
  <c r="W44" i="48" s="1"/>
  <c r="Y44" i="48" s="1"/>
  <c r="AN44" i="49"/>
  <c r="AP44" i="49" s="1"/>
  <c r="AV44" i="49" s="1"/>
  <c r="AX44" i="49" s="1"/>
  <c r="U44" i="49" s="1"/>
  <c r="W44" i="49" s="1"/>
  <c r="Y44" i="49" s="1"/>
  <c r="AN44" i="47"/>
  <c r="AP44" i="47" s="1"/>
  <c r="AV44" i="47" s="1"/>
  <c r="AX44" i="47" s="1"/>
  <c r="U44" i="47" s="1"/>
  <c r="W44" i="47" s="1"/>
  <c r="Y44" i="47" s="1"/>
  <c r="AN45" i="50"/>
  <c r="AP45" i="50" s="1"/>
  <c r="AV45" i="50" s="1"/>
  <c r="AX45" i="50" s="1"/>
  <c r="U45" i="50" s="1"/>
  <c r="W45" i="50" s="1"/>
  <c r="Y45" i="50" s="1"/>
  <c r="V52" i="5"/>
  <c r="V53" i="5" s="1"/>
  <c r="V54" i="5" s="1"/>
  <c r="V55" i="5" s="1"/>
  <c r="V56" i="5" s="1"/>
  <c r="V57" i="5" s="1"/>
  <c r="V58" i="5" s="1"/>
  <c r="V59" i="5" s="1"/>
  <c r="V60" i="5" s="1"/>
  <c r="V61" i="5" s="1"/>
  <c r="V62" i="5" s="1"/>
  <c r="V63" i="5" s="1"/>
  <c r="V64" i="5" s="1"/>
  <c r="V65" i="5" s="1"/>
  <c r="V66" i="5" s="1"/>
  <c r="V67" i="5" s="1"/>
  <c r="V68" i="5" s="1"/>
  <c r="Z51" i="5"/>
  <c r="AA51" i="5"/>
  <c r="AN42" i="43"/>
  <c r="AP42" i="43" s="1"/>
  <c r="AV42" i="43" s="1"/>
  <c r="AN42" i="42"/>
  <c r="AP42" i="42" s="1"/>
  <c r="AV42" i="42" s="1"/>
  <c r="H68" i="5"/>
  <c r="H69" i="5" s="1"/>
  <c r="AN34" i="72" s="1"/>
  <c r="J54" i="5"/>
  <c r="AN55" i="14" s="1"/>
  <c r="L54" i="5"/>
  <c r="K54" i="5"/>
  <c r="AN55" i="74" s="1"/>
  <c r="AP55" i="74" s="1"/>
  <c r="AV55" i="74" s="1"/>
  <c r="AX55" i="74" s="1"/>
  <c r="U55" i="74" s="1"/>
  <c r="W55" i="74" s="1"/>
  <c r="Y55" i="74" s="1"/>
  <c r="C55" i="5"/>
  <c r="E55" i="14"/>
  <c r="AP54" i="14"/>
  <c r="U36" i="21"/>
  <c r="M54" i="14"/>
  <c r="K54" i="14"/>
  <c r="BD54" i="14"/>
  <c r="BB54" i="14"/>
  <c r="AH54" i="14"/>
  <c r="AJ54" i="14"/>
  <c r="AR54" i="14"/>
  <c r="AF54" i="14"/>
  <c r="BE65" i="5"/>
  <c r="BD64" i="5"/>
  <c r="BF64" i="5"/>
  <c r="AS52" i="5"/>
  <c r="AR51" i="5"/>
  <c r="E56" i="14" l="1"/>
  <c r="C56" i="5"/>
  <c r="M55" i="5"/>
  <c r="J55" i="5"/>
  <c r="AN56" i="14" s="1"/>
  <c r="AP56" i="14" s="1"/>
  <c r="AA52" i="5"/>
  <c r="AA53" i="5" s="1"/>
  <c r="AA54" i="5" s="1"/>
  <c r="Z52" i="5"/>
  <c r="Z53" i="5" s="1"/>
  <c r="Z54" i="5" s="1"/>
  <c r="AP34" i="72"/>
  <c r="AN44" i="70"/>
  <c r="AP44" i="70" s="1"/>
  <c r="AV44" i="70" s="1"/>
  <c r="AX44" i="70" s="1"/>
  <c r="U44" i="70" s="1"/>
  <c r="W44" i="70" s="1"/>
  <c r="Y44" i="70" s="1"/>
  <c r="AN55" i="63"/>
  <c r="AP55" i="63" s="1"/>
  <c r="AV55" i="63" s="1"/>
  <c r="AX55" i="63" s="1"/>
  <c r="U55" i="63" s="1"/>
  <c r="W55" i="63" s="1"/>
  <c r="Y55" i="63" s="1"/>
  <c r="AN55" i="61"/>
  <c r="AP55" i="61" s="1"/>
  <c r="AV55" i="61" s="1"/>
  <c r="AX55" i="61" s="1"/>
  <c r="U55" i="61" s="1"/>
  <c r="W55" i="61" s="1"/>
  <c r="Y55" i="61" s="1"/>
  <c r="AN55" i="62"/>
  <c r="AP55" i="62" s="1"/>
  <c r="AV55" i="62" s="1"/>
  <c r="AX55" i="62" s="1"/>
  <c r="U55" i="62" s="1"/>
  <c r="W55" i="62" s="1"/>
  <c r="Y55" i="62" s="1"/>
  <c r="AN55" i="60"/>
  <c r="AP55" i="60" s="1"/>
  <c r="AV55" i="60" s="1"/>
  <c r="AX55" i="60" s="1"/>
  <c r="U55" i="60" s="1"/>
  <c r="AN54" i="65"/>
  <c r="AP54" i="65" s="1"/>
  <c r="AN55" i="59"/>
  <c r="AP55" i="59" s="1"/>
  <c r="AV55" i="59" s="1"/>
  <c r="AX55" i="59" s="1"/>
  <c r="U55" i="59" s="1"/>
  <c r="W55" i="59" s="1"/>
  <c r="Y55" i="59" s="1"/>
  <c r="AN43" i="68"/>
  <c r="AP43" i="68" s="1"/>
  <c r="AV43" i="68" s="1"/>
  <c r="AX43" i="68" s="1"/>
  <c r="U43" i="68" s="1"/>
  <c r="W43" i="68" s="1"/>
  <c r="Y43" i="68" s="1"/>
  <c r="AN43" i="67"/>
  <c r="AP43" i="67" s="1"/>
  <c r="AV43" i="67" s="1"/>
  <c r="AN44" i="66"/>
  <c r="AP44" i="66" s="1"/>
  <c r="AV44" i="66" s="1"/>
  <c r="AN57" i="31"/>
  <c r="AP57" i="31" s="1"/>
  <c r="AN55" i="58"/>
  <c r="AP55" i="58" s="1"/>
  <c r="AN56" i="57"/>
  <c r="AP56" i="57" s="1"/>
  <c r="AN56" i="24"/>
  <c r="AP56" i="24" s="1"/>
  <c r="AN45" i="48"/>
  <c r="AP45" i="48" s="1"/>
  <c r="AV45" i="48" s="1"/>
  <c r="AX45" i="48" s="1"/>
  <c r="U45" i="48" s="1"/>
  <c r="W45" i="48" s="1"/>
  <c r="Y45" i="48" s="1"/>
  <c r="AN45" i="49"/>
  <c r="AP45" i="49" s="1"/>
  <c r="AV45" i="49" s="1"/>
  <c r="AX45" i="49" s="1"/>
  <c r="U45" i="49" s="1"/>
  <c r="W45" i="49" s="1"/>
  <c r="Y45" i="49" s="1"/>
  <c r="AN45" i="47"/>
  <c r="AP45" i="47" s="1"/>
  <c r="AV45" i="47" s="1"/>
  <c r="AX45" i="47" s="1"/>
  <c r="U45" i="47" s="1"/>
  <c r="W45" i="47" s="1"/>
  <c r="Y45" i="47" s="1"/>
  <c r="AN46" i="50"/>
  <c r="AP46" i="50" s="1"/>
  <c r="AV46" i="50" s="1"/>
  <c r="AX46" i="50" s="1"/>
  <c r="U46" i="50" s="1"/>
  <c r="W46" i="50" s="1"/>
  <c r="Y46" i="50" s="1"/>
  <c r="AA55" i="5"/>
  <c r="AA56" i="5" s="1"/>
  <c r="AA57" i="5" s="1"/>
  <c r="AA58" i="5" s="1"/>
  <c r="AA59" i="5" s="1"/>
  <c r="AA60" i="5" s="1"/>
  <c r="AA61" i="5" s="1"/>
  <c r="AA62" i="5" s="1"/>
  <c r="AA63" i="5" s="1"/>
  <c r="AA64" i="5" s="1"/>
  <c r="Z55" i="5"/>
  <c r="Z56" i="5" s="1"/>
  <c r="Z57" i="5" s="1"/>
  <c r="Z58" i="5" s="1"/>
  <c r="Z59" i="5" s="1"/>
  <c r="Z60" i="5" s="1"/>
  <c r="Z61" i="5" s="1"/>
  <c r="Z62" i="5" s="1"/>
  <c r="Z63" i="5" s="1"/>
  <c r="Z64" i="5" s="1"/>
  <c r="Y52" i="5"/>
  <c r="Y53" i="5" s="1"/>
  <c r="Y54" i="5" s="1"/>
  <c r="AN43" i="43"/>
  <c r="AP43" i="43" s="1"/>
  <c r="AV43" i="43" s="1"/>
  <c r="AN43" i="42"/>
  <c r="AP43" i="42" s="1"/>
  <c r="AV43" i="42" s="1"/>
  <c r="AP55" i="14"/>
  <c r="J56" i="5"/>
  <c r="K56" i="5"/>
  <c r="AN57" i="74" s="1"/>
  <c r="AP57" i="74" s="1"/>
  <c r="AV57" i="74" s="1"/>
  <c r="AX57" i="74" s="1"/>
  <c r="U57" i="74" s="1"/>
  <c r="W57" i="74" s="1"/>
  <c r="Y57" i="74" s="1"/>
  <c r="L55" i="5"/>
  <c r="K55" i="5"/>
  <c r="AN56" i="74" s="1"/>
  <c r="AP56" i="74" s="1"/>
  <c r="AV56" i="74" s="1"/>
  <c r="AX56" i="74" s="1"/>
  <c r="U56" i="74" s="1"/>
  <c r="W56" i="74" s="1"/>
  <c r="Y56" i="74" s="1"/>
  <c r="AH55" i="14"/>
  <c r="AH56" i="14" s="1"/>
  <c r="M55" i="14"/>
  <c r="M56" i="14" s="1"/>
  <c r="AR55" i="14"/>
  <c r="AR56" i="14" s="1"/>
  <c r="BD55" i="14"/>
  <c r="BD56" i="14" s="1"/>
  <c r="AJ55" i="14"/>
  <c r="AJ56" i="14" s="1"/>
  <c r="K55" i="14"/>
  <c r="K56" i="14" s="1"/>
  <c r="AF55" i="14"/>
  <c r="AF56" i="14" s="1"/>
  <c r="BB55" i="14"/>
  <c r="BB56" i="14" s="1"/>
  <c r="W36" i="21"/>
  <c r="C57" i="5"/>
  <c r="K40" i="19"/>
  <c r="K41" i="19" s="1"/>
  <c r="K42" i="19" s="1"/>
  <c r="K43" i="19" s="1"/>
  <c r="K44" i="19" s="1"/>
  <c r="K45" i="19" s="1"/>
  <c r="K46" i="19" s="1"/>
  <c r="K47" i="19" s="1"/>
  <c r="K48" i="19" s="1"/>
  <c r="K49" i="19" s="1"/>
  <c r="K50" i="19" s="1"/>
  <c r="K51" i="19" s="1"/>
  <c r="K52" i="19" s="1"/>
  <c r="K53" i="19" s="1"/>
  <c r="K54" i="19" s="1"/>
  <c r="K55" i="19" s="1"/>
  <c r="K56" i="19" s="1"/>
  <c r="K57" i="19" s="1"/>
  <c r="K58" i="19" s="1"/>
  <c r="K59" i="19" s="1"/>
  <c r="K60" i="19" s="1"/>
  <c r="K61" i="19" s="1"/>
  <c r="K62" i="19" s="1"/>
  <c r="K66" i="19" s="1"/>
  <c r="I40" i="19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M40" i="19"/>
  <c r="M41" i="19" s="1"/>
  <c r="M42" i="19" s="1"/>
  <c r="M43" i="19" s="1"/>
  <c r="M44" i="19" s="1"/>
  <c r="M45" i="19" s="1"/>
  <c r="M46" i="19" s="1"/>
  <c r="M47" i="19" s="1"/>
  <c r="M48" i="19" s="1"/>
  <c r="M49" i="19" s="1"/>
  <c r="M50" i="19" s="1"/>
  <c r="M51" i="19" s="1"/>
  <c r="M52" i="19" s="1"/>
  <c r="M53" i="19" s="1"/>
  <c r="M54" i="19" s="1"/>
  <c r="M55" i="19" s="1"/>
  <c r="M56" i="19" s="1"/>
  <c r="M57" i="19" s="1"/>
  <c r="M58" i="19" s="1"/>
  <c r="M59" i="19" s="1"/>
  <c r="M60" i="19" s="1"/>
  <c r="M61" i="19" s="1"/>
  <c r="M62" i="19" s="1"/>
  <c r="M66" i="19" s="1"/>
  <c r="AR40" i="19"/>
  <c r="AR41" i="19" s="1"/>
  <c r="AR42" i="19" s="1"/>
  <c r="AR43" i="19" s="1"/>
  <c r="AR44" i="19" s="1"/>
  <c r="AR45" i="19" s="1"/>
  <c r="AR46" i="19" s="1"/>
  <c r="AR47" i="19" s="1"/>
  <c r="AR48" i="19" s="1"/>
  <c r="AR49" i="19" s="1"/>
  <c r="AR50" i="19" s="1"/>
  <c r="AR51" i="19" s="1"/>
  <c r="AR52" i="19" s="1"/>
  <c r="AR53" i="19" s="1"/>
  <c r="AR54" i="19" s="1"/>
  <c r="AR55" i="19" s="1"/>
  <c r="AR56" i="19" s="1"/>
  <c r="AR57" i="19" s="1"/>
  <c r="AR58" i="19" s="1"/>
  <c r="AR59" i="19" s="1"/>
  <c r="AR60" i="19" s="1"/>
  <c r="AR61" i="19" s="1"/>
  <c r="AR62" i="19" s="1"/>
  <c r="AR66" i="19" s="1"/>
  <c r="AJ40" i="19"/>
  <c r="AJ41" i="19" s="1"/>
  <c r="AJ42" i="19" s="1"/>
  <c r="AJ43" i="19" s="1"/>
  <c r="AJ44" i="19" s="1"/>
  <c r="AJ45" i="19" s="1"/>
  <c r="AJ46" i="19" s="1"/>
  <c r="AJ47" i="19" s="1"/>
  <c r="AJ48" i="19" s="1"/>
  <c r="AJ49" i="19" s="1"/>
  <c r="AJ50" i="19" s="1"/>
  <c r="AJ51" i="19" s="1"/>
  <c r="AJ52" i="19" s="1"/>
  <c r="AJ53" i="19" s="1"/>
  <c r="AJ54" i="19" s="1"/>
  <c r="AJ55" i="19" s="1"/>
  <c r="AJ56" i="19" s="1"/>
  <c r="AJ57" i="19" s="1"/>
  <c r="AJ58" i="19" s="1"/>
  <c r="AJ59" i="19" s="1"/>
  <c r="AJ60" i="19" s="1"/>
  <c r="AJ61" i="19" s="1"/>
  <c r="AJ62" i="19" s="1"/>
  <c r="AJ66" i="19" s="1"/>
  <c r="AH40" i="19"/>
  <c r="AH41" i="19" s="1"/>
  <c r="AH42" i="19" s="1"/>
  <c r="AH43" i="19" s="1"/>
  <c r="AH44" i="19" s="1"/>
  <c r="AH45" i="19" s="1"/>
  <c r="AH46" i="19" s="1"/>
  <c r="AH47" i="19" s="1"/>
  <c r="AH48" i="19" s="1"/>
  <c r="AH49" i="19" s="1"/>
  <c r="AH50" i="19" s="1"/>
  <c r="AH51" i="19" s="1"/>
  <c r="AH52" i="19" s="1"/>
  <c r="AH53" i="19" s="1"/>
  <c r="AH54" i="19" s="1"/>
  <c r="AH55" i="19" s="1"/>
  <c r="AH56" i="19" s="1"/>
  <c r="AH57" i="19" s="1"/>
  <c r="AH58" i="19" s="1"/>
  <c r="AH59" i="19" s="1"/>
  <c r="AH60" i="19" s="1"/>
  <c r="AH61" i="19" s="1"/>
  <c r="AH62" i="19" s="1"/>
  <c r="AH66" i="19" s="1"/>
  <c r="BD40" i="19"/>
  <c r="BD41" i="19" s="1"/>
  <c r="BD42" i="19" s="1"/>
  <c r="BD43" i="19" s="1"/>
  <c r="BD44" i="19" s="1"/>
  <c r="BD45" i="19" s="1"/>
  <c r="BD46" i="19" s="1"/>
  <c r="BD47" i="19" s="1"/>
  <c r="BD48" i="19" s="1"/>
  <c r="BD49" i="19" s="1"/>
  <c r="BD50" i="19" s="1"/>
  <c r="BD51" i="19" s="1"/>
  <c r="BD52" i="19" s="1"/>
  <c r="BD53" i="19" s="1"/>
  <c r="BD54" i="19" s="1"/>
  <c r="BD55" i="19" s="1"/>
  <c r="BD56" i="19" s="1"/>
  <c r="BD57" i="19" s="1"/>
  <c r="BD58" i="19" s="1"/>
  <c r="BD59" i="19" s="1"/>
  <c r="BD60" i="19" s="1"/>
  <c r="BD61" i="19" s="1"/>
  <c r="BD62" i="19" s="1"/>
  <c r="BD66" i="19" s="1"/>
  <c r="BB40" i="19"/>
  <c r="AF40" i="19"/>
  <c r="AR52" i="5"/>
  <c r="AS53" i="5"/>
  <c r="AV64" i="5"/>
  <c r="BF65" i="5"/>
  <c r="BD65" i="5"/>
  <c r="BE66" i="5"/>
  <c r="L56" i="5" l="1"/>
  <c r="M57" i="5"/>
  <c r="M56" i="5"/>
  <c r="I61" i="19"/>
  <c r="I62" i="19" s="1"/>
  <c r="I66" i="19" s="1"/>
  <c r="AN31" i="40"/>
  <c r="AP31" i="40" s="1"/>
  <c r="AN29" i="65"/>
  <c r="AP29" i="65" s="1"/>
  <c r="AV29" i="65" s="1"/>
  <c r="AX29" i="65" s="1"/>
  <c r="U29" i="65" s="1"/>
  <c r="AN32" i="69"/>
  <c r="AN29" i="51"/>
  <c r="AV34" i="72"/>
  <c r="AN46" i="70"/>
  <c r="AP46" i="70" s="1"/>
  <c r="AV46" i="70" s="1"/>
  <c r="AX46" i="70" s="1"/>
  <c r="U46" i="70" s="1"/>
  <c r="W46" i="70" s="1"/>
  <c r="Y46" i="70" s="1"/>
  <c r="AN57" i="61"/>
  <c r="AP57" i="61" s="1"/>
  <c r="AV57" i="61" s="1"/>
  <c r="AX57" i="61" s="1"/>
  <c r="U57" i="61" s="1"/>
  <c r="W57" i="61" s="1"/>
  <c r="Y57" i="61" s="1"/>
  <c r="AN57" i="63"/>
  <c r="AP57" i="63" s="1"/>
  <c r="AV57" i="63" s="1"/>
  <c r="AX57" i="63" s="1"/>
  <c r="U57" i="63" s="1"/>
  <c r="W57" i="63" s="1"/>
  <c r="Y57" i="63" s="1"/>
  <c r="AN57" i="62"/>
  <c r="AP57" i="62" s="1"/>
  <c r="AV57" i="62" s="1"/>
  <c r="AX57" i="62" s="1"/>
  <c r="U57" i="62" s="1"/>
  <c r="W57" i="62" s="1"/>
  <c r="Y57" i="62" s="1"/>
  <c r="AN57" i="60"/>
  <c r="AP57" i="60" s="1"/>
  <c r="AV57" i="60" s="1"/>
  <c r="AX57" i="60" s="1"/>
  <c r="U57" i="60" s="1"/>
  <c r="AN56" i="65"/>
  <c r="AP56" i="65" s="1"/>
  <c r="AN57" i="59"/>
  <c r="AP57" i="59" s="1"/>
  <c r="AV57" i="59" s="1"/>
  <c r="AX57" i="59" s="1"/>
  <c r="U57" i="59" s="1"/>
  <c r="W57" i="59" s="1"/>
  <c r="Y57" i="59" s="1"/>
  <c r="AN45" i="70"/>
  <c r="AP45" i="70" s="1"/>
  <c r="AV45" i="70" s="1"/>
  <c r="AX45" i="70" s="1"/>
  <c r="U45" i="70" s="1"/>
  <c r="W45" i="70" s="1"/>
  <c r="Y45" i="70" s="1"/>
  <c r="AN56" i="63"/>
  <c r="AP56" i="63" s="1"/>
  <c r="AV56" i="63" s="1"/>
  <c r="AX56" i="63" s="1"/>
  <c r="U56" i="63" s="1"/>
  <c r="W56" i="63" s="1"/>
  <c r="Y56" i="63" s="1"/>
  <c r="AN56" i="61"/>
  <c r="AP56" i="61" s="1"/>
  <c r="AV56" i="61" s="1"/>
  <c r="AX56" i="61" s="1"/>
  <c r="U56" i="61" s="1"/>
  <c r="W56" i="61" s="1"/>
  <c r="Y56" i="61" s="1"/>
  <c r="AN55" i="65"/>
  <c r="AP55" i="65" s="1"/>
  <c r="AN56" i="60"/>
  <c r="AP56" i="60" s="1"/>
  <c r="AV56" i="60" s="1"/>
  <c r="AX56" i="60" s="1"/>
  <c r="U56" i="60" s="1"/>
  <c r="AN56" i="62"/>
  <c r="AP56" i="62" s="1"/>
  <c r="AV56" i="62" s="1"/>
  <c r="AX56" i="62" s="1"/>
  <c r="U56" i="62" s="1"/>
  <c r="W56" i="62" s="1"/>
  <c r="Y56" i="62" s="1"/>
  <c r="AN56" i="59"/>
  <c r="AP56" i="59" s="1"/>
  <c r="AV56" i="59" s="1"/>
  <c r="AX56" i="59" s="1"/>
  <c r="U56" i="59" s="1"/>
  <c r="W56" i="59" s="1"/>
  <c r="Y56" i="59" s="1"/>
  <c r="AN45" i="68"/>
  <c r="AP45" i="68" s="1"/>
  <c r="AV45" i="68" s="1"/>
  <c r="AX45" i="68" s="1"/>
  <c r="U45" i="68" s="1"/>
  <c r="W45" i="68" s="1"/>
  <c r="Y45" i="68" s="1"/>
  <c r="AN45" i="67"/>
  <c r="AP45" i="67" s="1"/>
  <c r="AV45" i="67" s="1"/>
  <c r="AN46" i="66"/>
  <c r="AP46" i="66" s="1"/>
  <c r="AV46" i="66" s="1"/>
  <c r="AN44" i="68"/>
  <c r="AP44" i="68" s="1"/>
  <c r="AV44" i="68" s="1"/>
  <c r="AX44" i="68" s="1"/>
  <c r="U44" i="68" s="1"/>
  <c r="W44" i="68" s="1"/>
  <c r="Y44" i="68" s="1"/>
  <c r="AN44" i="67"/>
  <c r="AP44" i="67" s="1"/>
  <c r="AV44" i="67" s="1"/>
  <c r="AN45" i="66"/>
  <c r="AP45" i="66" s="1"/>
  <c r="AV45" i="66" s="1"/>
  <c r="AN59" i="31"/>
  <c r="AP59" i="31" s="1"/>
  <c r="AN57" i="58"/>
  <c r="AP57" i="58" s="1"/>
  <c r="AN58" i="57"/>
  <c r="AP58" i="57" s="1"/>
  <c r="AN58" i="31"/>
  <c r="AP58" i="31" s="1"/>
  <c r="AN56" i="58"/>
  <c r="AP56" i="58" s="1"/>
  <c r="AN57" i="57"/>
  <c r="AP57" i="57" s="1"/>
  <c r="AN58" i="24"/>
  <c r="AP58" i="24" s="1"/>
  <c r="AN47" i="48"/>
  <c r="AN47" i="49"/>
  <c r="AN47" i="47"/>
  <c r="AN48" i="50"/>
  <c r="AN57" i="24"/>
  <c r="AP57" i="24" s="1"/>
  <c r="AN46" i="48"/>
  <c r="AP46" i="48" s="1"/>
  <c r="AV46" i="48" s="1"/>
  <c r="AX46" i="48" s="1"/>
  <c r="U46" i="48" s="1"/>
  <c r="W46" i="48" s="1"/>
  <c r="Y46" i="48" s="1"/>
  <c r="AN46" i="49"/>
  <c r="AP46" i="49" s="1"/>
  <c r="AV46" i="49" s="1"/>
  <c r="AX46" i="49" s="1"/>
  <c r="U46" i="49" s="1"/>
  <c r="W46" i="49" s="1"/>
  <c r="Y46" i="49" s="1"/>
  <c r="AN46" i="47"/>
  <c r="AP46" i="47" s="1"/>
  <c r="AV46" i="47" s="1"/>
  <c r="AX46" i="47" s="1"/>
  <c r="U46" i="47" s="1"/>
  <c r="W46" i="47" s="1"/>
  <c r="Y46" i="47" s="1"/>
  <c r="AN47" i="50"/>
  <c r="AP47" i="50" s="1"/>
  <c r="AV47" i="50" s="1"/>
  <c r="AX47" i="50" s="1"/>
  <c r="U47" i="50" s="1"/>
  <c r="W47" i="50" s="1"/>
  <c r="Y47" i="50" s="1"/>
  <c r="Y55" i="5"/>
  <c r="Y56" i="5" s="1"/>
  <c r="Y57" i="5" s="1"/>
  <c r="Y58" i="5" s="1"/>
  <c r="AN45" i="43"/>
  <c r="AP45" i="43" s="1"/>
  <c r="AV45" i="43" s="1"/>
  <c r="AN45" i="42"/>
  <c r="AP45" i="42" s="1"/>
  <c r="AV45" i="42" s="1"/>
  <c r="AN44" i="43"/>
  <c r="AP44" i="43" s="1"/>
  <c r="AV44" i="43" s="1"/>
  <c r="AN44" i="42"/>
  <c r="AP44" i="42" s="1"/>
  <c r="AV44" i="42" s="1"/>
  <c r="C58" i="5"/>
  <c r="L57" i="5"/>
  <c r="K57" i="5"/>
  <c r="AN58" i="74" s="1"/>
  <c r="AP58" i="74" s="1"/>
  <c r="AV58" i="74" s="1"/>
  <c r="AX58" i="74" s="1"/>
  <c r="U58" i="74" s="1"/>
  <c r="W58" i="74" s="1"/>
  <c r="Y58" i="74" s="1"/>
  <c r="AN58" i="19"/>
  <c r="AP58" i="19" s="1"/>
  <c r="AV58" i="19" s="1"/>
  <c r="AN41" i="19"/>
  <c r="AN56" i="19"/>
  <c r="AP56" i="19" s="1"/>
  <c r="AV56" i="19" s="1"/>
  <c r="AN51" i="19"/>
  <c r="AN40" i="19"/>
  <c r="AN55" i="19"/>
  <c r="AP55" i="19" s="1"/>
  <c r="AV55" i="19" s="1"/>
  <c r="AN42" i="21"/>
  <c r="AN62" i="20"/>
  <c r="AN43" i="19"/>
  <c r="AN57" i="19"/>
  <c r="AP57" i="19" s="1"/>
  <c r="AV57" i="19" s="1"/>
  <c r="AN44" i="19"/>
  <c r="AN45" i="19"/>
  <c r="AN49" i="19"/>
  <c r="AN38" i="19"/>
  <c r="AN53" i="19"/>
  <c r="AP53" i="19" s="1"/>
  <c r="AV53" i="19" s="1"/>
  <c r="AN46" i="19"/>
  <c r="AN47" i="19"/>
  <c r="AN48" i="19"/>
  <c r="AN39" i="19"/>
  <c r="AN60" i="20"/>
  <c r="AP60" i="20" s="1"/>
  <c r="AV60" i="20" s="1"/>
  <c r="AX60" i="20" s="1"/>
  <c r="U60" i="20" s="1"/>
  <c r="W60" i="20" s="1"/>
  <c r="Y60" i="20" s="1"/>
  <c r="AN52" i="19"/>
  <c r="AN50" i="19"/>
  <c r="AN54" i="20"/>
  <c r="AP54" i="20" s="1"/>
  <c r="AV54" i="20" s="1"/>
  <c r="AX54" i="20" s="1"/>
  <c r="U54" i="20" s="1"/>
  <c r="W54" i="20" s="1"/>
  <c r="Y54" i="20" s="1"/>
  <c r="AN42" i="19"/>
  <c r="AN61" i="20"/>
  <c r="AP61" i="20" s="1"/>
  <c r="AV61" i="20" s="1"/>
  <c r="AX61" i="20" s="1"/>
  <c r="U61" i="20" s="1"/>
  <c r="W61" i="20" s="1"/>
  <c r="Y61" i="20" s="1"/>
  <c r="AN59" i="20"/>
  <c r="AP59" i="20" s="1"/>
  <c r="AV59" i="20" s="1"/>
  <c r="AX59" i="20" s="1"/>
  <c r="U59" i="20" s="1"/>
  <c r="W59" i="20" s="1"/>
  <c r="Y59" i="20" s="1"/>
  <c r="AN44" i="20"/>
  <c r="AP44" i="20" s="1"/>
  <c r="AV44" i="20" s="1"/>
  <c r="AX44" i="20" s="1"/>
  <c r="U44" i="20" s="1"/>
  <c r="W44" i="20" s="1"/>
  <c r="Y44" i="20" s="1"/>
  <c r="AN50" i="20"/>
  <c r="AP50" i="20" s="1"/>
  <c r="AV50" i="20" s="1"/>
  <c r="AX50" i="20" s="1"/>
  <c r="U50" i="20" s="1"/>
  <c r="W50" i="20" s="1"/>
  <c r="Y50" i="20" s="1"/>
  <c r="AN60" i="19"/>
  <c r="AP60" i="19" s="1"/>
  <c r="AV60" i="19" s="1"/>
  <c r="AN56" i="20"/>
  <c r="AP56" i="20" s="1"/>
  <c r="AV56" i="20" s="1"/>
  <c r="AX56" i="20" s="1"/>
  <c r="U56" i="20" s="1"/>
  <c r="W56" i="20" s="1"/>
  <c r="Y56" i="20" s="1"/>
  <c r="AN37" i="21"/>
  <c r="AP37" i="21" s="1"/>
  <c r="AV37" i="21" s="1"/>
  <c r="AN39" i="21"/>
  <c r="AP39" i="21" s="1"/>
  <c r="AV39" i="21" s="1"/>
  <c r="AX39" i="21" s="1"/>
  <c r="U39" i="21" s="1"/>
  <c r="W39" i="21" s="1"/>
  <c r="Y39" i="21" s="1"/>
  <c r="AN54" i="19"/>
  <c r="AP54" i="19" s="1"/>
  <c r="AV54" i="19" s="1"/>
  <c r="AN59" i="19"/>
  <c r="AP59" i="19" s="1"/>
  <c r="AV59" i="19" s="1"/>
  <c r="AN51" i="20"/>
  <c r="AP51" i="20" s="1"/>
  <c r="AV51" i="20" s="1"/>
  <c r="AX51" i="20" s="1"/>
  <c r="U51" i="20" s="1"/>
  <c r="W51" i="20" s="1"/>
  <c r="Y51" i="20" s="1"/>
  <c r="AN57" i="20"/>
  <c r="AP57" i="20" s="1"/>
  <c r="AV57" i="20" s="1"/>
  <c r="AX57" i="20" s="1"/>
  <c r="U57" i="20" s="1"/>
  <c r="W57" i="20" s="1"/>
  <c r="Y57" i="20" s="1"/>
  <c r="AN43" i="20"/>
  <c r="AP43" i="20" s="1"/>
  <c r="AV43" i="20" s="1"/>
  <c r="AX43" i="20" s="1"/>
  <c r="AN55" i="20"/>
  <c r="AP55" i="20" s="1"/>
  <c r="AV55" i="20" s="1"/>
  <c r="AX55" i="20" s="1"/>
  <c r="U55" i="20" s="1"/>
  <c r="W55" i="20" s="1"/>
  <c r="Y55" i="20" s="1"/>
  <c r="AN52" i="20"/>
  <c r="AP52" i="20" s="1"/>
  <c r="AV52" i="20" s="1"/>
  <c r="AX52" i="20" s="1"/>
  <c r="U52" i="20" s="1"/>
  <c r="W52" i="20" s="1"/>
  <c r="Y52" i="20" s="1"/>
  <c r="AN38" i="21"/>
  <c r="AP38" i="21" s="1"/>
  <c r="AV38" i="21" s="1"/>
  <c r="AX38" i="21" s="1"/>
  <c r="U38" i="21" s="1"/>
  <c r="W38" i="21" s="1"/>
  <c r="Y38" i="21" s="1"/>
  <c r="AN48" i="20"/>
  <c r="AP48" i="20" s="1"/>
  <c r="AV48" i="20" s="1"/>
  <c r="AX48" i="20" s="1"/>
  <c r="U48" i="20" s="1"/>
  <c r="W48" i="20" s="1"/>
  <c r="Y48" i="20" s="1"/>
  <c r="AN46" i="20"/>
  <c r="AP46" i="20" s="1"/>
  <c r="AV46" i="20" s="1"/>
  <c r="AX46" i="20" s="1"/>
  <c r="U46" i="20" s="1"/>
  <c r="W46" i="20" s="1"/>
  <c r="Y46" i="20" s="1"/>
  <c r="AN41" i="21"/>
  <c r="AP41" i="21" s="1"/>
  <c r="AV41" i="21" s="1"/>
  <c r="AX41" i="21" s="1"/>
  <c r="U41" i="21" s="1"/>
  <c r="W41" i="21" s="1"/>
  <c r="Y41" i="21" s="1"/>
  <c r="AN47" i="20"/>
  <c r="AP47" i="20" s="1"/>
  <c r="AV47" i="20" s="1"/>
  <c r="AX47" i="20" s="1"/>
  <c r="U47" i="20" s="1"/>
  <c r="W47" i="20" s="1"/>
  <c r="Y47" i="20" s="1"/>
  <c r="AN49" i="20"/>
  <c r="AP49" i="20" s="1"/>
  <c r="AV49" i="20" s="1"/>
  <c r="AX49" i="20" s="1"/>
  <c r="U49" i="20" s="1"/>
  <c r="W49" i="20" s="1"/>
  <c r="Y49" i="20" s="1"/>
  <c r="AN53" i="20"/>
  <c r="AP53" i="20" s="1"/>
  <c r="AV53" i="20" s="1"/>
  <c r="AX53" i="20" s="1"/>
  <c r="U53" i="20" s="1"/>
  <c r="W53" i="20" s="1"/>
  <c r="Y53" i="20" s="1"/>
  <c r="AN40" i="21"/>
  <c r="AP40" i="21" s="1"/>
  <c r="AV40" i="21" s="1"/>
  <c r="AX40" i="21" s="1"/>
  <c r="U40" i="21" s="1"/>
  <c r="W40" i="21" s="1"/>
  <c r="Y40" i="21" s="1"/>
  <c r="AN45" i="20"/>
  <c r="AP45" i="20" s="1"/>
  <c r="AV45" i="20" s="1"/>
  <c r="AX45" i="20" s="1"/>
  <c r="U45" i="20" s="1"/>
  <c r="W45" i="20" s="1"/>
  <c r="Y45" i="20" s="1"/>
  <c r="AN61" i="19"/>
  <c r="AP61" i="19" s="1"/>
  <c r="AV61" i="19" s="1"/>
  <c r="AN58" i="20"/>
  <c r="AP58" i="20" s="1"/>
  <c r="AV58" i="20" s="1"/>
  <c r="AX58" i="20" s="1"/>
  <c r="U58" i="20" s="1"/>
  <c r="W58" i="20" s="1"/>
  <c r="Y58" i="20" s="1"/>
  <c r="AN62" i="19"/>
  <c r="Y36" i="21"/>
  <c r="AF41" i="19"/>
  <c r="AL40" i="19"/>
  <c r="BB41" i="19"/>
  <c r="BF40" i="19"/>
  <c r="AV65" i="5"/>
  <c r="AS54" i="5"/>
  <c r="AR53" i="5"/>
  <c r="BE67" i="5"/>
  <c r="BD66" i="5"/>
  <c r="BF66" i="5"/>
  <c r="AV66" i="5"/>
  <c r="M58" i="5" l="1"/>
  <c r="AP29" i="51"/>
  <c r="AP32" i="69"/>
  <c r="AX34" i="72"/>
  <c r="AN47" i="70"/>
  <c r="AP47" i="70" s="1"/>
  <c r="AV47" i="70" s="1"/>
  <c r="AX47" i="70" s="1"/>
  <c r="U47" i="70" s="1"/>
  <c r="W47" i="70" s="1"/>
  <c r="Y47" i="70" s="1"/>
  <c r="AN58" i="61"/>
  <c r="AP58" i="61" s="1"/>
  <c r="AV58" i="61" s="1"/>
  <c r="AX58" i="61" s="1"/>
  <c r="U58" i="61" s="1"/>
  <c r="W58" i="61" s="1"/>
  <c r="Y58" i="61" s="1"/>
  <c r="AN58" i="63"/>
  <c r="AP58" i="63" s="1"/>
  <c r="AV58" i="63" s="1"/>
  <c r="AX58" i="63" s="1"/>
  <c r="U58" i="63" s="1"/>
  <c r="W58" i="63" s="1"/>
  <c r="Y58" i="63" s="1"/>
  <c r="AN58" i="60"/>
  <c r="AP58" i="60" s="1"/>
  <c r="AV58" i="60" s="1"/>
  <c r="AX58" i="60" s="1"/>
  <c r="U58" i="60" s="1"/>
  <c r="AN58" i="62"/>
  <c r="AP58" i="62" s="1"/>
  <c r="AV58" i="62" s="1"/>
  <c r="AX58" i="62" s="1"/>
  <c r="U58" i="62" s="1"/>
  <c r="W58" i="62" s="1"/>
  <c r="Y58" i="62" s="1"/>
  <c r="AN57" i="65"/>
  <c r="AP57" i="65" s="1"/>
  <c r="AN58" i="59"/>
  <c r="AP58" i="59" s="1"/>
  <c r="AV58" i="59" s="1"/>
  <c r="AX58" i="59" s="1"/>
  <c r="U58" i="59" s="1"/>
  <c r="W58" i="59" s="1"/>
  <c r="Y58" i="59" s="1"/>
  <c r="AN59" i="24"/>
  <c r="AP59" i="24" s="1"/>
  <c r="AN46" i="68"/>
  <c r="AP46" i="68" s="1"/>
  <c r="AV46" i="68" s="1"/>
  <c r="AX46" i="68" s="1"/>
  <c r="U46" i="68" s="1"/>
  <c r="W46" i="68" s="1"/>
  <c r="Y46" i="68" s="1"/>
  <c r="AN46" i="67"/>
  <c r="AP46" i="67" s="1"/>
  <c r="AV46" i="67" s="1"/>
  <c r="AN47" i="66"/>
  <c r="AP47" i="66" s="1"/>
  <c r="AV47" i="66" s="1"/>
  <c r="AN60" i="31"/>
  <c r="AP60" i="31" s="1"/>
  <c r="AN58" i="58"/>
  <c r="AP58" i="58" s="1"/>
  <c r="AN59" i="57"/>
  <c r="AP59" i="57" s="1"/>
  <c r="AP47" i="49"/>
  <c r="AN58" i="49"/>
  <c r="AP47" i="48"/>
  <c r="AN58" i="48"/>
  <c r="AP48" i="50"/>
  <c r="AN58" i="50"/>
  <c r="AN46" i="43"/>
  <c r="AP46" i="43" s="1"/>
  <c r="AV46" i="43" s="1"/>
  <c r="AN46" i="42"/>
  <c r="AP46" i="42" s="1"/>
  <c r="AV46" i="42" s="1"/>
  <c r="AP47" i="47"/>
  <c r="AN58" i="47"/>
  <c r="C59" i="5"/>
  <c r="L58" i="5"/>
  <c r="K58" i="5"/>
  <c r="AN59" i="74" s="1"/>
  <c r="AP59" i="74" s="1"/>
  <c r="AV59" i="74" s="1"/>
  <c r="AX59" i="74" s="1"/>
  <c r="U59" i="74" s="1"/>
  <c r="W59" i="74" s="1"/>
  <c r="Y59" i="74" s="1"/>
  <c r="AX37" i="21"/>
  <c r="AP42" i="21"/>
  <c r="AN47" i="21"/>
  <c r="AP62" i="20"/>
  <c r="AN66" i="20"/>
  <c r="AP62" i="19"/>
  <c r="AV62" i="19" s="1"/>
  <c r="AN66" i="19"/>
  <c r="U43" i="20"/>
  <c r="AT40" i="19"/>
  <c r="AL41" i="19"/>
  <c r="AF42" i="19"/>
  <c r="BF41" i="19"/>
  <c r="BB42" i="19"/>
  <c r="AR54" i="5"/>
  <c r="AS55" i="5"/>
  <c r="BF67" i="5"/>
  <c r="BD67" i="5"/>
  <c r="BE68" i="5"/>
  <c r="M59" i="5" l="1"/>
  <c r="U34" i="72"/>
  <c r="AV32" i="69"/>
  <c r="AV29" i="51"/>
  <c r="AN48" i="70"/>
  <c r="AP48" i="70" s="1"/>
  <c r="AV48" i="70" s="1"/>
  <c r="AX48" i="70" s="1"/>
  <c r="U48" i="70" s="1"/>
  <c r="W48" i="70" s="1"/>
  <c r="Y48" i="70" s="1"/>
  <c r="AN59" i="61"/>
  <c r="AP59" i="61" s="1"/>
  <c r="AV59" i="61" s="1"/>
  <c r="AX59" i="61" s="1"/>
  <c r="U59" i="61" s="1"/>
  <c r="W59" i="61" s="1"/>
  <c r="Y59" i="61" s="1"/>
  <c r="AN59" i="63"/>
  <c r="AP59" i="63" s="1"/>
  <c r="AV59" i="63" s="1"/>
  <c r="AX59" i="63" s="1"/>
  <c r="U59" i="63" s="1"/>
  <c r="W59" i="63" s="1"/>
  <c r="Y59" i="63" s="1"/>
  <c r="AN59" i="62"/>
  <c r="AP59" i="62" s="1"/>
  <c r="AV59" i="62" s="1"/>
  <c r="AX59" i="62" s="1"/>
  <c r="U59" i="62" s="1"/>
  <c r="W59" i="62" s="1"/>
  <c r="Y59" i="62" s="1"/>
  <c r="AN59" i="60"/>
  <c r="AP59" i="60" s="1"/>
  <c r="AV59" i="60" s="1"/>
  <c r="AX59" i="60" s="1"/>
  <c r="U59" i="60" s="1"/>
  <c r="AN58" i="65"/>
  <c r="AP58" i="65" s="1"/>
  <c r="AN59" i="59"/>
  <c r="AP59" i="59" s="1"/>
  <c r="AV59" i="59" s="1"/>
  <c r="AX59" i="59" s="1"/>
  <c r="U59" i="59" s="1"/>
  <c r="W59" i="59" s="1"/>
  <c r="Y59" i="59" s="1"/>
  <c r="L59" i="5"/>
  <c r="AN48" i="68" s="1"/>
  <c r="AN47" i="68"/>
  <c r="AP47" i="68" s="1"/>
  <c r="AV47" i="68" s="1"/>
  <c r="AX47" i="68" s="1"/>
  <c r="U47" i="68" s="1"/>
  <c r="W47" i="68" s="1"/>
  <c r="Y47" i="68" s="1"/>
  <c r="AN47" i="67"/>
  <c r="AP47" i="67" s="1"/>
  <c r="AV47" i="67" s="1"/>
  <c r="AN48" i="66"/>
  <c r="AP48" i="66" s="1"/>
  <c r="AV48" i="66" s="1"/>
  <c r="AN61" i="31"/>
  <c r="AP61" i="31" s="1"/>
  <c r="AN59" i="58"/>
  <c r="AP59" i="58" s="1"/>
  <c r="AN60" i="57"/>
  <c r="AP60" i="57" s="1"/>
  <c r="AV47" i="48"/>
  <c r="AP58" i="48"/>
  <c r="AV48" i="50"/>
  <c r="AP58" i="50"/>
  <c r="AV47" i="49"/>
  <c r="AP58" i="49"/>
  <c r="AN47" i="43"/>
  <c r="AN47" i="42"/>
  <c r="AV47" i="47"/>
  <c r="AP58" i="47"/>
  <c r="C60" i="5"/>
  <c r="K59" i="5"/>
  <c r="AN60" i="74" s="1"/>
  <c r="AP60" i="74" s="1"/>
  <c r="AV60" i="74" s="1"/>
  <c r="AX60" i="74" s="1"/>
  <c r="U60" i="74" s="1"/>
  <c r="W60" i="74" s="1"/>
  <c r="Y60" i="74" s="1"/>
  <c r="AV42" i="21"/>
  <c r="AP47" i="21"/>
  <c r="W43" i="20"/>
  <c r="AV62" i="20"/>
  <c r="AP66" i="20"/>
  <c r="U37" i="21"/>
  <c r="AT41" i="19"/>
  <c r="BB43" i="19"/>
  <c r="BF42" i="19"/>
  <c r="AL42" i="19"/>
  <c r="AF43" i="19"/>
  <c r="BE69" i="5"/>
  <c r="BD68" i="5"/>
  <c r="BF68" i="5"/>
  <c r="AS56" i="5"/>
  <c r="AR55" i="5"/>
  <c r="AV67" i="5"/>
  <c r="M60" i="5" l="1"/>
  <c r="L60" i="5"/>
  <c r="AX32" i="69"/>
  <c r="AX29" i="51"/>
  <c r="W34" i="72"/>
  <c r="AN49" i="66"/>
  <c r="AP49" i="66" s="1"/>
  <c r="AN48" i="67"/>
  <c r="AP48" i="67" s="1"/>
  <c r="AN49" i="70"/>
  <c r="AP49" i="70" s="1"/>
  <c r="AV49" i="70" s="1"/>
  <c r="AX49" i="70" s="1"/>
  <c r="U49" i="70" s="1"/>
  <c r="W49" i="70" s="1"/>
  <c r="Y49" i="70" s="1"/>
  <c r="AN60" i="63"/>
  <c r="AP60" i="63" s="1"/>
  <c r="AV60" i="63" s="1"/>
  <c r="AX60" i="63" s="1"/>
  <c r="U60" i="63" s="1"/>
  <c r="W60" i="63" s="1"/>
  <c r="Y60" i="63" s="1"/>
  <c r="AN60" i="61"/>
  <c r="AP60" i="61" s="1"/>
  <c r="AV60" i="61" s="1"/>
  <c r="AX60" i="61" s="1"/>
  <c r="U60" i="61" s="1"/>
  <c r="W60" i="61" s="1"/>
  <c r="Y60" i="61" s="1"/>
  <c r="AN60" i="62"/>
  <c r="AP60" i="62" s="1"/>
  <c r="AV60" i="62" s="1"/>
  <c r="AX60" i="62" s="1"/>
  <c r="U60" i="62" s="1"/>
  <c r="W60" i="62" s="1"/>
  <c r="Y60" i="62" s="1"/>
  <c r="AN59" i="65"/>
  <c r="AP59" i="65" s="1"/>
  <c r="AN60" i="60"/>
  <c r="AP60" i="60" s="1"/>
  <c r="AV60" i="60" s="1"/>
  <c r="AX60" i="60" s="1"/>
  <c r="U60" i="60" s="1"/>
  <c r="AN60" i="59"/>
  <c r="AP60" i="59" s="1"/>
  <c r="AV60" i="59" s="1"/>
  <c r="AX60" i="59" s="1"/>
  <c r="U60" i="59" s="1"/>
  <c r="W60" i="59" s="1"/>
  <c r="Y60" i="59" s="1"/>
  <c r="AP48" i="68"/>
  <c r="L61" i="5"/>
  <c r="AN49" i="68"/>
  <c r="AP49" i="68" s="1"/>
  <c r="AV49" i="68" s="1"/>
  <c r="AX49" i="68" s="1"/>
  <c r="U49" i="68" s="1"/>
  <c r="W49" i="68" s="1"/>
  <c r="Y49" i="68" s="1"/>
  <c r="AN49" i="67"/>
  <c r="AP49" i="67" s="1"/>
  <c r="AV49" i="67" s="1"/>
  <c r="AN50" i="66"/>
  <c r="AP50" i="66" s="1"/>
  <c r="AV50" i="66" s="1"/>
  <c r="AN62" i="31"/>
  <c r="AP62" i="31" s="1"/>
  <c r="AN60" i="58"/>
  <c r="AP60" i="58" s="1"/>
  <c r="AN61" i="57"/>
  <c r="AP61" i="57" s="1"/>
  <c r="AX47" i="49"/>
  <c r="AV58" i="49"/>
  <c r="AX47" i="48"/>
  <c r="AV58" i="48"/>
  <c r="AX48" i="50"/>
  <c r="AV58" i="50"/>
  <c r="AV58" i="47"/>
  <c r="AX47" i="47"/>
  <c r="AP47" i="42"/>
  <c r="AN58" i="42"/>
  <c r="AP47" i="43"/>
  <c r="AN58" i="43"/>
  <c r="C61" i="5"/>
  <c r="K60" i="5"/>
  <c r="AN61" i="74" s="1"/>
  <c r="AP61" i="74" s="1"/>
  <c r="AV61" i="74" s="1"/>
  <c r="AX61" i="74" s="1"/>
  <c r="U61" i="74" s="1"/>
  <c r="W61" i="74" s="1"/>
  <c r="Y61" i="74" s="1"/>
  <c r="W37" i="21"/>
  <c r="Y43" i="20"/>
  <c r="AV66" i="20"/>
  <c r="AX62" i="20"/>
  <c r="AX42" i="21"/>
  <c r="AV47" i="21"/>
  <c r="AL43" i="19"/>
  <c r="AF44" i="19"/>
  <c r="AT42" i="19"/>
  <c r="BF43" i="19"/>
  <c r="BB44" i="19"/>
  <c r="AR56" i="5"/>
  <c r="AS57" i="5"/>
  <c r="AV68" i="5"/>
  <c r="BF69" i="5"/>
  <c r="BE70" i="5"/>
  <c r="BD69" i="5"/>
  <c r="C62" i="5" l="1"/>
  <c r="M61" i="5"/>
  <c r="AN48" i="75"/>
  <c r="AP48" i="75" s="1"/>
  <c r="AV48" i="75" s="1"/>
  <c r="AN50" i="75"/>
  <c r="AP50" i="75" s="1"/>
  <c r="AV50" i="75" s="1"/>
  <c r="AN54" i="75"/>
  <c r="AP54" i="75" s="1"/>
  <c r="AV54" i="75" s="1"/>
  <c r="AN57" i="75"/>
  <c r="AP57" i="75" s="1"/>
  <c r="AV57" i="75" s="1"/>
  <c r="AN38" i="75"/>
  <c r="AP38" i="75" s="1"/>
  <c r="AV38" i="75" s="1"/>
  <c r="AN45" i="75"/>
  <c r="AP45" i="75" s="1"/>
  <c r="AV45" i="75" s="1"/>
  <c r="AN53" i="75"/>
  <c r="AP53" i="75" s="1"/>
  <c r="AV53" i="75" s="1"/>
  <c r="AN47" i="75"/>
  <c r="AP47" i="75" s="1"/>
  <c r="AV47" i="75" s="1"/>
  <c r="AN42" i="75"/>
  <c r="AP42" i="75" s="1"/>
  <c r="AV42" i="75" s="1"/>
  <c r="AN41" i="75"/>
  <c r="AP41" i="75" s="1"/>
  <c r="AV41" i="75" s="1"/>
  <c r="AN46" i="75"/>
  <c r="AP46" i="75" s="1"/>
  <c r="AV46" i="75" s="1"/>
  <c r="AN51" i="75"/>
  <c r="AP51" i="75" s="1"/>
  <c r="AV51" i="75" s="1"/>
  <c r="AN39" i="75"/>
  <c r="AP39" i="75" s="1"/>
  <c r="AV39" i="75" s="1"/>
  <c r="AN40" i="75"/>
  <c r="AP40" i="75" s="1"/>
  <c r="AV40" i="75" s="1"/>
  <c r="AN43" i="75"/>
  <c r="AP43" i="75" s="1"/>
  <c r="AV43" i="75" s="1"/>
  <c r="AN49" i="75"/>
  <c r="AP49" i="75" s="1"/>
  <c r="AV49" i="75" s="1"/>
  <c r="AN56" i="75"/>
  <c r="AP56" i="75" s="1"/>
  <c r="AV56" i="75" s="1"/>
  <c r="AN55" i="75"/>
  <c r="AP55" i="75" s="1"/>
  <c r="AV55" i="75" s="1"/>
  <c r="AN52" i="75"/>
  <c r="AP52" i="75" s="1"/>
  <c r="AV52" i="75" s="1"/>
  <c r="AN44" i="75"/>
  <c r="AP44" i="75" s="1"/>
  <c r="AV44" i="75" s="1"/>
  <c r="E38" i="65"/>
  <c r="AN47" i="54"/>
  <c r="E47" i="54"/>
  <c r="E47" i="51"/>
  <c r="E47" i="55"/>
  <c r="AN48" i="72"/>
  <c r="AN53" i="69"/>
  <c r="AP53" i="69" s="1"/>
  <c r="AN47" i="55"/>
  <c r="AN47" i="51"/>
  <c r="AN47" i="56"/>
  <c r="E47" i="56"/>
  <c r="AN32" i="55"/>
  <c r="AN40" i="56"/>
  <c r="E31" i="65"/>
  <c r="E38" i="56"/>
  <c r="E62" i="65"/>
  <c r="E33" i="65"/>
  <c r="AN37" i="55"/>
  <c r="E37" i="54"/>
  <c r="AN38" i="55"/>
  <c r="E45" i="56"/>
  <c r="AN40" i="51"/>
  <c r="AN52" i="69"/>
  <c r="AP52" i="69" s="1"/>
  <c r="AV52" i="69" s="1"/>
  <c r="AX52" i="69" s="1"/>
  <c r="U52" i="69" s="1"/>
  <c r="AN45" i="56"/>
  <c r="AN36" i="65"/>
  <c r="E42" i="55"/>
  <c r="AN31" i="54"/>
  <c r="E44" i="65"/>
  <c r="E40" i="51"/>
  <c r="AN41" i="56"/>
  <c r="AN46" i="56"/>
  <c r="AN33" i="65"/>
  <c r="E29" i="54"/>
  <c r="M29" i="54" s="1"/>
  <c r="AN48" i="69"/>
  <c r="AP48" i="69" s="1"/>
  <c r="AV48" i="69" s="1"/>
  <c r="AX48" i="69" s="1"/>
  <c r="U48" i="69" s="1"/>
  <c r="AN42" i="51"/>
  <c r="AN44" i="73"/>
  <c r="AP44" i="73" s="1"/>
  <c r="AV44" i="73" s="1"/>
  <c r="AX44" i="73" s="1"/>
  <c r="U44" i="73" s="1"/>
  <c r="W44" i="73" s="1"/>
  <c r="Y44" i="73" s="1"/>
  <c r="E35" i="51"/>
  <c r="AN40" i="72"/>
  <c r="AP40" i="72" s="1"/>
  <c r="AV40" i="72" s="1"/>
  <c r="AX40" i="72" s="1"/>
  <c r="U40" i="72" s="1"/>
  <c r="W40" i="72" s="1"/>
  <c r="Y40" i="72" s="1"/>
  <c r="E37" i="51"/>
  <c r="AN42" i="55"/>
  <c r="E40" i="55"/>
  <c r="E53" i="65"/>
  <c r="E36" i="54"/>
  <c r="E39" i="56"/>
  <c r="E32" i="51"/>
  <c r="AN35" i="51"/>
  <c r="E61" i="65"/>
  <c r="E52" i="65"/>
  <c r="AN38" i="69"/>
  <c r="AP38" i="69" s="1"/>
  <c r="AV38" i="69" s="1"/>
  <c r="AX38" i="69" s="1"/>
  <c r="U38" i="69" s="1"/>
  <c r="E58" i="65"/>
  <c r="AN43" i="51"/>
  <c r="AN33" i="51"/>
  <c r="AN35" i="69"/>
  <c r="AP35" i="69" s="1"/>
  <c r="AV35" i="69" s="1"/>
  <c r="AX35" i="69" s="1"/>
  <c r="U35" i="69" s="1"/>
  <c r="E34" i="65"/>
  <c r="AN38" i="54"/>
  <c r="AN39" i="69"/>
  <c r="AP39" i="69" s="1"/>
  <c r="AV39" i="69" s="1"/>
  <c r="AX39" i="69" s="1"/>
  <c r="U39" i="69" s="1"/>
  <c r="E30" i="55"/>
  <c r="E33" i="51"/>
  <c r="E36" i="55"/>
  <c r="AN36" i="72"/>
  <c r="AP36" i="72" s="1"/>
  <c r="AV36" i="72" s="1"/>
  <c r="AX36" i="72" s="1"/>
  <c r="U36" i="72" s="1"/>
  <c r="W36" i="72" s="1"/>
  <c r="Y36" i="72" s="1"/>
  <c r="E46" i="56"/>
  <c r="AN35" i="54"/>
  <c r="E51" i="65"/>
  <c r="AN30" i="65"/>
  <c r="AN31" i="56"/>
  <c r="AN32" i="56"/>
  <c r="E47" i="65"/>
  <c r="AN34" i="69"/>
  <c r="AP34" i="69" s="1"/>
  <c r="AV34" i="69" s="1"/>
  <c r="AX34" i="69" s="1"/>
  <c r="U34" i="69" s="1"/>
  <c r="AN36" i="54"/>
  <c r="AN32" i="65"/>
  <c r="AN45" i="51"/>
  <c r="E57" i="65"/>
  <c r="AN36" i="56"/>
  <c r="E31" i="56"/>
  <c r="AN28" i="75"/>
  <c r="E44" i="55"/>
  <c r="E28" i="56"/>
  <c r="AN35" i="55"/>
  <c r="E46" i="55"/>
  <c r="E35" i="55"/>
  <c r="AN42" i="72"/>
  <c r="AP42" i="72" s="1"/>
  <c r="AV42" i="72" s="1"/>
  <c r="AX42" i="72" s="1"/>
  <c r="U42" i="72" s="1"/>
  <c r="W42" i="72" s="1"/>
  <c r="Y42" i="72" s="1"/>
  <c r="E46" i="54"/>
  <c r="E30" i="51"/>
  <c r="AN49" i="69"/>
  <c r="AP49" i="69" s="1"/>
  <c r="AV49" i="69" s="1"/>
  <c r="AX49" i="69" s="1"/>
  <c r="U49" i="69" s="1"/>
  <c r="E28" i="54"/>
  <c r="AN32" i="54"/>
  <c r="E34" i="54"/>
  <c r="AN45" i="55"/>
  <c r="E33" i="55"/>
  <c r="AN43" i="69"/>
  <c r="AP43" i="69" s="1"/>
  <c r="AV43" i="69" s="1"/>
  <c r="AX43" i="69" s="1"/>
  <c r="U43" i="69" s="1"/>
  <c r="E30" i="65"/>
  <c r="E46" i="51"/>
  <c r="AN40" i="54"/>
  <c r="E28" i="55"/>
  <c r="AN37" i="65"/>
  <c r="E49" i="65"/>
  <c r="AN34" i="56"/>
  <c r="E40" i="54"/>
  <c r="AN34" i="65"/>
  <c r="AN44" i="72"/>
  <c r="AP44" i="72" s="1"/>
  <c r="AV44" i="72" s="1"/>
  <c r="AX44" i="72" s="1"/>
  <c r="U44" i="72" s="1"/>
  <c r="W44" i="72" s="1"/>
  <c r="Y44" i="72" s="1"/>
  <c r="AN42" i="56"/>
  <c r="AN44" i="69"/>
  <c r="AP44" i="69" s="1"/>
  <c r="AV44" i="69" s="1"/>
  <c r="AX44" i="69" s="1"/>
  <c r="U44" i="69" s="1"/>
  <c r="AN34" i="54"/>
  <c r="AN36" i="69"/>
  <c r="AP36" i="69" s="1"/>
  <c r="AV36" i="69" s="1"/>
  <c r="AX36" i="69" s="1"/>
  <c r="U36" i="69" s="1"/>
  <c r="AN44" i="55"/>
  <c r="E31" i="51"/>
  <c r="AN40" i="69"/>
  <c r="AP40" i="69" s="1"/>
  <c r="AV40" i="69" s="1"/>
  <c r="AX40" i="69" s="1"/>
  <c r="U40" i="69" s="1"/>
  <c r="AN44" i="54"/>
  <c r="E35" i="65"/>
  <c r="E42" i="54"/>
  <c r="E54" i="65"/>
  <c r="AN46" i="55"/>
  <c r="E50" i="65"/>
  <c r="AN45" i="54"/>
  <c r="E41" i="51"/>
  <c r="E30" i="56"/>
  <c r="E33" i="54"/>
  <c r="E41" i="56"/>
  <c r="AN30" i="56"/>
  <c r="AN35" i="65"/>
  <c r="AN37" i="51"/>
  <c r="AN34" i="55"/>
  <c r="AN35" i="56"/>
  <c r="AN43" i="72"/>
  <c r="AP43" i="72" s="1"/>
  <c r="AV43" i="72" s="1"/>
  <c r="AX43" i="72" s="1"/>
  <c r="U43" i="72" s="1"/>
  <c r="W43" i="72" s="1"/>
  <c r="Y43" i="72" s="1"/>
  <c r="E45" i="51"/>
  <c r="AN31" i="51"/>
  <c r="E42" i="51"/>
  <c r="AN43" i="73"/>
  <c r="AP43" i="73" s="1"/>
  <c r="AV43" i="73" s="1"/>
  <c r="AX43" i="73" s="1"/>
  <c r="U43" i="73" s="1"/>
  <c r="W43" i="73" s="1"/>
  <c r="Y43" i="73" s="1"/>
  <c r="E39" i="54"/>
  <c r="AN28" i="56"/>
  <c r="E32" i="55"/>
  <c r="E44" i="56"/>
  <c r="AN39" i="55"/>
  <c r="AN28" i="54"/>
  <c r="E30" i="54"/>
  <c r="AN51" i="69"/>
  <c r="AP51" i="69" s="1"/>
  <c r="AV51" i="69" s="1"/>
  <c r="AX51" i="69" s="1"/>
  <c r="U51" i="69" s="1"/>
  <c r="AN46" i="73"/>
  <c r="AP46" i="73" s="1"/>
  <c r="AV46" i="73" s="1"/>
  <c r="AX46" i="73" s="1"/>
  <c r="U46" i="73" s="1"/>
  <c r="W46" i="73" s="1"/>
  <c r="Y46" i="73" s="1"/>
  <c r="AN42" i="69"/>
  <c r="AP42" i="69" s="1"/>
  <c r="AV42" i="69" s="1"/>
  <c r="AX42" i="69" s="1"/>
  <c r="U42" i="69" s="1"/>
  <c r="AN37" i="54"/>
  <c r="E60" i="65"/>
  <c r="E45" i="54"/>
  <c r="AN33" i="69"/>
  <c r="AN42" i="54"/>
  <c r="AN37" i="56"/>
  <c r="E33" i="56"/>
  <c r="AN36" i="51"/>
  <c r="E32" i="65"/>
  <c r="E32" i="56"/>
  <c r="AN41" i="54"/>
  <c r="AN33" i="56"/>
  <c r="AN46" i="54"/>
  <c r="E36" i="65"/>
  <c r="E41" i="54"/>
  <c r="E46" i="65"/>
  <c r="E43" i="56"/>
  <c r="AN28" i="55"/>
  <c r="AN35" i="72"/>
  <c r="AP35" i="72" s="1"/>
  <c r="AN31" i="65"/>
  <c r="AP31" i="65" s="1"/>
  <c r="AN33" i="55"/>
  <c r="AN37" i="69"/>
  <c r="AP37" i="69" s="1"/>
  <c r="AV37" i="69" s="1"/>
  <c r="AX37" i="69" s="1"/>
  <c r="U37" i="69" s="1"/>
  <c r="AN45" i="69"/>
  <c r="AP45" i="69" s="1"/>
  <c r="AV45" i="69" s="1"/>
  <c r="AX45" i="69" s="1"/>
  <c r="U45" i="69" s="1"/>
  <c r="AN30" i="55"/>
  <c r="E34" i="55"/>
  <c r="E43" i="51"/>
  <c r="E34" i="56"/>
  <c r="E31" i="54"/>
  <c r="AN40" i="73"/>
  <c r="AP40" i="73" s="1"/>
  <c r="AV40" i="73" s="1"/>
  <c r="AX40" i="73" s="1"/>
  <c r="U40" i="73" s="1"/>
  <c r="W40" i="73" s="1"/>
  <c r="Y40" i="73" s="1"/>
  <c r="AN41" i="72"/>
  <c r="AP41" i="72" s="1"/>
  <c r="AV41" i="72" s="1"/>
  <c r="AX41" i="72" s="1"/>
  <c r="U41" i="72" s="1"/>
  <c r="W41" i="72" s="1"/>
  <c r="Y41" i="72" s="1"/>
  <c r="E38" i="51"/>
  <c r="E48" i="65"/>
  <c r="M48" i="65" s="1"/>
  <c r="S48" i="65" s="1"/>
  <c r="E40" i="65"/>
  <c r="AN38" i="72"/>
  <c r="AP38" i="72" s="1"/>
  <c r="AV38" i="72" s="1"/>
  <c r="AX38" i="72" s="1"/>
  <c r="U38" i="72" s="1"/>
  <c r="W38" i="72" s="1"/>
  <c r="Y38" i="72" s="1"/>
  <c r="E29" i="55"/>
  <c r="M29" i="55" s="1"/>
  <c r="E55" i="65"/>
  <c r="AN39" i="54"/>
  <c r="E38" i="55"/>
  <c r="E40" i="56"/>
  <c r="E37" i="55"/>
  <c r="E43" i="54"/>
  <c r="E44" i="51"/>
  <c r="E39" i="55"/>
  <c r="AN44" i="51"/>
  <c r="AN48" i="73"/>
  <c r="AN45" i="73"/>
  <c r="AP45" i="73" s="1"/>
  <c r="AV45" i="73" s="1"/>
  <c r="AX45" i="73" s="1"/>
  <c r="U45" i="73" s="1"/>
  <c r="W45" i="73" s="1"/>
  <c r="Y45" i="73" s="1"/>
  <c r="AN34" i="51"/>
  <c r="E36" i="56"/>
  <c r="AN47" i="69"/>
  <c r="AP47" i="69" s="1"/>
  <c r="AV47" i="69" s="1"/>
  <c r="AX47" i="69" s="1"/>
  <c r="U47" i="69" s="1"/>
  <c r="AN33" i="54"/>
  <c r="E43" i="65"/>
  <c r="AN47" i="73"/>
  <c r="AP47" i="73" s="1"/>
  <c r="AV47" i="73" s="1"/>
  <c r="AX47" i="73" s="1"/>
  <c r="U47" i="73" s="1"/>
  <c r="W47" i="73" s="1"/>
  <c r="Y47" i="73" s="1"/>
  <c r="E59" i="65"/>
  <c r="AN43" i="55"/>
  <c r="E39" i="51"/>
  <c r="AN46" i="51"/>
  <c r="AN39" i="73"/>
  <c r="AP39" i="73" s="1"/>
  <c r="E29" i="56"/>
  <c r="M29" i="56" s="1"/>
  <c r="AN40" i="55"/>
  <c r="AN41" i="69"/>
  <c r="AP41" i="69" s="1"/>
  <c r="AV41" i="69" s="1"/>
  <c r="AX41" i="69" s="1"/>
  <c r="U41" i="69" s="1"/>
  <c r="AN45" i="72"/>
  <c r="AP45" i="72" s="1"/>
  <c r="AV45" i="72" s="1"/>
  <c r="AX45" i="72" s="1"/>
  <c r="U45" i="72" s="1"/>
  <c r="W45" i="72" s="1"/>
  <c r="Y45" i="72" s="1"/>
  <c r="AN30" i="51"/>
  <c r="AN50" i="69"/>
  <c r="AP50" i="69" s="1"/>
  <c r="AV50" i="69" s="1"/>
  <c r="AX50" i="69" s="1"/>
  <c r="U50" i="69" s="1"/>
  <c r="AN30" i="54"/>
  <c r="E35" i="54"/>
  <c r="E42" i="56"/>
  <c r="AN42" i="73"/>
  <c r="AP42" i="73" s="1"/>
  <c r="AV42" i="73" s="1"/>
  <c r="AX42" i="73" s="1"/>
  <c r="U42" i="73" s="1"/>
  <c r="W42" i="73" s="1"/>
  <c r="Y42" i="73" s="1"/>
  <c r="AN39" i="56"/>
  <c r="E36" i="51"/>
  <c r="AN41" i="55"/>
  <c r="AN29" i="54"/>
  <c r="AP29" i="54" s="1"/>
  <c r="AN39" i="51"/>
  <c r="E41" i="65"/>
  <c r="E42" i="65"/>
  <c r="E31" i="55"/>
  <c r="E35" i="56"/>
  <c r="AN36" i="55"/>
  <c r="AN31" i="55"/>
  <c r="AN41" i="51"/>
  <c r="AN39" i="72"/>
  <c r="AP39" i="72" s="1"/>
  <c r="AV39" i="72" s="1"/>
  <c r="AX39" i="72" s="1"/>
  <c r="U39" i="72" s="1"/>
  <c r="W39" i="72" s="1"/>
  <c r="Y39" i="72" s="1"/>
  <c r="E56" i="65"/>
  <c r="E34" i="51"/>
  <c r="E37" i="56"/>
  <c r="AN32" i="51"/>
  <c r="AN37" i="72"/>
  <c r="AP37" i="72" s="1"/>
  <c r="AV37" i="72" s="1"/>
  <c r="AX37" i="72" s="1"/>
  <c r="U37" i="72" s="1"/>
  <c r="W37" i="72" s="1"/>
  <c r="Y37" i="72" s="1"/>
  <c r="E43" i="55"/>
  <c r="AN38" i="51"/>
  <c r="AN29" i="56"/>
  <c r="AP29" i="56" s="1"/>
  <c r="AN41" i="73"/>
  <c r="AP41" i="73" s="1"/>
  <c r="AV41" i="73" s="1"/>
  <c r="AX41" i="73" s="1"/>
  <c r="U41" i="73" s="1"/>
  <c r="W41" i="73" s="1"/>
  <c r="Y41" i="73" s="1"/>
  <c r="AN46" i="72"/>
  <c r="AP46" i="72" s="1"/>
  <c r="AV46" i="72" s="1"/>
  <c r="AX46" i="72" s="1"/>
  <c r="U46" i="72" s="1"/>
  <c r="W46" i="72" s="1"/>
  <c r="Y46" i="72" s="1"/>
  <c r="E37" i="65"/>
  <c r="E39" i="65"/>
  <c r="E44" i="54"/>
  <c r="AN29" i="55"/>
  <c r="AP29" i="55" s="1"/>
  <c r="AN29" i="75"/>
  <c r="AN44" i="56"/>
  <c r="E38" i="54"/>
  <c r="E32" i="54"/>
  <c r="AN47" i="72"/>
  <c r="AP47" i="72" s="1"/>
  <c r="AV47" i="72" s="1"/>
  <c r="AX47" i="72" s="1"/>
  <c r="U47" i="72" s="1"/>
  <c r="W47" i="72" s="1"/>
  <c r="Y47" i="72" s="1"/>
  <c r="AN38" i="56"/>
  <c r="AP38" i="56" s="1"/>
  <c r="E45" i="55"/>
  <c r="E45" i="65"/>
  <c r="E41" i="55"/>
  <c r="AN43" i="56"/>
  <c r="AN46" i="69"/>
  <c r="AP46" i="69" s="1"/>
  <c r="AV46" i="69" s="1"/>
  <c r="AX46" i="69" s="1"/>
  <c r="U46" i="69" s="1"/>
  <c r="AN43" i="54"/>
  <c r="U29" i="51"/>
  <c r="Y34" i="72"/>
  <c r="U32" i="69"/>
  <c r="AN50" i="70"/>
  <c r="AP50" i="70" s="1"/>
  <c r="AV50" i="70" s="1"/>
  <c r="AX50" i="70" s="1"/>
  <c r="U50" i="70" s="1"/>
  <c r="W50" i="70" s="1"/>
  <c r="Y50" i="70" s="1"/>
  <c r="AN61" i="61"/>
  <c r="AP61" i="61" s="1"/>
  <c r="AV61" i="61" s="1"/>
  <c r="AX61" i="61" s="1"/>
  <c r="U61" i="61" s="1"/>
  <c r="W61" i="61" s="1"/>
  <c r="Y61" i="61" s="1"/>
  <c r="AN61" i="63"/>
  <c r="AP61" i="63" s="1"/>
  <c r="AV61" i="63" s="1"/>
  <c r="AX61" i="63" s="1"/>
  <c r="U61" i="63" s="1"/>
  <c r="W61" i="63" s="1"/>
  <c r="Y61" i="63" s="1"/>
  <c r="AN60" i="65"/>
  <c r="AP60" i="65" s="1"/>
  <c r="AN61" i="60"/>
  <c r="AP61" i="60" s="1"/>
  <c r="AV61" i="60" s="1"/>
  <c r="AX61" i="60" s="1"/>
  <c r="U61" i="60" s="1"/>
  <c r="AN61" i="62"/>
  <c r="AP61" i="62" s="1"/>
  <c r="AV61" i="62" s="1"/>
  <c r="AX61" i="62" s="1"/>
  <c r="U61" i="62" s="1"/>
  <c r="W61" i="62" s="1"/>
  <c r="Y61" i="62" s="1"/>
  <c r="AN61" i="59"/>
  <c r="AP61" i="59" s="1"/>
  <c r="AV61" i="59" s="1"/>
  <c r="AX61" i="59" s="1"/>
  <c r="U61" i="59" s="1"/>
  <c r="W61" i="59" s="1"/>
  <c r="Y61" i="59" s="1"/>
  <c r="L62" i="5"/>
  <c r="AN64" i="24" s="1"/>
  <c r="AP64" i="24" s="1"/>
  <c r="AN50" i="68"/>
  <c r="AP50" i="68" s="1"/>
  <c r="AV50" i="68" s="1"/>
  <c r="AX50" i="68" s="1"/>
  <c r="U50" i="68" s="1"/>
  <c r="W50" i="68" s="1"/>
  <c r="Y50" i="68" s="1"/>
  <c r="AN50" i="67"/>
  <c r="AN51" i="66"/>
  <c r="AP51" i="66" s="1"/>
  <c r="AV51" i="66" s="1"/>
  <c r="AV48" i="68"/>
  <c r="AX48" i="68" s="1"/>
  <c r="AV49" i="66"/>
  <c r="AV48" i="67"/>
  <c r="AN61" i="58"/>
  <c r="AP61" i="58" s="1"/>
  <c r="AN62" i="57"/>
  <c r="AP62" i="57" s="1"/>
  <c r="K61" i="5"/>
  <c r="K62" i="5" s="1"/>
  <c r="AN63" i="74" s="1"/>
  <c r="AP63" i="74" s="1"/>
  <c r="AV63" i="74" s="1"/>
  <c r="AX63" i="74" s="1"/>
  <c r="U63" i="74" s="1"/>
  <c r="W63" i="74" s="1"/>
  <c r="Y63" i="74" s="1"/>
  <c r="AN63" i="31"/>
  <c r="AP63" i="31" s="1"/>
  <c r="U47" i="48"/>
  <c r="AX58" i="48"/>
  <c r="U48" i="50"/>
  <c r="AX58" i="50"/>
  <c r="U47" i="49"/>
  <c r="AX58" i="49"/>
  <c r="AV47" i="42"/>
  <c r="AP58" i="42"/>
  <c r="U47" i="47"/>
  <c r="AX58" i="47"/>
  <c r="AV47" i="43"/>
  <c r="AP58" i="43"/>
  <c r="AN30" i="40"/>
  <c r="AP30" i="40" s="1"/>
  <c r="E47" i="40"/>
  <c r="E46" i="40"/>
  <c r="E38" i="40"/>
  <c r="AN35" i="40"/>
  <c r="AN47" i="40"/>
  <c r="E36" i="40"/>
  <c r="E32" i="40"/>
  <c r="AN42" i="40"/>
  <c r="AN45" i="40"/>
  <c r="AN43" i="40"/>
  <c r="E34" i="40"/>
  <c r="AN33" i="40"/>
  <c r="AN37" i="40"/>
  <c r="AN39" i="40"/>
  <c r="E42" i="40"/>
  <c r="E35" i="40"/>
  <c r="E39" i="40"/>
  <c r="AN44" i="40"/>
  <c r="E33" i="40"/>
  <c r="AN36" i="40"/>
  <c r="E45" i="40"/>
  <c r="AN46" i="40"/>
  <c r="E41" i="40"/>
  <c r="AN41" i="40"/>
  <c r="E44" i="40"/>
  <c r="E40" i="40"/>
  <c r="AN34" i="40"/>
  <c r="E37" i="40"/>
  <c r="E43" i="40"/>
  <c r="AN40" i="40"/>
  <c r="AN38" i="40"/>
  <c r="AN32" i="40"/>
  <c r="AN62" i="24"/>
  <c r="AP62" i="24" s="1"/>
  <c r="AN63" i="24"/>
  <c r="AP63" i="24" s="1"/>
  <c r="AN60" i="24"/>
  <c r="AP60" i="24" s="1"/>
  <c r="AN61" i="24"/>
  <c r="AP61" i="24" s="1"/>
  <c r="U42" i="21"/>
  <c r="AX47" i="21"/>
  <c r="U62" i="20"/>
  <c r="AX66" i="20"/>
  <c r="Y37" i="21"/>
  <c r="AF45" i="19"/>
  <c r="AL44" i="19"/>
  <c r="BF44" i="19"/>
  <c r="BB45" i="19"/>
  <c r="AT43" i="19"/>
  <c r="BE72" i="5"/>
  <c r="BD70" i="5"/>
  <c r="AV70" i="5"/>
  <c r="BF70" i="5"/>
  <c r="AS58" i="5"/>
  <c r="AR57" i="5"/>
  <c r="AV69" i="5"/>
  <c r="AP32" i="51" l="1"/>
  <c r="AP40" i="55"/>
  <c r="AP44" i="56"/>
  <c r="C63" i="5"/>
  <c r="M62" i="5"/>
  <c r="AP37" i="51"/>
  <c r="AP34" i="65"/>
  <c r="AP46" i="54"/>
  <c r="AP38" i="40"/>
  <c r="AP33" i="55"/>
  <c r="AP30" i="55"/>
  <c r="AP46" i="55"/>
  <c r="AP44" i="51"/>
  <c r="AP30" i="56"/>
  <c r="AP33" i="54"/>
  <c r="AP33" i="56"/>
  <c r="AP47" i="51"/>
  <c r="AP42" i="55"/>
  <c r="AP36" i="55"/>
  <c r="AP29" i="75"/>
  <c r="AN59" i="75"/>
  <c r="AP31" i="55"/>
  <c r="AP40" i="40"/>
  <c r="AP43" i="54"/>
  <c r="AP38" i="51"/>
  <c r="AP46" i="51"/>
  <c r="AP44" i="55"/>
  <c r="AP35" i="51"/>
  <c r="AP39" i="56"/>
  <c r="AP39" i="54"/>
  <c r="AP37" i="54"/>
  <c r="AP35" i="65"/>
  <c r="AP36" i="54"/>
  <c r="AP33" i="65"/>
  <c r="AP43" i="56"/>
  <c r="AP45" i="56"/>
  <c r="AP47" i="55"/>
  <c r="AP39" i="55"/>
  <c r="AP31" i="51"/>
  <c r="AP47" i="56"/>
  <c r="AP30" i="54"/>
  <c r="AP34" i="54"/>
  <c r="AP44" i="54"/>
  <c r="AP32" i="54"/>
  <c r="AP28" i="75"/>
  <c r="AP36" i="56"/>
  <c r="AP32" i="65"/>
  <c r="AP35" i="54"/>
  <c r="AP38" i="54"/>
  <c r="AP43" i="51"/>
  <c r="AP31" i="54"/>
  <c r="AP38" i="55"/>
  <c r="AP37" i="55"/>
  <c r="AF39" i="65"/>
  <c r="AR39" i="65"/>
  <c r="AH39" i="65"/>
  <c r="AH40" i="65" s="1"/>
  <c r="AH41" i="65" s="1"/>
  <c r="AH42" i="65" s="1"/>
  <c r="AH43" i="65" s="1"/>
  <c r="AH44" i="65" s="1"/>
  <c r="AH45" i="65" s="1"/>
  <c r="AH46" i="65" s="1"/>
  <c r="AH47" i="65" s="1"/>
  <c r="AH48" i="65" s="1"/>
  <c r="AH49" i="65" s="1"/>
  <c r="AH50" i="65" s="1"/>
  <c r="AH51" i="65" s="1"/>
  <c r="AH52" i="65" s="1"/>
  <c r="AH53" i="65" s="1"/>
  <c r="AH54" i="65" s="1"/>
  <c r="AH55" i="65" s="1"/>
  <c r="AH56" i="65" s="1"/>
  <c r="AH57" i="65" s="1"/>
  <c r="AH58" i="65" s="1"/>
  <c r="AH59" i="65" s="1"/>
  <c r="AH60" i="65" s="1"/>
  <c r="AH61" i="65" s="1"/>
  <c r="AH62" i="65" s="1"/>
  <c r="AJ39" i="65"/>
  <c r="AJ40" i="65" s="1"/>
  <c r="AJ41" i="65" s="1"/>
  <c r="AJ42" i="65" s="1"/>
  <c r="AJ43" i="65" s="1"/>
  <c r="AJ44" i="65" s="1"/>
  <c r="AJ45" i="65" s="1"/>
  <c r="AJ46" i="65" s="1"/>
  <c r="AJ47" i="65" s="1"/>
  <c r="AJ48" i="65" s="1"/>
  <c r="AJ49" i="65" s="1"/>
  <c r="AJ50" i="65" s="1"/>
  <c r="AJ51" i="65" s="1"/>
  <c r="AJ52" i="65" s="1"/>
  <c r="AJ53" i="65" s="1"/>
  <c r="AJ54" i="65" s="1"/>
  <c r="AJ55" i="65" s="1"/>
  <c r="AJ56" i="65" s="1"/>
  <c r="AJ57" i="65" s="1"/>
  <c r="AJ58" i="65" s="1"/>
  <c r="AJ59" i="65" s="1"/>
  <c r="AJ60" i="65" s="1"/>
  <c r="AJ61" i="65" s="1"/>
  <c r="AJ62" i="65" s="1"/>
  <c r="M30" i="56"/>
  <c r="M31" i="56" s="1"/>
  <c r="M32" i="56" s="1"/>
  <c r="M33" i="56" s="1"/>
  <c r="M34" i="56" s="1"/>
  <c r="M35" i="56" s="1"/>
  <c r="M36" i="56" s="1"/>
  <c r="M37" i="56" s="1"/>
  <c r="M38" i="56" s="1"/>
  <c r="M39" i="56" s="1"/>
  <c r="M40" i="56" s="1"/>
  <c r="M41" i="56" s="1"/>
  <c r="M42" i="56" s="1"/>
  <c r="M43" i="56" s="1"/>
  <c r="M44" i="56" s="1"/>
  <c r="M45" i="56" s="1"/>
  <c r="M46" i="56" s="1"/>
  <c r="AP28" i="56"/>
  <c r="AN58" i="56"/>
  <c r="I28" i="56"/>
  <c r="BB28" i="56"/>
  <c r="BD28" i="56"/>
  <c r="AJ28" i="56"/>
  <c r="AF28" i="56"/>
  <c r="AH28" i="56"/>
  <c r="AR28" i="56"/>
  <c r="W29" i="51"/>
  <c r="AP41" i="51"/>
  <c r="AP39" i="51"/>
  <c r="AP43" i="55"/>
  <c r="AP35" i="56"/>
  <c r="AP45" i="54"/>
  <c r="AP40" i="54"/>
  <c r="I28" i="54"/>
  <c r="BB28" i="54"/>
  <c r="AJ28" i="54"/>
  <c r="AF28" i="54"/>
  <c r="AH28" i="54"/>
  <c r="BD28" i="54"/>
  <c r="AR28" i="54"/>
  <c r="M30" i="51"/>
  <c r="M31" i="51" s="1"/>
  <c r="M32" i="51" s="1"/>
  <c r="M33" i="51" s="1"/>
  <c r="M34" i="51" s="1"/>
  <c r="M35" i="51" s="1"/>
  <c r="M36" i="51" s="1"/>
  <c r="M37" i="51" s="1"/>
  <c r="M38" i="51" s="1"/>
  <c r="M39" i="51" s="1"/>
  <c r="M40" i="51" s="1"/>
  <c r="M41" i="51" s="1"/>
  <c r="M42" i="51" s="1"/>
  <c r="M43" i="51" s="1"/>
  <c r="M44" i="51" s="1"/>
  <c r="M45" i="51" s="1"/>
  <c r="M46" i="51" s="1"/>
  <c r="M58" i="51" s="1"/>
  <c r="AR30" i="51"/>
  <c r="AH30" i="51"/>
  <c r="AH31" i="51" s="1"/>
  <c r="AH32" i="51" s="1"/>
  <c r="AH33" i="51" s="1"/>
  <c r="AH34" i="51" s="1"/>
  <c r="AH35" i="51" s="1"/>
  <c r="AH36" i="51" s="1"/>
  <c r="AH37" i="51" s="1"/>
  <c r="AH38" i="51" s="1"/>
  <c r="AH39" i="51" s="1"/>
  <c r="AH40" i="51" s="1"/>
  <c r="AH41" i="51" s="1"/>
  <c r="AH42" i="51" s="1"/>
  <c r="AH43" i="51" s="1"/>
  <c r="AH44" i="51" s="1"/>
  <c r="AH45" i="51" s="1"/>
  <c r="AH46" i="51" s="1"/>
  <c r="AH47" i="51" s="1"/>
  <c r="AH58" i="51" s="1"/>
  <c r="AJ30" i="51"/>
  <c r="AJ31" i="51" s="1"/>
  <c r="AJ32" i="51" s="1"/>
  <c r="AJ33" i="51" s="1"/>
  <c r="AJ34" i="51" s="1"/>
  <c r="AJ35" i="51" s="1"/>
  <c r="AJ36" i="51" s="1"/>
  <c r="AJ37" i="51" s="1"/>
  <c r="AJ38" i="51" s="1"/>
  <c r="AJ39" i="51" s="1"/>
  <c r="AJ40" i="51" s="1"/>
  <c r="AJ41" i="51" s="1"/>
  <c r="AJ42" i="51" s="1"/>
  <c r="AJ43" i="51" s="1"/>
  <c r="AJ44" i="51" s="1"/>
  <c r="AJ45" i="51" s="1"/>
  <c r="AJ46" i="51" s="1"/>
  <c r="AJ47" i="51" s="1"/>
  <c r="AJ58" i="51" s="1"/>
  <c r="BD30" i="51"/>
  <c r="BB30" i="51"/>
  <c r="AF30" i="51"/>
  <c r="I30" i="51"/>
  <c r="AP30" i="65"/>
  <c r="M30" i="55"/>
  <c r="M31" i="55" s="1"/>
  <c r="M32" i="55" s="1"/>
  <c r="M33" i="55" s="1"/>
  <c r="M34" i="55" s="1"/>
  <c r="M35" i="55" s="1"/>
  <c r="M36" i="55" s="1"/>
  <c r="M37" i="55" s="1"/>
  <c r="M38" i="55" s="1"/>
  <c r="M39" i="55" s="1"/>
  <c r="M40" i="55" s="1"/>
  <c r="M41" i="55" s="1"/>
  <c r="M42" i="55" s="1"/>
  <c r="M43" i="55" s="1"/>
  <c r="M44" i="55" s="1"/>
  <c r="M45" i="55" s="1"/>
  <c r="M46" i="55" s="1"/>
  <c r="M30" i="54"/>
  <c r="M31" i="54" s="1"/>
  <c r="M32" i="54" s="1"/>
  <c r="M33" i="54" s="1"/>
  <c r="M34" i="54" s="1"/>
  <c r="M35" i="54" s="1"/>
  <c r="M36" i="54" s="1"/>
  <c r="M37" i="54" s="1"/>
  <c r="M38" i="54" s="1"/>
  <c r="M39" i="54" s="1"/>
  <c r="M40" i="54" s="1"/>
  <c r="M41" i="54" s="1"/>
  <c r="M42" i="54" s="1"/>
  <c r="M43" i="54" s="1"/>
  <c r="M44" i="54" s="1"/>
  <c r="M45" i="54" s="1"/>
  <c r="M46" i="54" s="1"/>
  <c r="AV53" i="69"/>
  <c r="AX53" i="69" s="1"/>
  <c r="U53" i="69" s="1"/>
  <c r="I28" i="55"/>
  <c r="BB28" i="55"/>
  <c r="BD28" i="55"/>
  <c r="AH28" i="55"/>
  <c r="AF28" i="55"/>
  <c r="AJ28" i="55"/>
  <c r="AR28" i="55"/>
  <c r="AP41" i="55"/>
  <c r="AP34" i="51"/>
  <c r="AV35" i="72"/>
  <c r="AP37" i="56"/>
  <c r="AP34" i="55"/>
  <c r="AP42" i="56"/>
  <c r="AP37" i="65"/>
  <c r="AP45" i="55"/>
  <c r="AP32" i="56"/>
  <c r="AP42" i="51"/>
  <c r="AP40" i="51"/>
  <c r="AP40" i="56"/>
  <c r="AP48" i="72"/>
  <c r="AV48" i="72" s="1"/>
  <c r="AX48" i="72" s="1"/>
  <c r="U48" i="72" s="1"/>
  <c r="W48" i="72" s="1"/>
  <c r="Y48" i="72" s="1"/>
  <c r="AN50" i="72"/>
  <c r="AP47" i="54"/>
  <c r="AP48" i="73"/>
  <c r="AV48" i="73" s="1"/>
  <c r="AX48" i="73" s="1"/>
  <c r="U48" i="73" s="1"/>
  <c r="W48" i="73" s="1"/>
  <c r="Y48" i="73" s="1"/>
  <c r="AN52" i="73"/>
  <c r="AP33" i="69"/>
  <c r="AV33" i="69" s="1"/>
  <c r="AN64" i="69"/>
  <c r="M49" i="65"/>
  <c r="S49" i="65" s="1"/>
  <c r="AP30" i="51"/>
  <c r="AN58" i="51"/>
  <c r="AV39" i="73"/>
  <c r="AP28" i="55"/>
  <c r="AN58" i="55"/>
  <c r="AP41" i="54"/>
  <c r="AP36" i="51"/>
  <c r="AP42" i="54"/>
  <c r="AP28" i="54"/>
  <c r="AN58" i="54"/>
  <c r="AP34" i="56"/>
  <c r="M30" i="65"/>
  <c r="AR30" i="65"/>
  <c r="K30" i="65"/>
  <c r="AF30" i="65"/>
  <c r="BB30" i="65"/>
  <c r="AH30" i="65"/>
  <c r="AJ30" i="65"/>
  <c r="BD30" i="65"/>
  <c r="AP35" i="55"/>
  <c r="AP45" i="51"/>
  <c r="AP31" i="56"/>
  <c r="AP33" i="51"/>
  <c r="AP46" i="56"/>
  <c r="AP41" i="56"/>
  <c r="AP36" i="65"/>
  <c r="AP32" i="55"/>
  <c r="AN64" i="31"/>
  <c r="AP64" i="31" s="1"/>
  <c r="AN62" i="74"/>
  <c r="AP62" i="74" s="1"/>
  <c r="AV62" i="74" s="1"/>
  <c r="AX62" i="74" s="1"/>
  <c r="U62" i="74" s="1"/>
  <c r="W62" i="74" s="1"/>
  <c r="Y62" i="74" s="1"/>
  <c r="AN52" i="70"/>
  <c r="AP52" i="70" s="1"/>
  <c r="AV52" i="70" s="1"/>
  <c r="AX52" i="70" s="1"/>
  <c r="U52" i="70" s="1"/>
  <c r="W52" i="70" s="1"/>
  <c r="Y52" i="70" s="1"/>
  <c r="AN63" i="63"/>
  <c r="AP63" i="63" s="1"/>
  <c r="AV63" i="63" s="1"/>
  <c r="AX63" i="63" s="1"/>
  <c r="U63" i="63" s="1"/>
  <c r="W63" i="63" s="1"/>
  <c r="Y63" i="63" s="1"/>
  <c r="AN63" i="61"/>
  <c r="AP63" i="61" s="1"/>
  <c r="AV63" i="61" s="1"/>
  <c r="AX63" i="61" s="1"/>
  <c r="U63" i="61" s="1"/>
  <c r="W63" i="61" s="1"/>
  <c r="Y63" i="61" s="1"/>
  <c r="AN63" i="62"/>
  <c r="AP63" i="62" s="1"/>
  <c r="AV63" i="62" s="1"/>
  <c r="AX63" i="62" s="1"/>
  <c r="U63" i="62" s="1"/>
  <c r="W63" i="62" s="1"/>
  <c r="Y63" i="62" s="1"/>
  <c r="AN63" i="60"/>
  <c r="AP63" i="60" s="1"/>
  <c r="AV63" i="60" s="1"/>
  <c r="AX63" i="60" s="1"/>
  <c r="U63" i="60" s="1"/>
  <c r="AN62" i="65"/>
  <c r="AP62" i="65" s="1"/>
  <c r="AN63" i="59"/>
  <c r="AP63" i="59" s="1"/>
  <c r="AV63" i="59" s="1"/>
  <c r="AX63" i="59" s="1"/>
  <c r="U63" i="59" s="1"/>
  <c r="W63" i="59" s="1"/>
  <c r="Y63" i="59" s="1"/>
  <c r="AN51" i="70"/>
  <c r="AP51" i="70" s="1"/>
  <c r="AV51" i="70" s="1"/>
  <c r="AX51" i="70" s="1"/>
  <c r="U51" i="70" s="1"/>
  <c r="W51" i="70" s="1"/>
  <c r="Y51" i="70" s="1"/>
  <c r="AN62" i="61"/>
  <c r="AP62" i="61" s="1"/>
  <c r="AV62" i="61" s="1"/>
  <c r="AX62" i="61" s="1"/>
  <c r="U62" i="61" s="1"/>
  <c r="W62" i="61" s="1"/>
  <c r="Y62" i="61" s="1"/>
  <c r="AN62" i="63"/>
  <c r="AP62" i="63" s="1"/>
  <c r="AV62" i="63" s="1"/>
  <c r="AX62" i="63" s="1"/>
  <c r="U62" i="63" s="1"/>
  <c r="W62" i="63" s="1"/>
  <c r="Y62" i="63" s="1"/>
  <c r="AN62" i="60"/>
  <c r="AP62" i="60" s="1"/>
  <c r="AV62" i="60" s="1"/>
  <c r="AX62" i="60" s="1"/>
  <c r="U62" i="60" s="1"/>
  <c r="AN62" i="62"/>
  <c r="AP62" i="62" s="1"/>
  <c r="AV62" i="62" s="1"/>
  <c r="AX62" i="62" s="1"/>
  <c r="U62" i="62" s="1"/>
  <c r="W62" i="62" s="1"/>
  <c r="Y62" i="62" s="1"/>
  <c r="AN61" i="65"/>
  <c r="AP61" i="65" s="1"/>
  <c r="AN62" i="59"/>
  <c r="AP62" i="59" s="1"/>
  <c r="AV62" i="59" s="1"/>
  <c r="AX62" i="59" s="1"/>
  <c r="U62" i="59" s="1"/>
  <c r="W62" i="59" s="1"/>
  <c r="Y62" i="59" s="1"/>
  <c r="AP50" i="67"/>
  <c r="U48" i="68"/>
  <c r="L63" i="5"/>
  <c r="AN51" i="68"/>
  <c r="AN51" i="67"/>
  <c r="AP51" i="67" s="1"/>
  <c r="AV51" i="67" s="1"/>
  <c r="AN52" i="66"/>
  <c r="AP52" i="66" s="1"/>
  <c r="AV52" i="66" s="1"/>
  <c r="AP46" i="40"/>
  <c r="AP36" i="40"/>
  <c r="AN62" i="58"/>
  <c r="AP62" i="58" s="1"/>
  <c r="AN63" i="57"/>
  <c r="AP63" i="57" s="1"/>
  <c r="AN63" i="58"/>
  <c r="AP63" i="58" s="1"/>
  <c r="AN64" i="57"/>
  <c r="AP64" i="57" s="1"/>
  <c r="K63" i="5"/>
  <c r="AN64" i="74" s="1"/>
  <c r="AP64" i="74" s="1"/>
  <c r="AV64" i="74" s="1"/>
  <c r="AX64" i="74" s="1"/>
  <c r="U64" i="74" s="1"/>
  <c r="W64" i="74" s="1"/>
  <c r="Y64" i="74" s="1"/>
  <c r="AN65" i="31"/>
  <c r="AP65" i="31" s="1"/>
  <c r="W47" i="49"/>
  <c r="U58" i="49"/>
  <c r="I48" i="32" s="1"/>
  <c r="W47" i="48"/>
  <c r="U58" i="48"/>
  <c r="I47" i="32" s="1"/>
  <c r="W48" i="50"/>
  <c r="U58" i="50"/>
  <c r="I51" i="32" s="1"/>
  <c r="W47" i="47"/>
  <c r="U58" i="47"/>
  <c r="I46" i="32" s="1"/>
  <c r="AV58" i="43"/>
  <c r="AV58" i="42"/>
  <c r="AP32" i="40"/>
  <c r="AP34" i="40"/>
  <c r="AP33" i="40"/>
  <c r="AP47" i="40"/>
  <c r="AP44" i="40"/>
  <c r="AP39" i="40"/>
  <c r="AP35" i="40"/>
  <c r="AP41" i="40"/>
  <c r="AP45" i="40"/>
  <c r="I32" i="40"/>
  <c r="AR32" i="40"/>
  <c r="M32" i="40"/>
  <c r="AJ32" i="40"/>
  <c r="AH32" i="40"/>
  <c r="BD32" i="40"/>
  <c r="AF32" i="40"/>
  <c r="BB32" i="40"/>
  <c r="AP37" i="40"/>
  <c r="AP42" i="40"/>
  <c r="AP43" i="40"/>
  <c r="AN58" i="40"/>
  <c r="W62" i="20"/>
  <c r="U66" i="20"/>
  <c r="W42" i="21"/>
  <c r="U47" i="21"/>
  <c r="AL45" i="19"/>
  <c r="AF46" i="19"/>
  <c r="AT44" i="19"/>
  <c r="BF45" i="19"/>
  <c r="BB46" i="19"/>
  <c r="AS59" i="5"/>
  <c r="AR58" i="5"/>
  <c r="BF72" i="5"/>
  <c r="AV72" i="5"/>
  <c r="BE73" i="5"/>
  <c r="BD72" i="5"/>
  <c r="C64" i="5" l="1"/>
  <c r="E63" i="65"/>
  <c r="AJ63" i="65" s="1"/>
  <c r="E64" i="65"/>
  <c r="AV29" i="75"/>
  <c r="AP59" i="75"/>
  <c r="AP50" i="72"/>
  <c r="AH31" i="65"/>
  <c r="AH32" i="65" s="1"/>
  <c r="AH33" i="65" s="1"/>
  <c r="AH34" i="65" s="1"/>
  <c r="AH35" i="65" s="1"/>
  <c r="AH36" i="65" s="1"/>
  <c r="AH37" i="65" s="1"/>
  <c r="AR31" i="65"/>
  <c r="AV28" i="55"/>
  <c r="AP58" i="55"/>
  <c r="AP52" i="73"/>
  <c r="AV30" i="51"/>
  <c r="AP58" i="51"/>
  <c r="AL28" i="55"/>
  <c r="AF29" i="55"/>
  <c r="S28" i="55"/>
  <c r="I29" i="55"/>
  <c r="I31" i="51"/>
  <c r="S30" i="51"/>
  <c r="AR29" i="54"/>
  <c r="AJ29" i="54"/>
  <c r="AJ30" i="54" s="1"/>
  <c r="AJ31" i="54" s="1"/>
  <c r="AJ32" i="54" s="1"/>
  <c r="AJ33" i="54" s="1"/>
  <c r="AJ34" i="54" s="1"/>
  <c r="AJ35" i="54" s="1"/>
  <c r="AJ36" i="54" s="1"/>
  <c r="AJ37" i="54" s="1"/>
  <c r="AJ38" i="54" s="1"/>
  <c r="AJ39" i="54" s="1"/>
  <c r="AJ40" i="54" s="1"/>
  <c r="AJ41" i="54" s="1"/>
  <c r="AJ42" i="54" s="1"/>
  <c r="AJ43" i="54" s="1"/>
  <c r="AJ44" i="54" s="1"/>
  <c r="AJ45" i="54" s="1"/>
  <c r="AJ46" i="54" s="1"/>
  <c r="AJ47" i="54" s="1"/>
  <c r="AR29" i="56"/>
  <c r="BD29" i="56"/>
  <c r="BD30" i="56" s="1"/>
  <c r="BD31" i="56" s="1"/>
  <c r="BD32" i="56" s="1"/>
  <c r="BD33" i="56" s="1"/>
  <c r="BD34" i="56" s="1"/>
  <c r="BD35" i="56" s="1"/>
  <c r="BD36" i="56" s="1"/>
  <c r="BD37" i="56" s="1"/>
  <c r="BD38" i="56" s="1"/>
  <c r="BD39" i="56" s="1"/>
  <c r="BD40" i="56" s="1"/>
  <c r="BD41" i="56" s="1"/>
  <c r="BD42" i="56" s="1"/>
  <c r="BD43" i="56" s="1"/>
  <c r="BD44" i="56" s="1"/>
  <c r="BD45" i="56" s="1"/>
  <c r="BD46" i="56" s="1"/>
  <c r="BD47" i="56" s="1"/>
  <c r="AR40" i="65"/>
  <c r="AV39" i="65"/>
  <c r="BB31" i="65"/>
  <c r="BF30" i="65"/>
  <c r="AX39" i="73"/>
  <c r="AV52" i="73"/>
  <c r="M58" i="55"/>
  <c r="AH29" i="55"/>
  <c r="AH30" i="55" s="1"/>
  <c r="AH31" i="55" s="1"/>
  <c r="AH32" i="55" s="1"/>
  <c r="AH33" i="55" s="1"/>
  <c r="AH34" i="55" s="1"/>
  <c r="AH35" i="55" s="1"/>
  <c r="AH36" i="55" s="1"/>
  <c r="AH37" i="55" s="1"/>
  <c r="AH38" i="55" s="1"/>
  <c r="AH39" i="55" s="1"/>
  <c r="AH40" i="55" s="1"/>
  <c r="AH41" i="55" s="1"/>
  <c r="AH42" i="55" s="1"/>
  <c r="AH43" i="55" s="1"/>
  <c r="AH44" i="55" s="1"/>
  <c r="AH45" i="55" s="1"/>
  <c r="AH46" i="55" s="1"/>
  <c r="AH47" i="55" s="1"/>
  <c r="M31" i="65"/>
  <c r="M32" i="65" s="1"/>
  <c r="M33" i="65" s="1"/>
  <c r="M34" i="65" s="1"/>
  <c r="M35" i="65" s="1"/>
  <c r="M36" i="65" s="1"/>
  <c r="M37" i="65" s="1"/>
  <c r="M38" i="65" s="1"/>
  <c r="AV30" i="65"/>
  <c r="AF31" i="51"/>
  <c r="AL30" i="51"/>
  <c r="BF28" i="54"/>
  <c r="BD29" i="54"/>
  <c r="BD30" i="54" s="1"/>
  <c r="BD31" i="54" s="1"/>
  <c r="BD32" i="54" s="1"/>
  <c r="BD33" i="54" s="1"/>
  <c r="BD34" i="54" s="1"/>
  <c r="BD35" i="54" s="1"/>
  <c r="BD36" i="54" s="1"/>
  <c r="BD37" i="54" s="1"/>
  <c r="BD38" i="54" s="1"/>
  <c r="BD39" i="54" s="1"/>
  <c r="BD40" i="54" s="1"/>
  <c r="BD41" i="54" s="1"/>
  <c r="BD42" i="54" s="1"/>
  <c r="BD43" i="54" s="1"/>
  <c r="BD44" i="54" s="1"/>
  <c r="BD45" i="54" s="1"/>
  <c r="BD46" i="54" s="1"/>
  <c r="BD47" i="54" s="1"/>
  <c r="BB29" i="54"/>
  <c r="AH29" i="56"/>
  <c r="AH30" i="56" s="1"/>
  <c r="AH31" i="56" s="1"/>
  <c r="AH32" i="56" s="1"/>
  <c r="AH33" i="56" s="1"/>
  <c r="AH34" i="56" s="1"/>
  <c r="AH35" i="56" s="1"/>
  <c r="AH36" i="56" s="1"/>
  <c r="AH37" i="56" s="1"/>
  <c r="AH38" i="56" s="1"/>
  <c r="AH39" i="56" s="1"/>
  <c r="AH40" i="56" s="1"/>
  <c r="AH41" i="56" s="1"/>
  <c r="AH42" i="56" s="1"/>
  <c r="AH43" i="56" s="1"/>
  <c r="AH44" i="56" s="1"/>
  <c r="AH45" i="56" s="1"/>
  <c r="AH46" i="56" s="1"/>
  <c r="AH47" i="56" s="1"/>
  <c r="BB29" i="56"/>
  <c r="BF28" i="56"/>
  <c r="AF40" i="65"/>
  <c r="AL39" i="65"/>
  <c r="BD31" i="65"/>
  <c r="BD32" i="65" s="1"/>
  <c r="BD33" i="65" s="1"/>
  <c r="BD34" i="65" s="1"/>
  <c r="BD35" i="65" s="1"/>
  <c r="BD36" i="65" s="1"/>
  <c r="BD37" i="65" s="1"/>
  <c r="BD38" i="65" s="1"/>
  <c r="BD39" i="65" s="1"/>
  <c r="BD40" i="65" s="1"/>
  <c r="BD41" i="65" s="1"/>
  <c r="BD42" i="65" s="1"/>
  <c r="BD43" i="65" s="1"/>
  <c r="BD44" i="65" s="1"/>
  <c r="BD45" i="65" s="1"/>
  <c r="BD46" i="65" s="1"/>
  <c r="BD47" i="65" s="1"/>
  <c r="BD48" i="65" s="1"/>
  <c r="BD49" i="65" s="1"/>
  <c r="BD50" i="65" s="1"/>
  <c r="BD51" i="65" s="1"/>
  <c r="BD52" i="65" s="1"/>
  <c r="BD53" i="65" s="1"/>
  <c r="BD54" i="65" s="1"/>
  <c r="BD55" i="65" s="1"/>
  <c r="BD56" i="65" s="1"/>
  <c r="BD57" i="65" s="1"/>
  <c r="BD58" i="65" s="1"/>
  <c r="BD59" i="65" s="1"/>
  <c r="BD60" i="65" s="1"/>
  <c r="BD61" i="65" s="1"/>
  <c r="BD62" i="65" s="1"/>
  <c r="AL30" i="65"/>
  <c r="AF31" i="65"/>
  <c r="M50" i="65"/>
  <c r="AX35" i="72"/>
  <c r="AV50" i="72"/>
  <c r="AR29" i="55"/>
  <c r="BD29" i="55"/>
  <c r="BD30" i="55" s="1"/>
  <c r="BD31" i="55" s="1"/>
  <c r="BD32" i="55" s="1"/>
  <c r="BD33" i="55" s="1"/>
  <c r="BD34" i="55" s="1"/>
  <c r="BD35" i="55" s="1"/>
  <c r="BD36" i="55" s="1"/>
  <c r="BD37" i="55" s="1"/>
  <c r="BD38" i="55" s="1"/>
  <c r="BD39" i="55" s="1"/>
  <c r="BD40" i="55" s="1"/>
  <c r="BD41" i="55" s="1"/>
  <c r="BD42" i="55" s="1"/>
  <c r="BD43" i="55" s="1"/>
  <c r="BD44" i="55" s="1"/>
  <c r="BD45" i="55" s="1"/>
  <c r="BD46" i="55" s="1"/>
  <c r="BD47" i="55" s="1"/>
  <c r="M58" i="54"/>
  <c r="BB31" i="51"/>
  <c r="BF30" i="51"/>
  <c r="AR31" i="51"/>
  <c r="AH29" i="54"/>
  <c r="AH30" i="54" s="1"/>
  <c r="AH31" i="54" s="1"/>
  <c r="AH32" i="54" s="1"/>
  <c r="AH33" i="54" s="1"/>
  <c r="AH34" i="54" s="1"/>
  <c r="AH35" i="54" s="1"/>
  <c r="AH36" i="54" s="1"/>
  <c r="AH37" i="54" s="1"/>
  <c r="AH38" i="54" s="1"/>
  <c r="AH39" i="54" s="1"/>
  <c r="AH40" i="54" s="1"/>
  <c r="AH41" i="54" s="1"/>
  <c r="AH42" i="54" s="1"/>
  <c r="AH43" i="54" s="1"/>
  <c r="AH44" i="54" s="1"/>
  <c r="AH45" i="54" s="1"/>
  <c r="AH46" i="54" s="1"/>
  <c r="AH47" i="54" s="1"/>
  <c r="I29" i="54"/>
  <c r="S28" i="54"/>
  <c r="AF29" i="56"/>
  <c r="AL28" i="56"/>
  <c r="I29" i="56"/>
  <c r="S28" i="56"/>
  <c r="M58" i="56"/>
  <c r="AJ31" i="65"/>
  <c r="AJ32" i="65" s="1"/>
  <c r="AJ33" i="65" s="1"/>
  <c r="AJ34" i="65" s="1"/>
  <c r="AJ35" i="65" s="1"/>
  <c r="AJ36" i="65" s="1"/>
  <c r="AJ37" i="65" s="1"/>
  <c r="K31" i="65"/>
  <c r="K32" i="65" s="1"/>
  <c r="K33" i="65" s="1"/>
  <c r="K34" i="65" s="1"/>
  <c r="K35" i="65" s="1"/>
  <c r="K36" i="65" s="1"/>
  <c r="K37" i="65" s="1"/>
  <c r="AP58" i="54"/>
  <c r="AV28" i="54"/>
  <c r="AX33" i="69"/>
  <c r="AV64" i="69"/>
  <c r="AJ29" i="55"/>
  <c r="AJ30" i="55" s="1"/>
  <c r="AJ31" i="55" s="1"/>
  <c r="AJ32" i="55" s="1"/>
  <c r="AJ33" i="55" s="1"/>
  <c r="AJ34" i="55" s="1"/>
  <c r="AJ35" i="55" s="1"/>
  <c r="AJ36" i="55" s="1"/>
  <c r="AJ37" i="55" s="1"/>
  <c r="AJ38" i="55" s="1"/>
  <c r="AJ39" i="55" s="1"/>
  <c r="AJ40" i="55" s="1"/>
  <c r="AJ41" i="55" s="1"/>
  <c r="AJ42" i="55" s="1"/>
  <c r="AJ43" i="55" s="1"/>
  <c r="AJ44" i="55" s="1"/>
  <c r="AJ45" i="55" s="1"/>
  <c r="AJ46" i="55" s="1"/>
  <c r="AJ47" i="55" s="1"/>
  <c r="BB29" i="55"/>
  <c r="BF28" i="55"/>
  <c r="AP64" i="69"/>
  <c r="BD31" i="51"/>
  <c r="BD32" i="51" s="1"/>
  <c r="BD33" i="51" s="1"/>
  <c r="BD34" i="51" s="1"/>
  <c r="BD35" i="51" s="1"/>
  <c r="BD36" i="51" s="1"/>
  <c r="BD37" i="51" s="1"/>
  <c r="BD38" i="51" s="1"/>
  <c r="BD39" i="51" s="1"/>
  <c r="BD40" i="51" s="1"/>
  <c r="BD41" i="51" s="1"/>
  <c r="BD42" i="51" s="1"/>
  <c r="BD43" i="51" s="1"/>
  <c r="BD44" i="51" s="1"/>
  <c r="BD45" i="51" s="1"/>
  <c r="BD46" i="51" s="1"/>
  <c r="BD47" i="51" s="1"/>
  <c r="AF29" i="54"/>
  <c r="AL28" i="54"/>
  <c r="Y29" i="51"/>
  <c r="AJ29" i="56"/>
  <c r="AJ30" i="56" s="1"/>
  <c r="AJ31" i="56" s="1"/>
  <c r="AJ32" i="56" s="1"/>
  <c r="AJ33" i="56" s="1"/>
  <c r="AJ34" i="56" s="1"/>
  <c r="AJ35" i="56" s="1"/>
  <c r="AJ36" i="56" s="1"/>
  <c r="AJ37" i="56" s="1"/>
  <c r="AJ38" i="56" s="1"/>
  <c r="AJ39" i="56" s="1"/>
  <c r="AJ40" i="56" s="1"/>
  <c r="AJ41" i="56" s="1"/>
  <c r="AJ42" i="56" s="1"/>
  <c r="AJ43" i="56" s="1"/>
  <c r="AJ44" i="56" s="1"/>
  <c r="AJ45" i="56" s="1"/>
  <c r="AJ46" i="56" s="1"/>
  <c r="AJ47" i="56" s="1"/>
  <c r="AV28" i="56"/>
  <c r="AP58" i="56"/>
  <c r="AV28" i="75"/>
  <c r="AN53" i="70"/>
  <c r="AP53" i="70" s="1"/>
  <c r="AV53" i="70" s="1"/>
  <c r="AX53" i="70" s="1"/>
  <c r="U53" i="70" s="1"/>
  <c r="W53" i="70" s="1"/>
  <c r="Y53" i="70" s="1"/>
  <c r="AN64" i="61"/>
  <c r="AP64" i="61" s="1"/>
  <c r="AV64" i="61" s="1"/>
  <c r="AX64" i="61" s="1"/>
  <c r="U64" i="61" s="1"/>
  <c r="W64" i="61" s="1"/>
  <c r="Y64" i="61" s="1"/>
  <c r="AN64" i="63"/>
  <c r="AP64" i="63" s="1"/>
  <c r="AV64" i="63" s="1"/>
  <c r="AX64" i="63" s="1"/>
  <c r="U64" i="63" s="1"/>
  <c r="W64" i="63" s="1"/>
  <c r="Y64" i="63" s="1"/>
  <c r="AN64" i="60"/>
  <c r="AP64" i="60" s="1"/>
  <c r="AV64" i="60" s="1"/>
  <c r="AX64" i="60" s="1"/>
  <c r="U64" i="60" s="1"/>
  <c r="AN63" i="65"/>
  <c r="AP63" i="65" s="1"/>
  <c r="AN64" i="62"/>
  <c r="AP64" i="62" s="1"/>
  <c r="AV64" i="62" s="1"/>
  <c r="AX64" i="62" s="1"/>
  <c r="U64" i="62" s="1"/>
  <c r="W64" i="62" s="1"/>
  <c r="Y64" i="62" s="1"/>
  <c r="AN64" i="59"/>
  <c r="AP64" i="59" s="1"/>
  <c r="AV64" i="59" s="1"/>
  <c r="AX64" i="59" s="1"/>
  <c r="U64" i="59" s="1"/>
  <c r="W64" i="59" s="1"/>
  <c r="Y64" i="59" s="1"/>
  <c r="AP51" i="68"/>
  <c r="L64" i="5"/>
  <c r="AN52" i="68"/>
  <c r="AP52" i="68" s="1"/>
  <c r="AV52" i="68" s="1"/>
  <c r="AX52" i="68" s="1"/>
  <c r="U52" i="68" s="1"/>
  <c r="W52" i="68" s="1"/>
  <c r="Y52" i="68" s="1"/>
  <c r="AN52" i="67"/>
  <c r="AP52" i="67" s="1"/>
  <c r="AV52" i="67" s="1"/>
  <c r="AN53" i="66"/>
  <c r="AP53" i="66" s="1"/>
  <c r="AV53" i="66" s="1"/>
  <c r="AN65" i="24"/>
  <c r="AV50" i="67"/>
  <c r="W48" i="68"/>
  <c r="AN64" i="58"/>
  <c r="AP64" i="58" s="1"/>
  <c r="AN65" i="57"/>
  <c r="AP65" i="57" s="1"/>
  <c r="K64" i="5"/>
  <c r="AN65" i="74" s="1"/>
  <c r="AP65" i="74" s="1"/>
  <c r="AV65" i="74" s="1"/>
  <c r="AX65" i="74" s="1"/>
  <c r="U65" i="74" s="1"/>
  <c r="W65" i="74" s="1"/>
  <c r="Y65" i="74" s="1"/>
  <c r="AN66" i="31"/>
  <c r="AP66" i="31" s="1"/>
  <c r="I30" i="32"/>
  <c r="I43" i="32"/>
  <c r="Y47" i="48"/>
  <c r="Y58" i="48" s="1"/>
  <c r="M47" i="32" s="1"/>
  <c r="S65" i="23" s="1"/>
  <c r="U65" i="23" s="1"/>
  <c r="W58" i="48"/>
  <c r="K47" i="32" s="1"/>
  <c r="Y48" i="50"/>
  <c r="Y58" i="50" s="1"/>
  <c r="M51" i="32" s="1"/>
  <c r="S67" i="23" s="1"/>
  <c r="U67" i="23" s="1"/>
  <c r="W58" i="50"/>
  <c r="K51" i="32" s="1"/>
  <c r="Y47" i="49"/>
  <c r="Y58" i="49" s="1"/>
  <c r="M48" i="32" s="1"/>
  <c r="S66" i="23" s="1"/>
  <c r="U66" i="23" s="1"/>
  <c r="W58" i="49"/>
  <c r="K48" i="32" s="1"/>
  <c r="Y47" i="47"/>
  <c r="Y58" i="47" s="1"/>
  <c r="M46" i="32" s="1"/>
  <c r="S64" i="23" s="1"/>
  <c r="U64" i="23" s="1"/>
  <c r="W58" i="47"/>
  <c r="K46" i="32" s="1"/>
  <c r="AP58" i="40"/>
  <c r="BD33" i="40"/>
  <c r="BD34" i="40" s="1"/>
  <c r="BD35" i="40" s="1"/>
  <c r="BD36" i="40" s="1"/>
  <c r="BD37" i="40" s="1"/>
  <c r="BD38" i="40" s="1"/>
  <c r="BD39" i="40" s="1"/>
  <c r="BD40" i="40" s="1"/>
  <c r="BD41" i="40" s="1"/>
  <c r="BD42" i="40" s="1"/>
  <c r="BD43" i="40" s="1"/>
  <c r="BD44" i="40" s="1"/>
  <c r="BD45" i="40" s="1"/>
  <c r="BD46" i="40" s="1"/>
  <c r="BD47" i="40" s="1"/>
  <c r="AR33" i="40"/>
  <c r="AR34" i="40" s="1"/>
  <c r="AR35" i="40" s="1"/>
  <c r="AR36" i="40" s="1"/>
  <c r="AR37" i="40" s="1"/>
  <c r="AR38" i="40" s="1"/>
  <c r="AR39" i="40" s="1"/>
  <c r="AR40" i="40" s="1"/>
  <c r="AR41" i="40" s="1"/>
  <c r="AR42" i="40" s="1"/>
  <c r="AR43" i="40" s="1"/>
  <c r="AR44" i="40" s="1"/>
  <c r="AR45" i="40" s="1"/>
  <c r="AR46" i="40" s="1"/>
  <c r="AR47" i="40" s="1"/>
  <c r="AV47" i="40" s="1"/>
  <c r="AH33" i="40"/>
  <c r="AH34" i="40" s="1"/>
  <c r="AH35" i="40" s="1"/>
  <c r="AH36" i="40" s="1"/>
  <c r="AH37" i="40" s="1"/>
  <c r="AH38" i="40" s="1"/>
  <c r="AH39" i="40" s="1"/>
  <c r="AH40" i="40" s="1"/>
  <c r="AH41" i="40" s="1"/>
  <c r="AH42" i="40" s="1"/>
  <c r="AH43" i="40" s="1"/>
  <c r="AH44" i="40" s="1"/>
  <c r="AH45" i="40" s="1"/>
  <c r="AH46" i="40" s="1"/>
  <c r="AH47" i="40" s="1"/>
  <c r="I33" i="40"/>
  <c r="I34" i="40" s="1"/>
  <c r="I35" i="40" s="1"/>
  <c r="I36" i="40" s="1"/>
  <c r="I37" i="40" s="1"/>
  <c r="I38" i="40" s="1"/>
  <c r="I39" i="40" s="1"/>
  <c r="I40" i="40" s="1"/>
  <c r="I41" i="40" s="1"/>
  <c r="I42" i="40" s="1"/>
  <c r="I43" i="40" s="1"/>
  <c r="I44" i="40" s="1"/>
  <c r="I45" i="40" s="1"/>
  <c r="I46" i="40" s="1"/>
  <c r="I47" i="40" s="1"/>
  <c r="S47" i="40" s="1"/>
  <c r="BB33" i="40"/>
  <c r="BF32" i="40"/>
  <c r="AJ33" i="40"/>
  <c r="AJ34" i="40" s="1"/>
  <c r="AJ35" i="40" s="1"/>
  <c r="AJ36" i="40" s="1"/>
  <c r="AJ37" i="40" s="1"/>
  <c r="AJ38" i="40" s="1"/>
  <c r="AJ39" i="40" s="1"/>
  <c r="AJ40" i="40" s="1"/>
  <c r="AJ41" i="40" s="1"/>
  <c r="AJ42" i="40" s="1"/>
  <c r="AJ43" i="40" s="1"/>
  <c r="AJ44" i="40" s="1"/>
  <c r="AJ45" i="40" s="1"/>
  <c r="AJ46" i="40" s="1"/>
  <c r="AJ47" i="40" s="1"/>
  <c r="AF33" i="40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58" i="40" s="1"/>
  <c r="M33" i="40"/>
  <c r="M34" i="40" s="1"/>
  <c r="M35" i="40" s="1"/>
  <c r="M36" i="40" s="1"/>
  <c r="M37" i="40" s="1"/>
  <c r="M38" i="40" s="1"/>
  <c r="M39" i="40" s="1"/>
  <c r="M40" i="40" s="1"/>
  <c r="M41" i="40" s="1"/>
  <c r="M42" i="40" s="1"/>
  <c r="M43" i="40" s="1"/>
  <c r="M44" i="40" s="1"/>
  <c r="M45" i="40" s="1"/>
  <c r="M46" i="40" s="1"/>
  <c r="Y42" i="21"/>
  <c r="Y47" i="21" s="1"/>
  <c r="W47" i="21"/>
  <c r="Y62" i="20"/>
  <c r="Y66" i="20" s="1"/>
  <c r="W66" i="20"/>
  <c r="AT45" i="19"/>
  <c r="AF47" i="19"/>
  <c r="AL46" i="19"/>
  <c r="BB47" i="19"/>
  <c r="BF46" i="19"/>
  <c r="BE74" i="5"/>
  <c r="BD73" i="5"/>
  <c r="BF73" i="5"/>
  <c r="AS60" i="5"/>
  <c r="AR59" i="5"/>
  <c r="C65" i="5" l="1"/>
  <c r="AJ64" i="65"/>
  <c r="BD63" i="65"/>
  <c r="BD64" i="65" s="1"/>
  <c r="AH63" i="65"/>
  <c r="AH64" i="65" s="1"/>
  <c r="AV59" i="75"/>
  <c r="K75" i="65"/>
  <c r="BD58" i="55"/>
  <c r="AH58" i="56"/>
  <c r="BD58" i="51"/>
  <c r="AJ58" i="56"/>
  <c r="BB30" i="55"/>
  <c r="BF29" i="55"/>
  <c r="U33" i="69"/>
  <c r="U64" i="69" s="1"/>
  <c r="I13" i="32" s="1"/>
  <c r="AX64" i="69"/>
  <c r="AF30" i="56"/>
  <c r="AL29" i="56"/>
  <c r="I30" i="54"/>
  <c r="S29" i="54"/>
  <c r="AR32" i="51"/>
  <c r="AV31" i="51"/>
  <c r="U35" i="72"/>
  <c r="AX50" i="72"/>
  <c r="AF32" i="65"/>
  <c r="AL31" i="65"/>
  <c r="AF41" i="65"/>
  <c r="AL40" i="65"/>
  <c r="BB30" i="54"/>
  <c r="BF29" i="54"/>
  <c r="M39" i="65"/>
  <c r="S38" i="65"/>
  <c r="U39" i="73"/>
  <c r="AX52" i="73"/>
  <c r="AR41" i="65"/>
  <c r="AV40" i="65"/>
  <c r="AR30" i="56"/>
  <c r="AV29" i="56"/>
  <c r="I32" i="51"/>
  <c r="S31" i="51"/>
  <c r="AJ58" i="55"/>
  <c r="I30" i="56"/>
  <c r="S29" i="56"/>
  <c r="AH58" i="54"/>
  <c r="S50" i="65"/>
  <c r="M51" i="65"/>
  <c r="AT30" i="65"/>
  <c r="AX30" i="65" s="1"/>
  <c r="U30" i="65" s="1"/>
  <c r="BD58" i="54"/>
  <c r="AT30" i="51"/>
  <c r="AX30" i="51" s="1"/>
  <c r="AH58" i="55"/>
  <c r="BB32" i="65"/>
  <c r="BF31" i="65"/>
  <c r="BD58" i="56"/>
  <c r="AR30" i="54"/>
  <c r="AV29" i="54"/>
  <c r="AL29" i="54"/>
  <c r="AF30" i="54"/>
  <c r="AR30" i="55"/>
  <c r="AV29" i="55"/>
  <c r="AF32" i="51"/>
  <c r="AL31" i="51"/>
  <c r="AJ58" i="54"/>
  <c r="AF30" i="55"/>
  <c r="AL29" i="55"/>
  <c r="AT28" i="56"/>
  <c r="AX28" i="56" s="1"/>
  <c r="BB32" i="51"/>
  <c r="BF31" i="51"/>
  <c r="BB30" i="56"/>
  <c r="BF29" i="56"/>
  <c r="AT28" i="54"/>
  <c r="AX28" i="54" s="1"/>
  <c r="S29" i="55"/>
  <c r="I30" i="55"/>
  <c r="AT28" i="55"/>
  <c r="AR32" i="65"/>
  <c r="AV31" i="65"/>
  <c r="AN54" i="70"/>
  <c r="AP54" i="70" s="1"/>
  <c r="AV54" i="70" s="1"/>
  <c r="AX54" i="70" s="1"/>
  <c r="U54" i="70" s="1"/>
  <c r="W54" i="70" s="1"/>
  <c r="Y54" i="70" s="1"/>
  <c r="AN65" i="61"/>
  <c r="AP65" i="61" s="1"/>
  <c r="AV65" i="61" s="1"/>
  <c r="AX65" i="61" s="1"/>
  <c r="U65" i="61" s="1"/>
  <c r="W65" i="61" s="1"/>
  <c r="Y65" i="61" s="1"/>
  <c r="AN65" i="63"/>
  <c r="AP65" i="63" s="1"/>
  <c r="AV65" i="63" s="1"/>
  <c r="AX65" i="63" s="1"/>
  <c r="U65" i="63" s="1"/>
  <c r="W65" i="63" s="1"/>
  <c r="Y65" i="63" s="1"/>
  <c r="AN65" i="60"/>
  <c r="AP65" i="60" s="1"/>
  <c r="AV65" i="60" s="1"/>
  <c r="AX65" i="60" s="1"/>
  <c r="U65" i="60" s="1"/>
  <c r="AN65" i="62"/>
  <c r="AP65" i="62" s="1"/>
  <c r="AV65" i="62" s="1"/>
  <c r="AX65" i="62" s="1"/>
  <c r="U65" i="62" s="1"/>
  <c r="W65" i="62" s="1"/>
  <c r="Y65" i="62" s="1"/>
  <c r="AN64" i="65"/>
  <c r="AP64" i="65" s="1"/>
  <c r="AN65" i="59"/>
  <c r="AP65" i="59" s="1"/>
  <c r="AV65" i="59" s="1"/>
  <c r="AX65" i="59" s="1"/>
  <c r="U65" i="59" s="1"/>
  <c r="W65" i="59" s="1"/>
  <c r="Y65" i="59" s="1"/>
  <c r="Y48" i="68"/>
  <c r="AP65" i="24"/>
  <c r="L65" i="5"/>
  <c r="AN53" i="68"/>
  <c r="AN53" i="67"/>
  <c r="AP53" i="67" s="1"/>
  <c r="AN54" i="66"/>
  <c r="AN66" i="24"/>
  <c r="AP66" i="24" s="1"/>
  <c r="AV51" i="68"/>
  <c r="AX51" i="68" s="1"/>
  <c r="AN65" i="58"/>
  <c r="AP65" i="58" s="1"/>
  <c r="AN66" i="57"/>
  <c r="AP66" i="57" s="1"/>
  <c r="K65" i="5"/>
  <c r="AN66" i="74" s="1"/>
  <c r="AP66" i="74" s="1"/>
  <c r="AV66" i="74" s="1"/>
  <c r="AX66" i="74" s="1"/>
  <c r="U66" i="74" s="1"/>
  <c r="W66" i="74" s="1"/>
  <c r="Y66" i="74" s="1"/>
  <c r="AN67" i="31"/>
  <c r="AP67" i="31" s="1"/>
  <c r="K30" i="32"/>
  <c r="M43" i="32"/>
  <c r="S75" i="23" s="1"/>
  <c r="U75" i="23" s="1"/>
  <c r="M30" i="32"/>
  <c r="S72" i="23" s="1"/>
  <c r="K43" i="32"/>
  <c r="AL47" i="40"/>
  <c r="AJ58" i="40"/>
  <c r="I58" i="40"/>
  <c r="AR58" i="40"/>
  <c r="M58" i="40"/>
  <c r="BF33" i="40"/>
  <c r="BB34" i="40"/>
  <c r="AH58" i="40"/>
  <c r="BD58" i="40"/>
  <c r="AT46" i="19"/>
  <c r="BB48" i="19"/>
  <c r="BF47" i="19"/>
  <c r="AF48" i="19"/>
  <c r="AL47" i="19"/>
  <c r="AR60" i="5"/>
  <c r="AS61" i="5"/>
  <c r="AV73" i="5"/>
  <c r="BF74" i="5"/>
  <c r="BD74" i="5"/>
  <c r="BE75" i="5"/>
  <c r="C66" i="5" l="1"/>
  <c r="E65" i="65"/>
  <c r="BD65" i="65" s="1"/>
  <c r="E66" i="65"/>
  <c r="AT29" i="55"/>
  <c r="AX29" i="55" s="1"/>
  <c r="U29" i="55" s="1"/>
  <c r="W29" i="55" s="1"/>
  <c r="Y29" i="55" s="1"/>
  <c r="U28" i="56"/>
  <c r="U28" i="54"/>
  <c r="I31" i="55"/>
  <c r="S30" i="55"/>
  <c r="AL32" i="51"/>
  <c r="AF33" i="51"/>
  <c r="AL30" i="54"/>
  <c r="AF31" i="54"/>
  <c r="BB33" i="65"/>
  <c r="BF32" i="65"/>
  <c r="S32" i="51"/>
  <c r="I33" i="51"/>
  <c r="AR42" i="65"/>
  <c r="AV41" i="65"/>
  <c r="AR33" i="65"/>
  <c r="AV32" i="65"/>
  <c r="BB31" i="56"/>
  <c r="BF30" i="56"/>
  <c r="AR31" i="54"/>
  <c r="AV30" i="54"/>
  <c r="M40" i="65"/>
  <c r="S39" i="65"/>
  <c r="AF42" i="65"/>
  <c r="AL41" i="65"/>
  <c r="W35" i="72"/>
  <c r="U50" i="72"/>
  <c r="I55" i="32" s="1"/>
  <c r="I31" i="54"/>
  <c r="S30" i="54"/>
  <c r="BB31" i="55"/>
  <c r="BF30" i="55"/>
  <c r="I31" i="56"/>
  <c r="S30" i="56"/>
  <c r="AR31" i="56"/>
  <c r="AV30" i="56"/>
  <c r="AT29" i="54"/>
  <c r="AX29" i="54" s="1"/>
  <c r="AT31" i="65"/>
  <c r="AX31" i="65" s="1"/>
  <c r="U31" i="65" s="1"/>
  <c r="AT29" i="56"/>
  <c r="AX29" i="56" s="1"/>
  <c r="U29" i="56" s="1"/>
  <c r="W29" i="56" s="1"/>
  <c r="Y29" i="56" s="1"/>
  <c r="AX28" i="55"/>
  <c r="BB33" i="51"/>
  <c r="BF32" i="51"/>
  <c r="AL30" i="55"/>
  <c r="AF31" i="55"/>
  <c r="AT31" i="51"/>
  <c r="AX31" i="51" s="1"/>
  <c r="AR31" i="55"/>
  <c r="AV30" i="55"/>
  <c r="U30" i="51"/>
  <c r="S51" i="65"/>
  <c r="M52" i="65"/>
  <c r="W39" i="73"/>
  <c r="U52" i="73"/>
  <c r="I44" i="32" s="1"/>
  <c r="BB31" i="54"/>
  <c r="BF30" i="54"/>
  <c r="AF33" i="65"/>
  <c r="AL32" i="65"/>
  <c r="AR33" i="51"/>
  <c r="AV32" i="51"/>
  <c r="AF31" i="56"/>
  <c r="AL30" i="56"/>
  <c r="U72" i="23"/>
  <c r="AN55" i="70"/>
  <c r="AP55" i="70" s="1"/>
  <c r="AV55" i="70" s="1"/>
  <c r="AX55" i="70" s="1"/>
  <c r="U55" i="70" s="1"/>
  <c r="W55" i="70" s="1"/>
  <c r="Y55" i="70" s="1"/>
  <c r="AN66" i="63"/>
  <c r="AP66" i="63" s="1"/>
  <c r="AV66" i="63" s="1"/>
  <c r="AX66" i="63" s="1"/>
  <c r="U66" i="63" s="1"/>
  <c r="W66" i="63" s="1"/>
  <c r="Y66" i="63" s="1"/>
  <c r="AN66" i="61"/>
  <c r="AP66" i="61" s="1"/>
  <c r="AV66" i="61" s="1"/>
  <c r="AX66" i="61" s="1"/>
  <c r="U66" i="61" s="1"/>
  <c r="W66" i="61" s="1"/>
  <c r="Y66" i="61" s="1"/>
  <c r="AN66" i="62"/>
  <c r="AP66" i="62" s="1"/>
  <c r="AV66" i="62" s="1"/>
  <c r="AX66" i="62" s="1"/>
  <c r="U66" i="62" s="1"/>
  <c r="W66" i="62" s="1"/>
  <c r="Y66" i="62" s="1"/>
  <c r="AN65" i="65"/>
  <c r="AP65" i="65" s="1"/>
  <c r="AN66" i="60"/>
  <c r="AP66" i="60" s="1"/>
  <c r="AV66" i="60" s="1"/>
  <c r="AX66" i="60" s="1"/>
  <c r="U66" i="60" s="1"/>
  <c r="AN66" i="59"/>
  <c r="AP66" i="59" s="1"/>
  <c r="AV66" i="59" s="1"/>
  <c r="AX66" i="59" s="1"/>
  <c r="U66" i="59" s="1"/>
  <c r="W66" i="59" s="1"/>
  <c r="Y66" i="59" s="1"/>
  <c r="U51" i="68"/>
  <c r="AP54" i="66"/>
  <c r="AV54" i="66" s="1"/>
  <c r="AV53" i="67"/>
  <c r="AP53" i="68"/>
  <c r="L66" i="5"/>
  <c r="AN54" i="68"/>
  <c r="AP54" i="68" s="1"/>
  <c r="AV54" i="68" s="1"/>
  <c r="AX54" i="68" s="1"/>
  <c r="U54" i="68" s="1"/>
  <c r="W54" i="68" s="1"/>
  <c r="Y54" i="68" s="1"/>
  <c r="AN54" i="67"/>
  <c r="AN55" i="66"/>
  <c r="AP55" i="66" s="1"/>
  <c r="AV55" i="66" s="1"/>
  <c r="AN67" i="24"/>
  <c r="AP67" i="24" s="1"/>
  <c r="AN66" i="58"/>
  <c r="AP66" i="58" s="1"/>
  <c r="AN67" i="57"/>
  <c r="AP67" i="57" s="1"/>
  <c r="K66" i="5"/>
  <c r="AN67" i="74" s="1"/>
  <c r="AP67" i="74" s="1"/>
  <c r="AV67" i="74" s="1"/>
  <c r="AN68" i="31"/>
  <c r="AP68" i="31" s="1"/>
  <c r="BB35" i="40"/>
  <c r="BF34" i="40"/>
  <c r="AT47" i="19"/>
  <c r="AL48" i="19"/>
  <c r="AF49" i="19"/>
  <c r="BF48" i="19"/>
  <c r="BB49" i="19"/>
  <c r="BE76" i="5"/>
  <c r="BD75" i="5"/>
  <c r="BF75" i="5"/>
  <c r="AV75" i="5"/>
  <c r="AS62" i="5"/>
  <c r="AR61" i="5"/>
  <c r="AV74" i="5"/>
  <c r="BD66" i="65" l="1"/>
  <c r="C67" i="5"/>
  <c r="AH65" i="65"/>
  <c r="AJ65" i="65"/>
  <c r="U31" i="51"/>
  <c r="W31" i="51" s="1"/>
  <c r="Y31" i="51" s="1"/>
  <c r="U29" i="54"/>
  <c r="W29" i="54" s="1"/>
  <c r="Y29" i="54" s="1"/>
  <c r="AT32" i="65"/>
  <c r="AX32" i="65" s="1"/>
  <c r="U32" i="65" s="1"/>
  <c r="BB32" i="54"/>
  <c r="BF31" i="54"/>
  <c r="AT30" i="55"/>
  <c r="S31" i="56"/>
  <c r="I32" i="56"/>
  <c r="BB32" i="55"/>
  <c r="BF31" i="55"/>
  <c r="AR32" i="54"/>
  <c r="AV31" i="54"/>
  <c r="AL33" i="65"/>
  <c r="AF34" i="65"/>
  <c r="AR32" i="55"/>
  <c r="AV31" i="55"/>
  <c r="AR32" i="56"/>
  <c r="AV31" i="56"/>
  <c r="Y35" i="72"/>
  <c r="Y50" i="72" s="1"/>
  <c r="M55" i="32" s="1"/>
  <c r="S45" i="23" s="1"/>
  <c r="U45" i="23" s="1"/>
  <c r="W50" i="72"/>
  <c r="K55" i="32" s="1"/>
  <c r="S40" i="65"/>
  <c r="M41" i="65"/>
  <c r="AR34" i="65"/>
  <c r="AV33" i="65"/>
  <c r="AR43" i="65"/>
  <c r="AV42" i="65"/>
  <c r="BB34" i="65"/>
  <c r="BF33" i="65"/>
  <c r="AF34" i="51"/>
  <c r="AL33" i="51"/>
  <c r="I32" i="55"/>
  <c r="S31" i="55"/>
  <c r="W28" i="56"/>
  <c r="AT30" i="56"/>
  <c r="AX30" i="56" s="1"/>
  <c r="U30" i="56" s="1"/>
  <c r="W30" i="56" s="1"/>
  <c r="Y30" i="56" s="1"/>
  <c r="AR34" i="51"/>
  <c r="AV33" i="51"/>
  <c r="Y39" i="73"/>
  <c r="Y52" i="73" s="1"/>
  <c r="M44" i="32" s="1"/>
  <c r="S37" i="23" s="1"/>
  <c r="U37" i="23" s="1"/>
  <c r="W52" i="73"/>
  <c r="K44" i="32" s="1"/>
  <c r="U28" i="55"/>
  <c r="BB32" i="56"/>
  <c r="BF31" i="56"/>
  <c r="S33" i="51"/>
  <c r="I34" i="51"/>
  <c r="AT32" i="51"/>
  <c r="AX32" i="51" s="1"/>
  <c r="AX67" i="74"/>
  <c r="U67" i="74" s="1"/>
  <c r="W67" i="74" s="1"/>
  <c r="Y67" i="74" s="1"/>
  <c r="AL31" i="56"/>
  <c r="AF32" i="56"/>
  <c r="AT30" i="54"/>
  <c r="AX30" i="54" s="1"/>
  <c r="U30" i="54" s="1"/>
  <c r="W30" i="54" s="1"/>
  <c r="Y30" i="54" s="1"/>
  <c r="S52" i="65"/>
  <c r="M53" i="65"/>
  <c r="W30" i="51"/>
  <c r="AL31" i="55"/>
  <c r="AF32" i="55"/>
  <c r="BB34" i="51"/>
  <c r="BF33" i="51"/>
  <c r="S31" i="54"/>
  <c r="I32" i="54"/>
  <c r="AF43" i="65"/>
  <c r="AL42" i="65"/>
  <c r="AL31" i="54"/>
  <c r="AF32" i="54"/>
  <c r="W28" i="54"/>
  <c r="AN56" i="70"/>
  <c r="AP56" i="70" s="1"/>
  <c r="AV56" i="70" s="1"/>
  <c r="AX56" i="70" s="1"/>
  <c r="U56" i="70" s="1"/>
  <c r="W56" i="70" s="1"/>
  <c r="Y56" i="70" s="1"/>
  <c r="AN67" i="63"/>
  <c r="AP67" i="63" s="1"/>
  <c r="AV67" i="63" s="1"/>
  <c r="AX67" i="63" s="1"/>
  <c r="U67" i="63" s="1"/>
  <c r="W67" i="63" s="1"/>
  <c r="Y67" i="63" s="1"/>
  <c r="AN67" i="61"/>
  <c r="AP67" i="61" s="1"/>
  <c r="AV67" i="61" s="1"/>
  <c r="AX67" i="61" s="1"/>
  <c r="U67" i="61" s="1"/>
  <c r="W67" i="61" s="1"/>
  <c r="Y67" i="61" s="1"/>
  <c r="AN67" i="60"/>
  <c r="AP67" i="60" s="1"/>
  <c r="AV67" i="60" s="1"/>
  <c r="AX67" i="60" s="1"/>
  <c r="U67" i="60" s="1"/>
  <c r="AN66" i="65"/>
  <c r="AP66" i="65" s="1"/>
  <c r="AN67" i="62"/>
  <c r="AP67" i="62" s="1"/>
  <c r="AV67" i="62" s="1"/>
  <c r="AX67" i="62" s="1"/>
  <c r="U67" i="62" s="1"/>
  <c r="W67" i="62" s="1"/>
  <c r="Y67" i="62" s="1"/>
  <c r="AN67" i="59"/>
  <c r="AP67" i="59" s="1"/>
  <c r="AV67" i="59" s="1"/>
  <c r="AX67" i="59" s="1"/>
  <c r="U67" i="59" s="1"/>
  <c r="W67" i="59" s="1"/>
  <c r="Y67" i="59" s="1"/>
  <c r="AP54" i="67"/>
  <c r="AV53" i="68"/>
  <c r="AX53" i="68" s="1"/>
  <c r="L67" i="5"/>
  <c r="AN55" i="68"/>
  <c r="AP55" i="68" s="1"/>
  <c r="AV55" i="68" s="1"/>
  <c r="AX55" i="68" s="1"/>
  <c r="U55" i="68" s="1"/>
  <c r="W55" i="68" s="1"/>
  <c r="Y55" i="68" s="1"/>
  <c r="AN55" i="67"/>
  <c r="AP55" i="67" s="1"/>
  <c r="AV55" i="67" s="1"/>
  <c r="AN56" i="66"/>
  <c r="AP56" i="66" s="1"/>
  <c r="AV56" i="66" s="1"/>
  <c r="AN68" i="24"/>
  <c r="AP68" i="24" s="1"/>
  <c r="W51" i="68"/>
  <c r="AN67" i="58"/>
  <c r="AP67" i="58" s="1"/>
  <c r="AN68" i="57"/>
  <c r="AP68" i="57" s="1"/>
  <c r="K67" i="5"/>
  <c r="AN68" i="74" s="1"/>
  <c r="AN69" i="31"/>
  <c r="AP69" i="31" s="1"/>
  <c r="BB36" i="40"/>
  <c r="BF35" i="40"/>
  <c r="AL49" i="19"/>
  <c r="AF50" i="19"/>
  <c r="BF49" i="19"/>
  <c r="BB50" i="19"/>
  <c r="AT48" i="19"/>
  <c r="BF76" i="5"/>
  <c r="BD76" i="5"/>
  <c r="BE77" i="5"/>
  <c r="AR62" i="5"/>
  <c r="AS63" i="5"/>
  <c r="AJ66" i="65" l="1"/>
  <c r="AH66" i="65"/>
  <c r="C68" i="5"/>
  <c r="E67" i="65"/>
  <c r="BD67" i="65" s="1"/>
  <c r="E68" i="65"/>
  <c r="AT31" i="55"/>
  <c r="AX31" i="55" s="1"/>
  <c r="U31" i="55" s="1"/>
  <c r="W31" i="55" s="1"/>
  <c r="Y31" i="55" s="1"/>
  <c r="AT31" i="56"/>
  <c r="AX31" i="56" s="1"/>
  <c r="U31" i="56" s="1"/>
  <c r="W31" i="56" s="1"/>
  <c r="Y31" i="56" s="1"/>
  <c r="U32" i="51"/>
  <c r="AF44" i="65"/>
  <c r="AL43" i="65"/>
  <c r="BB33" i="56"/>
  <c r="BF32" i="56"/>
  <c r="AR35" i="51"/>
  <c r="AV34" i="51"/>
  <c r="AL34" i="51"/>
  <c r="AF35" i="51"/>
  <c r="AR44" i="65"/>
  <c r="AV43" i="65"/>
  <c r="BB33" i="55"/>
  <c r="BF32" i="55"/>
  <c r="AF33" i="54"/>
  <c r="AL32" i="54"/>
  <c r="I33" i="54"/>
  <c r="S32" i="54"/>
  <c r="BB35" i="51"/>
  <c r="BF34" i="51"/>
  <c r="Y30" i="51"/>
  <c r="S34" i="51"/>
  <c r="I35" i="51"/>
  <c r="W28" i="55"/>
  <c r="AR33" i="55"/>
  <c r="AV32" i="55"/>
  <c r="S32" i="56"/>
  <c r="I33" i="56"/>
  <c r="AX30" i="55"/>
  <c r="Y28" i="54"/>
  <c r="AF33" i="55"/>
  <c r="AL32" i="55"/>
  <c r="S53" i="65"/>
  <c r="M54" i="65"/>
  <c r="I33" i="55"/>
  <c r="S32" i="55"/>
  <c r="BB35" i="65"/>
  <c r="BF34" i="65"/>
  <c r="AR35" i="65"/>
  <c r="AV34" i="65"/>
  <c r="AR33" i="56"/>
  <c r="AV32" i="56"/>
  <c r="AF35" i="65"/>
  <c r="AL34" i="65"/>
  <c r="AR33" i="54"/>
  <c r="AV32" i="54"/>
  <c r="AT31" i="54"/>
  <c r="AX31" i="54" s="1"/>
  <c r="U31" i="54" s="1"/>
  <c r="W31" i="54" s="1"/>
  <c r="Y31" i="54" s="1"/>
  <c r="AF33" i="56"/>
  <c r="AL32" i="56"/>
  <c r="Y28" i="56"/>
  <c r="AT33" i="51"/>
  <c r="AX33" i="51" s="1"/>
  <c r="U33" i="51" s="1"/>
  <c r="W33" i="51" s="1"/>
  <c r="Y33" i="51" s="1"/>
  <c r="S41" i="65"/>
  <c r="M42" i="65"/>
  <c r="AT33" i="65"/>
  <c r="BB33" i="54"/>
  <c r="BF32" i="54"/>
  <c r="AP68" i="74"/>
  <c r="AN57" i="70"/>
  <c r="AN68" i="61"/>
  <c r="AN68" i="63"/>
  <c r="AN68" i="60"/>
  <c r="AN68" i="62"/>
  <c r="AN67" i="65"/>
  <c r="AP67" i="65" s="1"/>
  <c r="AN68" i="59"/>
  <c r="Y51" i="68"/>
  <c r="U53" i="68"/>
  <c r="L68" i="5"/>
  <c r="AN56" i="68"/>
  <c r="AP56" i="68" s="1"/>
  <c r="AV56" i="68" s="1"/>
  <c r="AX56" i="68" s="1"/>
  <c r="U56" i="68" s="1"/>
  <c r="W56" i="68" s="1"/>
  <c r="Y56" i="68" s="1"/>
  <c r="AN56" i="67"/>
  <c r="AP56" i="67" s="1"/>
  <c r="AV56" i="67" s="1"/>
  <c r="AN57" i="66"/>
  <c r="AN69" i="24"/>
  <c r="AV54" i="67"/>
  <c r="AN68" i="58"/>
  <c r="AN69" i="57"/>
  <c r="K68" i="5"/>
  <c r="AN70" i="31"/>
  <c r="BF36" i="40"/>
  <c r="BB37" i="40"/>
  <c r="BF50" i="19"/>
  <c r="BB51" i="19"/>
  <c r="AF51" i="19"/>
  <c r="AL50" i="19"/>
  <c r="AT49" i="19"/>
  <c r="AS64" i="5"/>
  <c r="AR63" i="5"/>
  <c r="AV76" i="5"/>
  <c r="BE78" i="5"/>
  <c r="BD77" i="5"/>
  <c r="BF77" i="5"/>
  <c r="AV77" i="5"/>
  <c r="BD68" i="65" l="1"/>
  <c r="BD75" i="65"/>
  <c r="C69" i="5"/>
  <c r="AH67" i="65"/>
  <c r="AJ67" i="65"/>
  <c r="AT32" i="56"/>
  <c r="AX32" i="56" s="1"/>
  <c r="S54" i="65"/>
  <c r="M55" i="65"/>
  <c r="U30" i="55"/>
  <c r="S33" i="54"/>
  <c r="I34" i="54"/>
  <c r="AR45" i="65"/>
  <c r="AV44" i="65"/>
  <c r="AF45" i="65"/>
  <c r="AL44" i="65"/>
  <c r="W32" i="51"/>
  <c r="AR34" i="54"/>
  <c r="AV33" i="54"/>
  <c r="AR34" i="56"/>
  <c r="AV33" i="56"/>
  <c r="BB36" i="65"/>
  <c r="BF35" i="65"/>
  <c r="I34" i="56"/>
  <c r="S33" i="56"/>
  <c r="Y28" i="55"/>
  <c r="BB36" i="51"/>
  <c r="BF35" i="51"/>
  <c r="AT32" i="54"/>
  <c r="AT34" i="65"/>
  <c r="AX34" i="65" s="1"/>
  <c r="U34" i="65" s="1"/>
  <c r="AT32" i="55"/>
  <c r="AR34" i="55"/>
  <c r="AV33" i="55"/>
  <c r="BB34" i="55"/>
  <c r="BF33" i="55"/>
  <c r="AL35" i="51"/>
  <c r="AF36" i="51"/>
  <c r="BB34" i="56"/>
  <c r="BF33" i="56"/>
  <c r="BB34" i="54"/>
  <c r="BF33" i="54"/>
  <c r="S42" i="65"/>
  <c r="M43" i="65"/>
  <c r="AL33" i="56"/>
  <c r="AF34" i="56"/>
  <c r="AL35" i="65"/>
  <c r="AF36" i="65"/>
  <c r="AR36" i="65"/>
  <c r="AV35" i="65"/>
  <c r="I34" i="55"/>
  <c r="S33" i="55"/>
  <c r="AL33" i="55"/>
  <c r="AF34" i="55"/>
  <c r="AX33" i="65"/>
  <c r="U33" i="65" s="1"/>
  <c r="I36" i="51"/>
  <c r="S35" i="51"/>
  <c r="AL33" i="54"/>
  <c r="AF34" i="54"/>
  <c r="AT34" i="51"/>
  <c r="AR36" i="51"/>
  <c r="AV35" i="51"/>
  <c r="AV68" i="74"/>
  <c r="AP68" i="60"/>
  <c r="AP68" i="59"/>
  <c r="AP68" i="63"/>
  <c r="K69" i="5"/>
  <c r="AN68" i="65"/>
  <c r="AP68" i="61"/>
  <c r="AP68" i="62"/>
  <c r="AP57" i="70"/>
  <c r="AN68" i="70"/>
  <c r="W53" i="68"/>
  <c r="AP69" i="24"/>
  <c r="AN71" i="24"/>
  <c r="L69" i="5"/>
  <c r="AN57" i="68"/>
  <c r="AN57" i="67"/>
  <c r="AP57" i="66"/>
  <c r="AN59" i="66"/>
  <c r="AP69" i="57"/>
  <c r="AP68" i="58"/>
  <c r="AP70" i="31"/>
  <c r="BB38" i="40"/>
  <c r="BF37" i="40"/>
  <c r="AT50" i="19"/>
  <c r="AF52" i="19"/>
  <c r="AF53" i="19" s="1"/>
  <c r="AL51" i="19"/>
  <c r="BB52" i="19"/>
  <c r="BB53" i="19" s="1"/>
  <c r="BF51" i="19"/>
  <c r="AR64" i="5"/>
  <c r="AS65" i="5"/>
  <c r="BF78" i="5"/>
  <c r="BE79" i="5"/>
  <c r="BD78" i="5"/>
  <c r="AJ68" i="65" l="1"/>
  <c r="AJ75" i="65"/>
  <c r="AH68" i="65"/>
  <c r="AH75" i="65"/>
  <c r="C70" i="5"/>
  <c r="AT35" i="65"/>
  <c r="AX35" i="65" s="1"/>
  <c r="U35" i="65" s="1"/>
  <c r="AT35" i="51"/>
  <c r="AX35" i="51" s="1"/>
  <c r="U35" i="51" s="1"/>
  <c r="W35" i="51" s="1"/>
  <c r="Y35" i="51" s="1"/>
  <c r="AF35" i="55"/>
  <c r="AL34" i="55"/>
  <c r="S43" i="65"/>
  <c r="M44" i="65"/>
  <c r="BB35" i="54"/>
  <c r="BF34" i="54"/>
  <c r="BB35" i="56"/>
  <c r="BF34" i="56"/>
  <c r="I35" i="56"/>
  <c r="S34" i="56"/>
  <c r="AR35" i="56"/>
  <c r="AV34" i="56"/>
  <c r="AF46" i="65"/>
  <c r="AL45" i="65"/>
  <c r="I37" i="51"/>
  <c r="S36" i="51"/>
  <c r="AT33" i="55"/>
  <c r="AX33" i="55" s="1"/>
  <c r="U33" i="55" s="1"/>
  <c r="W33" i="55" s="1"/>
  <c r="Y33" i="55" s="1"/>
  <c r="AR37" i="65"/>
  <c r="AV37" i="65" s="1"/>
  <c r="AV36" i="65"/>
  <c r="AX34" i="51"/>
  <c r="U34" i="51" s="1"/>
  <c r="AR35" i="55"/>
  <c r="AV34" i="55"/>
  <c r="Y32" i="51"/>
  <c r="AX32" i="54"/>
  <c r="AR37" i="51"/>
  <c r="AV36" i="51"/>
  <c r="AF35" i="54"/>
  <c r="AL34" i="54"/>
  <c r="AF35" i="56"/>
  <c r="AL34" i="56"/>
  <c r="AL36" i="51"/>
  <c r="AF37" i="51"/>
  <c r="BB35" i="55"/>
  <c r="BF34" i="55"/>
  <c r="AX32" i="55"/>
  <c r="U32" i="56"/>
  <c r="BB37" i="65"/>
  <c r="BF36" i="65"/>
  <c r="AR35" i="54"/>
  <c r="AV34" i="54"/>
  <c r="AR46" i="65"/>
  <c r="AV45" i="65"/>
  <c r="W30" i="55"/>
  <c r="I35" i="55"/>
  <c r="S34" i="55"/>
  <c r="AF37" i="65"/>
  <c r="AL37" i="65" s="1"/>
  <c r="AL36" i="65"/>
  <c r="AT33" i="56"/>
  <c r="AT33" i="54"/>
  <c r="AX33" i="54" s="1"/>
  <c r="U33" i="54" s="1"/>
  <c r="W33" i="54" s="1"/>
  <c r="Y33" i="54" s="1"/>
  <c r="BB37" i="51"/>
  <c r="BF36" i="51"/>
  <c r="I35" i="54"/>
  <c r="S34" i="54"/>
  <c r="S55" i="65"/>
  <c r="M56" i="65"/>
  <c r="AX68" i="74"/>
  <c r="AP68" i="65"/>
  <c r="AN75" i="65"/>
  <c r="AV68" i="62"/>
  <c r="AV68" i="59"/>
  <c r="AV57" i="70"/>
  <c r="AP68" i="70"/>
  <c r="AV68" i="61"/>
  <c r="AV68" i="63"/>
  <c r="AV68" i="60"/>
  <c r="AP57" i="67"/>
  <c r="AN59" i="67"/>
  <c r="AP57" i="68"/>
  <c r="AN59" i="68"/>
  <c r="AV57" i="66"/>
  <c r="AV59" i="66" s="1"/>
  <c r="AP59" i="66"/>
  <c r="Y53" i="68"/>
  <c r="BB39" i="40"/>
  <c r="BF38" i="40"/>
  <c r="BF53" i="19"/>
  <c r="BB54" i="19"/>
  <c r="AL53" i="19"/>
  <c r="AF54" i="19"/>
  <c r="AT51" i="19"/>
  <c r="AL52" i="19"/>
  <c r="BF52" i="19"/>
  <c r="AV78" i="5"/>
  <c r="AS66" i="5"/>
  <c r="AR65" i="5"/>
  <c r="BE80" i="5"/>
  <c r="BD79" i="5"/>
  <c r="AV79" i="5"/>
  <c r="BF79" i="5"/>
  <c r="C71" i="5" l="1"/>
  <c r="AT34" i="56"/>
  <c r="AX34" i="56" s="1"/>
  <c r="U34" i="56" s="1"/>
  <c r="W34" i="56" s="1"/>
  <c r="Y34" i="56" s="1"/>
  <c r="AT36" i="65"/>
  <c r="AX36" i="65" s="1"/>
  <c r="U36" i="65" s="1"/>
  <c r="W32" i="56"/>
  <c r="BB36" i="55"/>
  <c r="BF35" i="55"/>
  <c r="AL35" i="54"/>
  <c r="AF36" i="54"/>
  <c r="U32" i="54"/>
  <c r="W34" i="51"/>
  <c r="AF47" i="65"/>
  <c r="AL46" i="65"/>
  <c r="S35" i="56"/>
  <c r="I36" i="56"/>
  <c r="AT34" i="54"/>
  <c r="AX34" i="54" s="1"/>
  <c r="U34" i="54" s="1"/>
  <c r="W34" i="54" s="1"/>
  <c r="Y34" i="54" s="1"/>
  <c r="AT34" i="55"/>
  <c r="BB38" i="51"/>
  <c r="BF37" i="51"/>
  <c r="AX33" i="56"/>
  <c r="S35" i="55"/>
  <c r="I36" i="55"/>
  <c r="AR47" i="65"/>
  <c r="AV46" i="65"/>
  <c r="BB38" i="65"/>
  <c r="BF37" i="65"/>
  <c r="AT37" i="65" s="1"/>
  <c r="AX37" i="65" s="1"/>
  <c r="U37" i="65" s="1"/>
  <c r="AF38" i="51"/>
  <c r="AL37" i="51"/>
  <c r="BB36" i="54"/>
  <c r="BF35" i="54"/>
  <c r="AL35" i="55"/>
  <c r="AF36" i="55"/>
  <c r="I36" i="54"/>
  <c r="S35" i="54"/>
  <c r="U32" i="55"/>
  <c r="AT36" i="51"/>
  <c r="AX36" i="51" s="1"/>
  <c r="U36" i="51" s="1"/>
  <c r="W36" i="51" s="1"/>
  <c r="Y36" i="51" s="1"/>
  <c r="AL35" i="56"/>
  <c r="AF36" i="56"/>
  <c r="I38" i="51"/>
  <c r="S37" i="51"/>
  <c r="AR36" i="56"/>
  <c r="AV35" i="56"/>
  <c r="S44" i="65"/>
  <c r="M45" i="65"/>
  <c r="S56" i="65"/>
  <c r="M57" i="65"/>
  <c r="Y30" i="55"/>
  <c r="AR36" i="54"/>
  <c r="AV35" i="54"/>
  <c r="AR38" i="51"/>
  <c r="AV37" i="51"/>
  <c r="AR36" i="55"/>
  <c r="AV35" i="55"/>
  <c r="BB36" i="56"/>
  <c r="BF35" i="56"/>
  <c r="U68" i="74"/>
  <c r="AX68" i="63"/>
  <c r="AX57" i="70"/>
  <c r="AV68" i="70"/>
  <c r="AX68" i="62"/>
  <c r="AX68" i="60"/>
  <c r="AX68" i="61"/>
  <c r="AX68" i="59"/>
  <c r="AP75" i="65"/>
  <c r="AV57" i="68"/>
  <c r="AP59" i="68"/>
  <c r="AV57" i="67"/>
  <c r="AV59" i="67" s="1"/>
  <c r="AP59" i="67"/>
  <c r="AT53" i="19"/>
  <c r="AX53" i="19" s="1"/>
  <c r="U53" i="19" s="1"/>
  <c r="W53" i="19" s="1"/>
  <c r="Y53" i="19" s="1"/>
  <c r="BF39" i="40"/>
  <c r="BB40" i="40"/>
  <c r="AF55" i="19"/>
  <c r="AL54" i="19"/>
  <c r="BF54" i="19"/>
  <c r="BB55" i="19"/>
  <c r="AT52" i="19"/>
  <c r="BE81" i="5"/>
  <c r="BD80" i="5"/>
  <c r="AV80" i="5"/>
  <c r="BF80" i="5"/>
  <c r="AS67" i="5"/>
  <c r="AR66" i="5"/>
  <c r="AT37" i="51" l="1"/>
  <c r="AX37" i="51" s="1"/>
  <c r="U37" i="51" s="1"/>
  <c r="W37" i="51" s="1"/>
  <c r="Y37" i="51" s="1"/>
  <c r="AR37" i="55"/>
  <c r="AV36" i="55"/>
  <c r="I39" i="51"/>
  <c r="S38" i="51"/>
  <c r="AT35" i="56"/>
  <c r="AX35" i="56" s="1"/>
  <c r="U35" i="56" s="1"/>
  <c r="W35" i="56" s="1"/>
  <c r="Y35" i="56" s="1"/>
  <c r="S36" i="54"/>
  <c r="I37" i="54"/>
  <c r="BB37" i="54"/>
  <c r="BF36" i="54"/>
  <c r="S36" i="55"/>
  <c r="I37" i="55"/>
  <c r="S36" i="56"/>
  <c r="I37" i="56"/>
  <c r="AL36" i="54"/>
  <c r="AF37" i="54"/>
  <c r="BB37" i="55"/>
  <c r="BF36" i="55"/>
  <c r="AR37" i="54"/>
  <c r="AV36" i="54"/>
  <c r="S57" i="65"/>
  <c r="M58" i="65"/>
  <c r="AF37" i="55"/>
  <c r="AL36" i="55"/>
  <c r="BB39" i="65"/>
  <c r="BF38" i="65"/>
  <c r="AT38" i="65" s="1"/>
  <c r="AX38" i="65" s="1"/>
  <c r="U38" i="65" s="1"/>
  <c r="W38" i="65" s="1"/>
  <c r="Y38" i="65" s="1"/>
  <c r="BB39" i="51"/>
  <c r="BF38" i="51"/>
  <c r="Y34" i="51"/>
  <c r="BB37" i="56"/>
  <c r="BF36" i="56"/>
  <c r="AR39" i="51"/>
  <c r="AV38" i="51"/>
  <c r="AR37" i="56"/>
  <c r="AV36" i="56"/>
  <c r="AT35" i="55"/>
  <c r="AX35" i="55" s="1"/>
  <c r="U35" i="55" s="1"/>
  <c r="W35" i="55" s="1"/>
  <c r="Y35" i="55" s="1"/>
  <c r="AX34" i="55"/>
  <c r="Y32" i="56"/>
  <c r="S45" i="65"/>
  <c r="M46" i="65"/>
  <c r="S46" i="65" s="1"/>
  <c r="AL36" i="56"/>
  <c r="AF37" i="56"/>
  <c r="W32" i="55"/>
  <c r="AT35" i="54"/>
  <c r="AX35" i="54" s="1"/>
  <c r="U35" i="54" s="1"/>
  <c r="AF39" i="51"/>
  <c r="AL38" i="51"/>
  <c r="AR48" i="65"/>
  <c r="AV47" i="65"/>
  <c r="U33" i="56"/>
  <c r="AF48" i="65"/>
  <c r="AL47" i="65"/>
  <c r="W32" i="54"/>
  <c r="W68" i="74"/>
  <c r="U68" i="59"/>
  <c r="U68" i="60"/>
  <c r="U57" i="70"/>
  <c r="AX68" i="70"/>
  <c r="U68" i="61"/>
  <c r="U68" i="62"/>
  <c r="U68" i="63"/>
  <c r="AV59" i="68"/>
  <c r="AX57" i="68"/>
  <c r="BB41" i="40"/>
  <c r="BF40" i="40"/>
  <c r="AT54" i="19"/>
  <c r="AX54" i="19" s="1"/>
  <c r="U54" i="19" s="1"/>
  <c r="W54" i="19" s="1"/>
  <c r="Y54" i="19" s="1"/>
  <c r="BF55" i="19"/>
  <c r="BB56" i="19"/>
  <c r="AF56" i="19"/>
  <c r="AL55" i="19"/>
  <c r="BD81" i="5"/>
  <c r="AV81" i="5"/>
  <c r="BE82" i="5"/>
  <c r="BF81" i="5"/>
  <c r="AS68" i="5"/>
  <c r="AR67" i="5"/>
  <c r="AT38" i="51" l="1"/>
  <c r="AX38" i="51" s="1"/>
  <c r="U38" i="51" s="1"/>
  <c r="W38" i="51" s="1"/>
  <c r="AT36" i="54"/>
  <c r="AX36" i="54" s="1"/>
  <c r="U36" i="54" s="1"/>
  <c r="W36" i="54" s="1"/>
  <c r="Y36" i="54" s="1"/>
  <c r="W35" i="54"/>
  <c r="Y35" i="54" s="1"/>
  <c r="AR38" i="56"/>
  <c r="AV37" i="56"/>
  <c r="S58" i="65"/>
  <c r="M59" i="65"/>
  <c r="I40" i="51"/>
  <c r="S39" i="51"/>
  <c r="AF49" i="65"/>
  <c r="AL48" i="65"/>
  <c r="AR49" i="65"/>
  <c r="AV48" i="65"/>
  <c r="AF38" i="56"/>
  <c r="AL37" i="56"/>
  <c r="BB38" i="56"/>
  <c r="BF37" i="56"/>
  <c r="BB40" i="65"/>
  <c r="BF39" i="65"/>
  <c r="AT39" i="65" s="1"/>
  <c r="AX39" i="65" s="1"/>
  <c r="U39" i="65" s="1"/>
  <c r="W39" i="65" s="1"/>
  <c r="Y39" i="65" s="1"/>
  <c r="BB38" i="55"/>
  <c r="BF37" i="55"/>
  <c r="I38" i="56"/>
  <c r="S37" i="56"/>
  <c r="AT36" i="56"/>
  <c r="AX36" i="56" s="1"/>
  <c r="U36" i="56" s="1"/>
  <c r="W36" i="56" s="1"/>
  <c r="Y36" i="56" s="1"/>
  <c r="BB40" i="51"/>
  <c r="BF39" i="51"/>
  <c r="AT36" i="55"/>
  <c r="AL37" i="54"/>
  <c r="AF38" i="54"/>
  <c r="BB38" i="54"/>
  <c r="BF37" i="54"/>
  <c r="Y32" i="54"/>
  <c r="W33" i="56"/>
  <c r="AL39" i="51"/>
  <c r="AF40" i="51"/>
  <c r="Y32" i="55"/>
  <c r="U34" i="55"/>
  <c r="AR40" i="51"/>
  <c r="AV39" i="51"/>
  <c r="AL37" i="55"/>
  <c r="AF38" i="55"/>
  <c r="AR38" i="54"/>
  <c r="AV37" i="54"/>
  <c r="S37" i="55"/>
  <c r="I38" i="55"/>
  <c r="I38" i="54"/>
  <c r="S37" i="54"/>
  <c r="AR38" i="55"/>
  <c r="AV37" i="55"/>
  <c r="Y68" i="74"/>
  <c r="W68" i="62"/>
  <c r="Y68" i="62" s="1"/>
  <c r="W57" i="70"/>
  <c r="U68" i="70"/>
  <c r="I17" i="32" s="1"/>
  <c r="W68" i="63"/>
  <c r="Y68" i="63" s="1"/>
  <c r="W68" i="61"/>
  <c r="Y68" i="61" s="1"/>
  <c r="U57" i="68"/>
  <c r="AX59" i="68"/>
  <c r="BB42" i="40"/>
  <c r="BF41" i="40"/>
  <c r="AT55" i="19"/>
  <c r="AX55" i="19" s="1"/>
  <c r="U55" i="19" s="1"/>
  <c r="W55" i="19" s="1"/>
  <c r="Y55" i="19" s="1"/>
  <c r="BB57" i="19"/>
  <c r="BF56" i="19"/>
  <c r="AL56" i="19"/>
  <c r="AF57" i="19"/>
  <c r="AR68" i="5"/>
  <c r="AS69" i="5"/>
  <c r="BD82" i="5"/>
  <c r="BE83" i="5"/>
  <c r="BF82" i="5"/>
  <c r="AT39" i="51" l="1"/>
  <c r="AX39" i="51" s="1"/>
  <c r="U39" i="51" s="1"/>
  <c r="W39" i="51" s="1"/>
  <c r="Y39" i="51" s="1"/>
  <c r="AT37" i="55"/>
  <c r="AX37" i="55" s="1"/>
  <c r="U37" i="55" s="1"/>
  <c r="W37" i="55" s="1"/>
  <c r="Y37" i="55" s="1"/>
  <c r="AT37" i="54"/>
  <c r="AX37" i="54" s="1"/>
  <c r="U37" i="54" s="1"/>
  <c r="W37" i="54" s="1"/>
  <c r="S38" i="55"/>
  <c r="I39" i="55"/>
  <c r="AF39" i="55"/>
  <c r="AL38" i="55"/>
  <c r="AF41" i="51"/>
  <c r="AL40" i="51"/>
  <c r="Y38" i="51"/>
  <c r="AR39" i="55"/>
  <c r="AV38" i="55"/>
  <c r="W34" i="55"/>
  <c r="BB39" i="54"/>
  <c r="BF38" i="54"/>
  <c r="AX36" i="55"/>
  <c r="BB39" i="55"/>
  <c r="BF38" i="55"/>
  <c r="BB39" i="56"/>
  <c r="BF38" i="56"/>
  <c r="AR50" i="65"/>
  <c r="AV49" i="65"/>
  <c r="AF39" i="54"/>
  <c r="AL38" i="54"/>
  <c r="AT37" i="56"/>
  <c r="AX37" i="56" s="1"/>
  <c r="U37" i="56" s="1"/>
  <c r="S40" i="51"/>
  <c r="I41" i="51"/>
  <c r="AR39" i="56"/>
  <c r="AV38" i="56"/>
  <c r="I39" i="54"/>
  <c r="S38" i="54"/>
  <c r="AR39" i="54"/>
  <c r="AV38" i="54"/>
  <c r="AR41" i="51"/>
  <c r="AV40" i="51"/>
  <c r="Y33" i="56"/>
  <c r="BB41" i="51"/>
  <c r="BF40" i="51"/>
  <c r="S38" i="56"/>
  <c r="I39" i="56"/>
  <c r="BB41" i="65"/>
  <c r="BF40" i="65"/>
  <c r="AT40" i="65" s="1"/>
  <c r="AX40" i="65" s="1"/>
  <c r="AF39" i="56"/>
  <c r="AL38" i="56"/>
  <c r="AF50" i="65"/>
  <c r="AL49" i="65"/>
  <c r="S59" i="65"/>
  <c r="M60" i="65"/>
  <c r="Y57" i="70"/>
  <c r="Y68" i="70" s="1"/>
  <c r="M17" i="32" s="1"/>
  <c r="S16" i="23" s="1"/>
  <c r="U16" i="23" s="1"/>
  <c r="W68" i="70"/>
  <c r="K17" i="32" s="1"/>
  <c r="W57" i="68"/>
  <c r="U59" i="68"/>
  <c r="I54" i="32" s="1"/>
  <c r="BB43" i="40"/>
  <c r="BF42" i="40"/>
  <c r="AT56" i="19"/>
  <c r="AX56" i="19" s="1"/>
  <c r="U56" i="19" s="1"/>
  <c r="W56" i="19" s="1"/>
  <c r="Y56" i="19" s="1"/>
  <c r="AL57" i="19"/>
  <c r="AF58" i="19"/>
  <c r="BB58" i="19"/>
  <c r="BF57" i="19"/>
  <c r="AV82" i="5"/>
  <c r="BF83" i="5"/>
  <c r="AV83" i="5"/>
  <c r="BD83" i="5"/>
  <c r="BE84" i="5"/>
  <c r="AS70" i="5"/>
  <c r="AR69" i="5"/>
  <c r="AT38" i="56" l="1"/>
  <c r="AX38" i="56" s="1"/>
  <c r="U38" i="56" s="1"/>
  <c r="W38" i="56" s="1"/>
  <c r="Y38" i="56" s="1"/>
  <c r="AF40" i="56"/>
  <c r="AL39" i="56"/>
  <c r="AR42" i="51"/>
  <c r="AV41" i="51"/>
  <c r="I40" i="54"/>
  <c r="S39" i="54"/>
  <c r="AR40" i="56"/>
  <c r="AV39" i="56"/>
  <c r="AT38" i="54"/>
  <c r="AX38" i="54" s="1"/>
  <c r="U38" i="54" s="1"/>
  <c r="W38" i="54" s="1"/>
  <c r="Y38" i="54" s="1"/>
  <c r="AT38" i="55"/>
  <c r="AX38" i="55" s="1"/>
  <c r="U38" i="55" s="1"/>
  <c r="W38" i="55" s="1"/>
  <c r="Y38" i="55" s="1"/>
  <c r="U40" i="65"/>
  <c r="S41" i="51"/>
  <c r="I42" i="51"/>
  <c r="AF40" i="54"/>
  <c r="AL39" i="54"/>
  <c r="AR51" i="65"/>
  <c r="AV50" i="65"/>
  <c r="BB40" i="55"/>
  <c r="BF39" i="55"/>
  <c r="BB40" i="54"/>
  <c r="BF39" i="54"/>
  <c r="AL39" i="55"/>
  <c r="AF40" i="55"/>
  <c r="AF51" i="65"/>
  <c r="AL50" i="65"/>
  <c r="BB42" i="65"/>
  <c r="BF41" i="65"/>
  <c r="AT41" i="65" s="1"/>
  <c r="AX41" i="65" s="1"/>
  <c r="U41" i="65" s="1"/>
  <c r="W41" i="65" s="1"/>
  <c r="Y41" i="65" s="1"/>
  <c r="BB42" i="51"/>
  <c r="BF41" i="51"/>
  <c r="AR40" i="54"/>
  <c r="AV39" i="54"/>
  <c r="AR40" i="55"/>
  <c r="AV39" i="55"/>
  <c r="AT40" i="51"/>
  <c r="AX40" i="51" s="1"/>
  <c r="U40" i="51" s="1"/>
  <c r="W40" i="51" s="1"/>
  <c r="Y40" i="51" s="1"/>
  <c r="I40" i="55"/>
  <c r="S39" i="55"/>
  <c r="S60" i="65"/>
  <c r="M61" i="65"/>
  <c r="S39" i="56"/>
  <c r="I40" i="56"/>
  <c r="W37" i="56"/>
  <c r="Y37" i="54"/>
  <c r="BB40" i="56"/>
  <c r="BF39" i="56"/>
  <c r="U36" i="55"/>
  <c r="Y34" i="55"/>
  <c r="AF42" i="51"/>
  <c r="AL41" i="51"/>
  <c r="Y57" i="68"/>
  <c r="Y59" i="68" s="1"/>
  <c r="M54" i="32" s="1"/>
  <c r="S44" i="23" s="1"/>
  <c r="U44" i="23" s="1"/>
  <c r="W59" i="68"/>
  <c r="K54" i="32" s="1"/>
  <c r="BF43" i="40"/>
  <c r="BB44" i="40"/>
  <c r="BF58" i="19"/>
  <c r="BB59" i="19"/>
  <c r="AF59" i="19"/>
  <c r="AL58" i="19"/>
  <c r="AT57" i="19"/>
  <c r="AX57" i="19" s="1"/>
  <c r="U57" i="19" s="1"/>
  <c r="W57" i="19" s="1"/>
  <c r="Y57" i="19" s="1"/>
  <c r="AR70" i="5"/>
  <c r="AS72" i="5"/>
  <c r="BE85" i="5"/>
  <c r="BD84" i="5"/>
  <c r="BF84" i="5"/>
  <c r="AV84" i="5"/>
  <c r="AT41" i="51" l="1"/>
  <c r="S40" i="56"/>
  <c r="I41" i="56"/>
  <c r="AR41" i="55"/>
  <c r="AV40" i="55"/>
  <c r="BB43" i="51"/>
  <c r="BF42" i="51"/>
  <c r="AF52" i="65"/>
  <c r="AL51" i="65"/>
  <c r="BB41" i="54"/>
  <c r="BF40" i="54"/>
  <c r="AR52" i="65"/>
  <c r="AV51" i="65"/>
  <c r="W40" i="65"/>
  <c r="Y40" i="65" s="1"/>
  <c r="AX41" i="51"/>
  <c r="U41" i="51" s="1"/>
  <c r="W41" i="51" s="1"/>
  <c r="Y41" i="51" s="1"/>
  <c r="BB41" i="56"/>
  <c r="BF40" i="56"/>
  <c r="Y37" i="56"/>
  <c r="S40" i="55"/>
  <c r="I41" i="55"/>
  <c r="AL40" i="55"/>
  <c r="AF41" i="55"/>
  <c r="AR41" i="56"/>
  <c r="AV40" i="56"/>
  <c r="AR43" i="51"/>
  <c r="AV42" i="51"/>
  <c r="S61" i="65"/>
  <c r="M62" i="65"/>
  <c r="AR41" i="54"/>
  <c r="AV40" i="54"/>
  <c r="BB43" i="65"/>
  <c r="BF42" i="65"/>
  <c r="AT42" i="65" s="1"/>
  <c r="AX42" i="65" s="1"/>
  <c r="U42" i="65" s="1"/>
  <c r="W42" i="65" s="1"/>
  <c r="Y42" i="65" s="1"/>
  <c r="AT39" i="55"/>
  <c r="AX39" i="55" s="1"/>
  <c r="U39" i="55" s="1"/>
  <c r="W39" i="55" s="1"/>
  <c r="Y39" i="55" s="1"/>
  <c r="BB41" i="55"/>
  <c r="BF40" i="55"/>
  <c r="AF41" i="54"/>
  <c r="AL40" i="54"/>
  <c r="AT39" i="56"/>
  <c r="AX39" i="56" s="1"/>
  <c r="U39" i="56" s="1"/>
  <c r="W39" i="56" s="1"/>
  <c r="Y39" i="56" s="1"/>
  <c r="AL42" i="51"/>
  <c r="AF43" i="51"/>
  <c r="W36" i="55"/>
  <c r="AT39" i="54"/>
  <c r="AX39" i="54" s="1"/>
  <c r="U39" i="54" s="1"/>
  <c r="W39" i="54" s="1"/>
  <c r="I43" i="51"/>
  <c r="S42" i="51"/>
  <c r="I41" i="54"/>
  <c r="S40" i="54"/>
  <c r="AL40" i="56"/>
  <c r="AF41" i="56"/>
  <c r="AT58" i="19"/>
  <c r="AX58" i="19" s="1"/>
  <c r="U58" i="19" s="1"/>
  <c r="W58" i="19" s="1"/>
  <c r="Y58" i="19" s="1"/>
  <c r="BB45" i="40"/>
  <c r="BF44" i="40"/>
  <c r="AF60" i="19"/>
  <c r="AL59" i="19"/>
  <c r="BF59" i="19"/>
  <c r="BB60" i="19"/>
  <c r="AS73" i="5"/>
  <c r="AR72" i="5"/>
  <c r="BD85" i="5"/>
  <c r="BE86" i="5"/>
  <c r="BF85" i="5"/>
  <c r="AV85" i="5"/>
  <c r="AT42" i="51" l="1"/>
  <c r="AX42" i="51" s="1"/>
  <c r="U42" i="51" s="1"/>
  <c r="W42" i="51" s="1"/>
  <c r="Y42" i="51" s="1"/>
  <c r="AT40" i="56"/>
  <c r="AX40" i="56" s="1"/>
  <c r="U40" i="56" s="1"/>
  <c r="W40" i="56" s="1"/>
  <c r="Y40" i="56" s="1"/>
  <c r="AT40" i="55"/>
  <c r="AX40" i="55" s="1"/>
  <c r="U40" i="55" s="1"/>
  <c r="W40" i="55" s="1"/>
  <c r="Y40" i="55" s="1"/>
  <c r="Y39" i="54"/>
  <c r="I44" i="51"/>
  <c r="S43" i="51"/>
  <c r="Y36" i="55"/>
  <c r="AR42" i="54"/>
  <c r="AV41" i="54"/>
  <c r="AR44" i="51"/>
  <c r="AV43" i="51"/>
  <c r="AR53" i="65"/>
  <c r="AV52" i="65"/>
  <c r="AF53" i="65"/>
  <c r="AL52" i="65"/>
  <c r="AR42" i="55"/>
  <c r="AV41" i="55"/>
  <c r="S41" i="54"/>
  <c r="I42" i="54"/>
  <c r="AF44" i="51"/>
  <c r="AL43" i="51"/>
  <c r="AF42" i="54"/>
  <c r="AL41" i="54"/>
  <c r="S62" i="65"/>
  <c r="M63" i="65"/>
  <c r="AT40" i="54"/>
  <c r="AX40" i="54" s="1"/>
  <c r="U40" i="54" s="1"/>
  <c r="W40" i="54" s="1"/>
  <c r="Y40" i="54" s="1"/>
  <c r="AL41" i="56"/>
  <c r="AF42" i="56"/>
  <c r="BB44" i="65"/>
  <c r="BF43" i="65"/>
  <c r="AT43" i="65" s="1"/>
  <c r="AX43" i="65" s="1"/>
  <c r="AR42" i="56"/>
  <c r="AV41" i="56"/>
  <c r="S41" i="55"/>
  <c r="I42" i="55"/>
  <c r="BB42" i="54"/>
  <c r="BF41" i="54"/>
  <c r="BB44" i="51"/>
  <c r="BF43" i="51"/>
  <c r="S41" i="56"/>
  <c r="I42" i="56"/>
  <c r="BB42" i="55"/>
  <c r="BF41" i="55"/>
  <c r="AL41" i="55"/>
  <c r="AF42" i="55"/>
  <c r="BB42" i="56"/>
  <c r="BF41" i="56"/>
  <c r="BB46" i="40"/>
  <c r="BF45" i="40"/>
  <c r="BB61" i="19"/>
  <c r="BF60" i="19"/>
  <c r="AT59" i="19"/>
  <c r="AX59" i="19" s="1"/>
  <c r="U59" i="19" s="1"/>
  <c r="W59" i="19" s="1"/>
  <c r="Y59" i="19" s="1"/>
  <c r="AL60" i="19"/>
  <c r="AF61" i="19"/>
  <c r="BD86" i="5"/>
  <c r="BE87" i="5"/>
  <c r="BF86" i="5"/>
  <c r="AV86" i="5"/>
  <c r="AR73" i="5"/>
  <c r="AS74" i="5"/>
  <c r="AT41" i="56" l="1"/>
  <c r="AX41" i="56" s="1"/>
  <c r="U41" i="56" s="1"/>
  <c r="W41" i="56" s="1"/>
  <c r="Y41" i="56" s="1"/>
  <c r="BB43" i="56"/>
  <c r="BF42" i="56"/>
  <c r="BB43" i="54"/>
  <c r="BF42" i="54"/>
  <c r="AR43" i="56"/>
  <c r="AV42" i="56"/>
  <c r="AF45" i="51"/>
  <c r="AL44" i="51"/>
  <c r="AR43" i="55"/>
  <c r="AV42" i="55"/>
  <c r="AR54" i="65"/>
  <c r="AV53" i="65"/>
  <c r="U43" i="65"/>
  <c r="S42" i="54"/>
  <c r="I43" i="54"/>
  <c r="AR43" i="54"/>
  <c r="AV42" i="54"/>
  <c r="I45" i="51"/>
  <c r="S44" i="51"/>
  <c r="I43" i="55"/>
  <c r="S42" i="55"/>
  <c r="BB43" i="55"/>
  <c r="BF42" i="55"/>
  <c r="BB45" i="65"/>
  <c r="BF44" i="65"/>
  <c r="AT44" i="65" s="1"/>
  <c r="AX44" i="65" s="1"/>
  <c r="U44" i="65" s="1"/>
  <c r="W44" i="65" s="1"/>
  <c r="Y44" i="65" s="1"/>
  <c r="AF43" i="54"/>
  <c r="AL42" i="54"/>
  <c r="AF54" i="65"/>
  <c r="AL53" i="65"/>
  <c r="AF43" i="55"/>
  <c r="AL42" i="55"/>
  <c r="AT41" i="55"/>
  <c r="AX41" i="55" s="1"/>
  <c r="U41" i="55" s="1"/>
  <c r="W41" i="55" s="1"/>
  <c r="Y41" i="55" s="1"/>
  <c r="BB45" i="51"/>
  <c r="BF44" i="51"/>
  <c r="I43" i="56"/>
  <c r="S42" i="56"/>
  <c r="AT41" i="54"/>
  <c r="AX41" i="54" s="1"/>
  <c r="U41" i="54" s="1"/>
  <c r="W41" i="54" s="1"/>
  <c r="Y41" i="54" s="1"/>
  <c r="AF43" i="56"/>
  <c r="AL42" i="56"/>
  <c r="AT42" i="56" s="1"/>
  <c r="S63" i="65"/>
  <c r="M64" i="65"/>
  <c r="AT43" i="51"/>
  <c r="AX43" i="51" s="1"/>
  <c r="U43" i="51" s="1"/>
  <c r="W43" i="51" s="1"/>
  <c r="Y43" i="51" s="1"/>
  <c r="AR45" i="51"/>
  <c r="AV44" i="51"/>
  <c r="AT60" i="19"/>
  <c r="AX60" i="19" s="1"/>
  <c r="U60" i="19" s="1"/>
  <c r="W60" i="19" s="1"/>
  <c r="Y60" i="19" s="1"/>
  <c r="BB47" i="40"/>
  <c r="BF46" i="40"/>
  <c r="AL61" i="19"/>
  <c r="AF62" i="19"/>
  <c r="BF61" i="19"/>
  <c r="BB62" i="19"/>
  <c r="AS75" i="5"/>
  <c r="AR74" i="5"/>
  <c r="BF87" i="5"/>
  <c r="AV87" i="5"/>
  <c r="BE88" i="5"/>
  <c r="BD87" i="5"/>
  <c r="AX42" i="56" l="1"/>
  <c r="U42" i="56" s="1"/>
  <c r="W42" i="56" s="1"/>
  <c r="Y42" i="56" s="1"/>
  <c r="AT42" i="55"/>
  <c r="AX42" i="55" s="1"/>
  <c r="U42" i="55" s="1"/>
  <c r="W42" i="55" s="1"/>
  <c r="Y42" i="55" s="1"/>
  <c r="AT42" i="54"/>
  <c r="AX42" i="54" s="1"/>
  <c r="U42" i="54" s="1"/>
  <c r="W42" i="54" s="1"/>
  <c r="Y42" i="54" s="1"/>
  <c r="AR46" i="51"/>
  <c r="AV45" i="51"/>
  <c r="AF44" i="54"/>
  <c r="AL43" i="54"/>
  <c r="BB44" i="55"/>
  <c r="BF43" i="55"/>
  <c r="S45" i="51"/>
  <c r="I46" i="51"/>
  <c r="AT44" i="51"/>
  <c r="AX44" i="51" s="1"/>
  <c r="U44" i="51" s="1"/>
  <c r="W44" i="51" s="1"/>
  <c r="Y44" i="51" s="1"/>
  <c r="I44" i="56"/>
  <c r="S43" i="56"/>
  <c r="AR55" i="65"/>
  <c r="AV54" i="65"/>
  <c r="AL45" i="51"/>
  <c r="AF46" i="51"/>
  <c r="BB44" i="54"/>
  <c r="BF43" i="54"/>
  <c r="AL43" i="56"/>
  <c r="AF44" i="56"/>
  <c r="AF44" i="55"/>
  <c r="AL43" i="55"/>
  <c r="AF55" i="65"/>
  <c r="AL54" i="65"/>
  <c r="BB46" i="65"/>
  <c r="BF45" i="65"/>
  <c r="AT45" i="65" s="1"/>
  <c r="AX45" i="65" s="1"/>
  <c r="U45" i="65" s="1"/>
  <c r="W45" i="65" s="1"/>
  <c r="Y45" i="65" s="1"/>
  <c r="I44" i="55"/>
  <c r="S43" i="55"/>
  <c r="AR44" i="54"/>
  <c r="AV43" i="54"/>
  <c r="W43" i="65"/>
  <c r="Y43" i="65" s="1"/>
  <c r="S64" i="65"/>
  <c r="M65" i="65"/>
  <c r="BB46" i="51"/>
  <c r="BF45" i="51"/>
  <c r="I44" i="54"/>
  <c r="S43" i="54"/>
  <c r="AR44" i="55"/>
  <c r="AV43" i="55"/>
  <c r="AR44" i="56"/>
  <c r="AV43" i="56"/>
  <c r="BB44" i="56"/>
  <c r="BF43" i="56"/>
  <c r="BF47" i="40"/>
  <c r="BB58" i="40"/>
  <c r="BF62" i="19"/>
  <c r="BF66" i="19" s="1"/>
  <c r="BB66" i="19"/>
  <c r="AL62" i="19"/>
  <c r="AF66" i="19"/>
  <c r="AT61" i="19"/>
  <c r="AX61" i="19" s="1"/>
  <c r="U61" i="19" s="1"/>
  <c r="W61" i="19" s="1"/>
  <c r="Y61" i="19" s="1"/>
  <c r="BE89" i="5"/>
  <c r="BD88" i="5"/>
  <c r="BF88" i="5"/>
  <c r="AS76" i="5"/>
  <c r="AR75" i="5"/>
  <c r="AT43" i="55" l="1"/>
  <c r="AT43" i="54"/>
  <c r="AX43" i="54" s="1"/>
  <c r="U43" i="54" s="1"/>
  <c r="W43" i="54" s="1"/>
  <c r="Y43" i="54" s="1"/>
  <c r="AR45" i="56"/>
  <c r="AV44" i="56"/>
  <c r="I45" i="54"/>
  <c r="S44" i="54"/>
  <c r="AX43" i="55"/>
  <c r="U43" i="55" s="1"/>
  <c r="W43" i="55" s="1"/>
  <c r="Y43" i="55" s="1"/>
  <c r="I45" i="56"/>
  <c r="S44" i="56"/>
  <c r="I47" i="51"/>
  <c r="S46" i="51"/>
  <c r="AR45" i="54"/>
  <c r="AV44" i="54"/>
  <c r="BB47" i="65"/>
  <c r="BF46" i="65"/>
  <c r="AT46" i="65" s="1"/>
  <c r="AX46" i="65" s="1"/>
  <c r="U46" i="65" s="1"/>
  <c r="AL44" i="55"/>
  <c r="AF45" i="55"/>
  <c r="BB45" i="54"/>
  <c r="BF44" i="54"/>
  <c r="AR56" i="65"/>
  <c r="AV55" i="65"/>
  <c r="AL44" i="54"/>
  <c r="AF45" i="54"/>
  <c r="BB45" i="56"/>
  <c r="BF44" i="56"/>
  <c r="AR45" i="55"/>
  <c r="AV44" i="55"/>
  <c r="BB47" i="51"/>
  <c r="BF46" i="51"/>
  <c r="AL44" i="56"/>
  <c r="AF45" i="56"/>
  <c r="AL46" i="51"/>
  <c r="AF47" i="51"/>
  <c r="S65" i="65"/>
  <c r="M66" i="65"/>
  <c r="S44" i="55"/>
  <c r="I45" i="55"/>
  <c r="AF56" i="65"/>
  <c r="AL55" i="65"/>
  <c r="AT43" i="56"/>
  <c r="AX43" i="56" s="1"/>
  <c r="U43" i="56" s="1"/>
  <c r="W43" i="56" s="1"/>
  <c r="Y43" i="56" s="1"/>
  <c r="AT45" i="51"/>
  <c r="AX45" i="51" s="1"/>
  <c r="U45" i="51" s="1"/>
  <c r="W45" i="51" s="1"/>
  <c r="Y45" i="51" s="1"/>
  <c r="BB45" i="55"/>
  <c r="BF44" i="55"/>
  <c r="AR47" i="51"/>
  <c r="AV46" i="51"/>
  <c r="BF58" i="40"/>
  <c r="AT47" i="40"/>
  <c r="AX47" i="40" s="1"/>
  <c r="U47" i="40" s="1"/>
  <c r="AT62" i="19"/>
  <c r="AL66" i="19"/>
  <c r="AS77" i="5"/>
  <c r="AR76" i="5"/>
  <c r="AV88" i="5"/>
  <c r="BE90" i="5"/>
  <c r="BF89" i="5"/>
  <c r="BD89" i="5"/>
  <c r="S66" i="65" l="1"/>
  <c r="M67" i="65"/>
  <c r="AL47" i="51"/>
  <c r="AF58" i="51"/>
  <c r="AF46" i="55"/>
  <c r="AL45" i="55"/>
  <c r="BB46" i="55"/>
  <c r="BF45" i="55"/>
  <c r="AF57" i="65"/>
  <c r="AL56" i="65"/>
  <c r="AT46" i="51"/>
  <c r="AX46" i="51" s="1"/>
  <c r="U46" i="51" s="1"/>
  <c r="W46" i="51" s="1"/>
  <c r="Y46" i="51" s="1"/>
  <c r="BF47" i="51"/>
  <c r="BF58" i="51" s="1"/>
  <c r="BB58" i="51"/>
  <c r="BB46" i="56"/>
  <c r="BF45" i="56"/>
  <c r="AR57" i="65"/>
  <c r="AV56" i="65"/>
  <c r="AT44" i="55"/>
  <c r="AX44" i="55" s="1"/>
  <c r="U44" i="55" s="1"/>
  <c r="W44" i="55" s="1"/>
  <c r="Y44" i="55" s="1"/>
  <c r="AR46" i="54"/>
  <c r="AV45" i="54"/>
  <c r="I46" i="56"/>
  <c r="S45" i="56"/>
  <c r="I46" i="54"/>
  <c r="S45" i="54"/>
  <c r="I46" i="55"/>
  <c r="S45" i="55"/>
  <c r="AL45" i="56"/>
  <c r="AF46" i="56"/>
  <c r="AL45" i="54"/>
  <c r="AF46" i="54"/>
  <c r="AT44" i="54"/>
  <c r="AX44" i="54" s="1"/>
  <c r="U44" i="54" s="1"/>
  <c r="W44" i="54" s="1"/>
  <c r="Y44" i="54" s="1"/>
  <c r="W46" i="65"/>
  <c r="Y46" i="65" s="1"/>
  <c r="AV47" i="51"/>
  <c r="AV58" i="51" s="1"/>
  <c r="AR58" i="51"/>
  <c r="AT44" i="56"/>
  <c r="AX44" i="56" s="1"/>
  <c r="U44" i="56" s="1"/>
  <c r="W44" i="56" s="1"/>
  <c r="Y44" i="56" s="1"/>
  <c r="AR46" i="55"/>
  <c r="AV45" i="55"/>
  <c r="BB46" i="54"/>
  <c r="BF45" i="54"/>
  <c r="BB48" i="65"/>
  <c r="BF47" i="65"/>
  <c r="AT47" i="65" s="1"/>
  <c r="AX47" i="65" s="1"/>
  <c r="U47" i="65" s="1"/>
  <c r="W47" i="65" s="1"/>
  <c r="Y47" i="65" s="1"/>
  <c r="S47" i="51"/>
  <c r="I58" i="51"/>
  <c r="AR46" i="56"/>
  <c r="AV45" i="56"/>
  <c r="W47" i="40"/>
  <c r="AX62" i="19"/>
  <c r="U62" i="19" s="1"/>
  <c r="W62" i="19" s="1"/>
  <c r="Y62" i="19" s="1"/>
  <c r="AT66" i="19"/>
  <c r="BF90" i="5"/>
  <c r="BD90" i="5"/>
  <c r="BE91" i="5"/>
  <c r="AV89" i="5"/>
  <c r="AR77" i="5"/>
  <c r="AS78" i="5"/>
  <c r="AT45" i="56" l="1"/>
  <c r="AX45" i="56" s="1"/>
  <c r="U45" i="56" s="1"/>
  <c r="W45" i="56" s="1"/>
  <c r="Y45" i="56" s="1"/>
  <c r="AT45" i="54"/>
  <c r="AT45" i="55"/>
  <c r="AX45" i="55" s="1"/>
  <c r="U45" i="55" s="1"/>
  <c r="W45" i="55" s="1"/>
  <c r="Y45" i="55" s="1"/>
  <c r="AR47" i="56"/>
  <c r="AV46" i="56"/>
  <c r="BB49" i="65"/>
  <c r="BF48" i="65"/>
  <c r="AT48" i="65" s="1"/>
  <c r="AX48" i="65" s="1"/>
  <c r="U48" i="65" s="1"/>
  <c r="AR47" i="55"/>
  <c r="AV46" i="55"/>
  <c r="S46" i="55"/>
  <c r="I47" i="55"/>
  <c r="BB47" i="56"/>
  <c r="BF46" i="56"/>
  <c r="AF47" i="56"/>
  <c r="AL46" i="56"/>
  <c r="AT47" i="51"/>
  <c r="AL58" i="51"/>
  <c r="AF58" i="65"/>
  <c r="AL57" i="65"/>
  <c r="S58" i="51"/>
  <c r="G52" i="32" s="1"/>
  <c r="BB47" i="54"/>
  <c r="BF46" i="54"/>
  <c r="AX45" i="54"/>
  <c r="U45" i="54" s="1"/>
  <c r="W45" i="54" s="1"/>
  <c r="Y45" i="54" s="1"/>
  <c r="AR58" i="65"/>
  <c r="AV57" i="65"/>
  <c r="AF47" i="55"/>
  <c r="AL46" i="55"/>
  <c r="M68" i="65"/>
  <c r="S67" i="65"/>
  <c r="I47" i="56"/>
  <c r="S46" i="56"/>
  <c r="AL46" i="54"/>
  <c r="AF47" i="54"/>
  <c r="I47" i="54"/>
  <c r="S46" i="54"/>
  <c r="AR47" i="54"/>
  <c r="AV46" i="54"/>
  <c r="BB47" i="55"/>
  <c r="BF46" i="55"/>
  <c r="Y47" i="40"/>
  <c r="AS79" i="5"/>
  <c r="AR78" i="5"/>
  <c r="BF91" i="5"/>
  <c r="AV91" i="5"/>
  <c r="BD91" i="5"/>
  <c r="BE92" i="5"/>
  <c r="AV90" i="5"/>
  <c r="AT46" i="56" l="1"/>
  <c r="AX46" i="56" s="1"/>
  <c r="U46" i="56" s="1"/>
  <c r="AL47" i="54"/>
  <c r="AF58" i="54"/>
  <c r="BF47" i="54"/>
  <c r="BF58" i="54" s="1"/>
  <c r="BB58" i="54"/>
  <c r="AF59" i="65"/>
  <c r="AL58" i="65"/>
  <c r="W46" i="56"/>
  <c r="Y46" i="56" s="1"/>
  <c r="S47" i="55"/>
  <c r="I58" i="55"/>
  <c r="W48" i="65"/>
  <c r="Y48" i="65" s="1"/>
  <c r="AL47" i="56"/>
  <c r="AF58" i="56"/>
  <c r="BB50" i="65"/>
  <c r="BF49" i="65"/>
  <c r="AT49" i="65" s="1"/>
  <c r="AX49" i="65" s="1"/>
  <c r="U49" i="65" s="1"/>
  <c r="W49" i="65" s="1"/>
  <c r="Y49" i="65" s="1"/>
  <c r="AV47" i="54"/>
  <c r="AV58" i="54" s="1"/>
  <c r="AR58" i="54"/>
  <c r="AT46" i="55"/>
  <c r="AX46" i="55" s="1"/>
  <c r="U46" i="55" s="1"/>
  <c r="W46" i="55" s="1"/>
  <c r="Y46" i="55" s="1"/>
  <c r="AX47" i="51"/>
  <c r="AT58" i="51"/>
  <c r="S68" i="65"/>
  <c r="M75" i="65"/>
  <c r="AR59" i="65"/>
  <c r="AV58" i="65"/>
  <c r="BF47" i="55"/>
  <c r="BF58" i="55" s="1"/>
  <c r="BB58" i="55"/>
  <c r="S47" i="54"/>
  <c r="I58" i="54"/>
  <c r="S47" i="56"/>
  <c r="I58" i="56"/>
  <c r="AL47" i="55"/>
  <c r="AF58" i="55"/>
  <c r="AT46" i="54"/>
  <c r="AX46" i="54" s="1"/>
  <c r="U46" i="54" s="1"/>
  <c r="W46" i="54" s="1"/>
  <c r="Y46" i="54" s="1"/>
  <c r="BF47" i="56"/>
  <c r="BF58" i="56" s="1"/>
  <c r="BB58" i="56"/>
  <c r="AV47" i="55"/>
  <c r="AV58" i="55" s="1"/>
  <c r="AR58" i="55"/>
  <c r="AV47" i="56"/>
  <c r="AV58" i="56" s="1"/>
  <c r="AR58" i="56"/>
  <c r="BE93" i="5"/>
  <c r="BD92" i="5"/>
  <c r="BF92" i="5"/>
  <c r="AV92" i="5"/>
  <c r="AR79" i="5"/>
  <c r="AS80" i="5"/>
  <c r="BB51" i="65" l="1"/>
  <c r="BF50" i="65"/>
  <c r="AT50" i="65" s="1"/>
  <c r="AX50" i="65" s="1"/>
  <c r="U50" i="65" s="1"/>
  <c r="W50" i="65" s="1"/>
  <c r="Y50" i="65" s="1"/>
  <c r="S58" i="56"/>
  <c r="G42" i="32" s="1"/>
  <c r="AF60" i="65"/>
  <c r="AL59" i="65"/>
  <c r="AT47" i="56"/>
  <c r="AL58" i="56"/>
  <c r="S58" i="55"/>
  <c r="G41" i="32" s="1"/>
  <c r="AT47" i="54"/>
  <c r="AL58" i="54"/>
  <c r="AT47" i="55"/>
  <c r="AL58" i="55"/>
  <c r="S58" i="54"/>
  <c r="G31" i="32" s="1"/>
  <c r="AR60" i="65"/>
  <c r="AV59" i="65"/>
  <c r="U47" i="51"/>
  <c r="AX58" i="51"/>
  <c r="BF93" i="5"/>
  <c r="AV93" i="5"/>
  <c r="BD93" i="5"/>
  <c r="BE94" i="5"/>
  <c r="AR80" i="5"/>
  <c r="AS81" i="5"/>
  <c r="AR61" i="65" l="1"/>
  <c r="AV60" i="65"/>
  <c r="AX47" i="55"/>
  <c r="AT58" i="55"/>
  <c r="AF61" i="65"/>
  <c r="AL60" i="65"/>
  <c r="U58" i="51"/>
  <c r="I52" i="32" s="1"/>
  <c r="W47" i="51"/>
  <c r="AX47" i="54"/>
  <c r="AT58" i="54"/>
  <c r="AX47" i="56"/>
  <c r="AT58" i="56"/>
  <c r="BB52" i="65"/>
  <c r="BF51" i="65"/>
  <c r="AT51" i="65" s="1"/>
  <c r="AX51" i="65" s="1"/>
  <c r="U51" i="65" s="1"/>
  <c r="W51" i="65" s="1"/>
  <c r="Y51" i="65" s="1"/>
  <c r="AS82" i="5"/>
  <c r="AR81" i="5"/>
  <c r="BE95" i="5"/>
  <c r="BF94" i="5"/>
  <c r="BD94" i="5"/>
  <c r="AV94" i="5"/>
  <c r="U47" i="55" l="1"/>
  <c r="AX58" i="55"/>
  <c r="U47" i="56"/>
  <c r="AX58" i="56"/>
  <c r="BB53" i="65"/>
  <c r="BF52" i="65"/>
  <c r="AT52" i="65" s="1"/>
  <c r="AX52" i="65" s="1"/>
  <c r="U52" i="65" s="1"/>
  <c r="W52" i="65" s="1"/>
  <c r="Y52" i="65" s="1"/>
  <c r="U47" i="54"/>
  <c r="AX58" i="54"/>
  <c r="AF62" i="65"/>
  <c r="AL61" i="65"/>
  <c r="AR62" i="65"/>
  <c r="AV61" i="65"/>
  <c r="Y47" i="51"/>
  <c r="Y58" i="51" s="1"/>
  <c r="M52" i="32" s="1"/>
  <c r="S42" i="23" s="1"/>
  <c r="U42" i="23" s="1"/>
  <c r="W58" i="51"/>
  <c r="K52" i="32" s="1"/>
  <c r="AR82" i="5"/>
  <c r="AS83" i="5"/>
  <c r="BF95" i="5"/>
  <c r="BE96" i="5"/>
  <c r="BD95" i="5"/>
  <c r="AR63" i="65" l="1"/>
  <c r="AV62" i="65"/>
  <c r="U58" i="54"/>
  <c r="I31" i="32" s="1"/>
  <c r="W47" i="54"/>
  <c r="U58" i="56"/>
  <c r="I42" i="32" s="1"/>
  <c r="W47" i="56"/>
  <c r="AF63" i="65"/>
  <c r="AL62" i="65"/>
  <c r="BB54" i="65"/>
  <c r="BF53" i="65"/>
  <c r="AT53" i="65" s="1"/>
  <c r="AX53" i="65" s="1"/>
  <c r="U53" i="65" s="1"/>
  <c r="W53" i="65" s="1"/>
  <c r="Y53" i="65" s="1"/>
  <c r="U58" i="55"/>
  <c r="I41" i="32" s="1"/>
  <c r="W47" i="55"/>
  <c r="BE97" i="5"/>
  <c r="BD96" i="5"/>
  <c r="AV96" i="5"/>
  <c r="BF96" i="5"/>
  <c r="AV95" i="5"/>
  <c r="AR83" i="5"/>
  <c r="AS84" i="5"/>
  <c r="Y47" i="54" l="1"/>
  <c r="Y58" i="54" s="1"/>
  <c r="M31" i="32" s="1"/>
  <c r="S29" i="23" s="1"/>
  <c r="U29" i="23" s="1"/>
  <c r="W58" i="54"/>
  <c r="K31" i="32" s="1"/>
  <c r="AF64" i="65"/>
  <c r="AL63" i="65"/>
  <c r="Y47" i="56"/>
  <c r="Y58" i="56" s="1"/>
  <c r="M42" i="32" s="1"/>
  <c r="S36" i="23" s="1"/>
  <c r="U36" i="23" s="1"/>
  <c r="W58" i="56"/>
  <c r="K42" i="32" s="1"/>
  <c r="Y47" i="55"/>
  <c r="Y58" i="55" s="1"/>
  <c r="M41" i="32" s="1"/>
  <c r="S63" i="23" s="1"/>
  <c r="U63" i="23" s="1"/>
  <c r="U69" i="23" s="1"/>
  <c r="W58" i="55"/>
  <c r="K41" i="32" s="1"/>
  <c r="BB55" i="65"/>
  <c r="BF54" i="65"/>
  <c r="AT54" i="65" s="1"/>
  <c r="AX54" i="65" s="1"/>
  <c r="U54" i="65" s="1"/>
  <c r="W54" i="65" s="1"/>
  <c r="Y54" i="65" s="1"/>
  <c r="AR64" i="65"/>
  <c r="AV63" i="65"/>
  <c r="AS85" i="5"/>
  <c r="AR84" i="5"/>
  <c r="BD97" i="5"/>
  <c r="AV97" i="5"/>
  <c r="BE98" i="5"/>
  <c r="BF97" i="5"/>
  <c r="AF65" i="65" l="1"/>
  <c r="AL64" i="65"/>
  <c r="AR65" i="65"/>
  <c r="AV64" i="65"/>
  <c r="BB56" i="65"/>
  <c r="BF55" i="65"/>
  <c r="AT55" i="65" s="1"/>
  <c r="AX55" i="65" s="1"/>
  <c r="U55" i="65" s="1"/>
  <c r="W55" i="65" s="1"/>
  <c r="Y55" i="65" s="1"/>
  <c r="AV98" i="5"/>
  <c r="BE99" i="5"/>
  <c r="BF98" i="5"/>
  <c r="BD98" i="5"/>
  <c r="AS86" i="5"/>
  <c r="AR85" i="5"/>
  <c r="AR66" i="65" l="1"/>
  <c r="AV65" i="65"/>
  <c r="BB57" i="65"/>
  <c r="BF56" i="65"/>
  <c r="AT56" i="65" s="1"/>
  <c r="AX56" i="65" s="1"/>
  <c r="U56" i="65" s="1"/>
  <c r="W56" i="65" s="1"/>
  <c r="Y56" i="65" s="1"/>
  <c r="AF66" i="65"/>
  <c r="AL65" i="65"/>
  <c r="AS87" i="5"/>
  <c r="AR86" i="5"/>
  <c r="BF99" i="5"/>
  <c r="AV99" i="5"/>
  <c r="BD99" i="5"/>
  <c r="BE100" i="5"/>
  <c r="BB58" i="65" l="1"/>
  <c r="BF57" i="65"/>
  <c r="AT57" i="65" s="1"/>
  <c r="AX57" i="65" s="1"/>
  <c r="U57" i="65" s="1"/>
  <c r="W57" i="65" s="1"/>
  <c r="Y57" i="65" s="1"/>
  <c r="AF67" i="65"/>
  <c r="AL66" i="65"/>
  <c r="AR67" i="65"/>
  <c r="AV66" i="65"/>
  <c r="BE101" i="5"/>
  <c r="BD100" i="5"/>
  <c r="BF100" i="5"/>
  <c r="AR87" i="5"/>
  <c r="AS88" i="5"/>
  <c r="AF68" i="65" l="1"/>
  <c r="AL67" i="65"/>
  <c r="AR68" i="65"/>
  <c r="AV67" i="65"/>
  <c r="BB59" i="65"/>
  <c r="BF58" i="65"/>
  <c r="AT58" i="65" s="1"/>
  <c r="AX58" i="65" s="1"/>
  <c r="U58" i="65" s="1"/>
  <c r="W58" i="65" s="1"/>
  <c r="Y58" i="65" s="1"/>
  <c r="AR88" i="5"/>
  <c r="AS89" i="5"/>
  <c r="AV100" i="5"/>
  <c r="BE102" i="5"/>
  <c r="BF101" i="5"/>
  <c r="BD101" i="5"/>
  <c r="AR75" i="65" l="1"/>
  <c r="AV68" i="65"/>
  <c r="AV75" i="65" s="1"/>
  <c r="BB60" i="65"/>
  <c r="BF59" i="65"/>
  <c r="AT59" i="65" s="1"/>
  <c r="AX59" i="65" s="1"/>
  <c r="U59" i="65" s="1"/>
  <c r="W59" i="65" s="1"/>
  <c r="Y59" i="65" s="1"/>
  <c r="AL68" i="65"/>
  <c r="AF75" i="65"/>
  <c r="AS90" i="5"/>
  <c r="AR89" i="5"/>
  <c r="AV101" i="5"/>
  <c r="BD102" i="5"/>
  <c r="BE103" i="5"/>
  <c r="BF102" i="5"/>
  <c r="AV102" i="5"/>
  <c r="BB61" i="65" l="1"/>
  <c r="BF60" i="65"/>
  <c r="AT60" i="65" s="1"/>
  <c r="AX60" i="65" s="1"/>
  <c r="U60" i="65" s="1"/>
  <c r="W60" i="65" s="1"/>
  <c r="Y60" i="65" s="1"/>
  <c r="AL75" i="65"/>
  <c r="BF103" i="5"/>
  <c r="BE104" i="5"/>
  <c r="BD103" i="5"/>
  <c r="AR90" i="5"/>
  <c r="AS91" i="5"/>
  <c r="BB62" i="65" l="1"/>
  <c r="BF61" i="65"/>
  <c r="AT61" i="65" s="1"/>
  <c r="AX61" i="65" s="1"/>
  <c r="U61" i="65" s="1"/>
  <c r="W61" i="65" s="1"/>
  <c r="Y61" i="65" s="1"/>
  <c r="AS92" i="5"/>
  <c r="AR91" i="5"/>
  <c r="BE105" i="5"/>
  <c r="BD104" i="5"/>
  <c r="BF104" i="5"/>
  <c r="AV104" i="5"/>
  <c r="AV103" i="5"/>
  <c r="BB63" i="65" l="1"/>
  <c r="BF62" i="65"/>
  <c r="AT62" i="65" s="1"/>
  <c r="AX62" i="65" s="1"/>
  <c r="U62" i="65" s="1"/>
  <c r="W62" i="65" s="1"/>
  <c r="Y62" i="65" s="1"/>
  <c r="BE106" i="5"/>
  <c r="BF105" i="5"/>
  <c r="BD105" i="5"/>
  <c r="AS93" i="5"/>
  <c r="AR92" i="5"/>
  <c r="BB64" i="65" l="1"/>
  <c r="BF63" i="65"/>
  <c r="AT63" i="65" s="1"/>
  <c r="AX63" i="65" s="1"/>
  <c r="U63" i="65" s="1"/>
  <c r="W63" i="65" s="1"/>
  <c r="Y63" i="65" s="1"/>
  <c r="BE107" i="5"/>
  <c r="BD106" i="5"/>
  <c r="BF106" i="5"/>
  <c r="AV105" i="5"/>
  <c r="AS94" i="5"/>
  <c r="AR93" i="5"/>
  <c r="BB65" i="65" l="1"/>
  <c r="BF64" i="65"/>
  <c r="AT64" i="65" s="1"/>
  <c r="AX64" i="65" s="1"/>
  <c r="U64" i="65" s="1"/>
  <c r="W64" i="65" s="1"/>
  <c r="Y64" i="65" s="1"/>
  <c r="AR94" i="5"/>
  <c r="AS95" i="5"/>
  <c r="BF107" i="5"/>
  <c r="AV107" i="5"/>
  <c r="BD107" i="5"/>
  <c r="BE108" i="5"/>
  <c r="AV106" i="5"/>
  <c r="BB66" i="65" l="1"/>
  <c r="BF65" i="65"/>
  <c r="AT65" i="65" s="1"/>
  <c r="AX65" i="65" s="1"/>
  <c r="U65" i="65" s="1"/>
  <c r="W65" i="65" s="1"/>
  <c r="Y65" i="65" s="1"/>
  <c r="BE109" i="5"/>
  <c r="BD108" i="5"/>
  <c r="BF108" i="5"/>
  <c r="AS96" i="5"/>
  <c r="AR95" i="5"/>
  <c r="BB67" i="65" l="1"/>
  <c r="BF66" i="65"/>
  <c r="AT66" i="65" s="1"/>
  <c r="AX66" i="65" s="1"/>
  <c r="U66" i="65" s="1"/>
  <c r="W66" i="65" s="1"/>
  <c r="Y66" i="65" s="1"/>
  <c r="AR96" i="5"/>
  <c r="AS97" i="5"/>
  <c r="AV108" i="5"/>
  <c r="BE110" i="5"/>
  <c r="BD109" i="5"/>
  <c r="BF109" i="5"/>
  <c r="BB68" i="65" l="1"/>
  <c r="BF67" i="65"/>
  <c r="AT67" i="65" s="1"/>
  <c r="AX67" i="65" s="1"/>
  <c r="U67" i="65" s="1"/>
  <c r="W67" i="65" s="1"/>
  <c r="Y67" i="65" s="1"/>
  <c r="AV109" i="5"/>
  <c r="BE111" i="5"/>
  <c r="BF110" i="5"/>
  <c r="BD110" i="5"/>
  <c r="AV110" i="5"/>
  <c r="AS98" i="5"/>
  <c r="AR97" i="5"/>
  <c r="BF68" i="65" l="1"/>
  <c r="BB75" i="65"/>
  <c r="AS99" i="5"/>
  <c r="AR98" i="5"/>
  <c r="BF111" i="5"/>
  <c r="AV111" i="5"/>
  <c r="BE112" i="5"/>
  <c r="BD111" i="5"/>
  <c r="BF75" i="65" l="1"/>
  <c r="AT68" i="65"/>
  <c r="BE113" i="5"/>
  <c r="BD112" i="5"/>
  <c r="AV112" i="5"/>
  <c r="BF112" i="5"/>
  <c r="AR99" i="5"/>
  <c r="AS100" i="5"/>
  <c r="AT75" i="65" l="1"/>
  <c r="AX68" i="65"/>
  <c r="AS101" i="5"/>
  <c r="AR100" i="5"/>
  <c r="BD113" i="5"/>
  <c r="AV113" i="5"/>
  <c r="BE114" i="5"/>
  <c r="BF113" i="5"/>
  <c r="U68" i="65" l="1"/>
  <c r="AX75" i="65"/>
  <c r="BD114" i="5"/>
  <c r="BF114" i="5"/>
  <c r="BE115" i="5"/>
  <c r="AS102" i="5"/>
  <c r="AR101" i="5"/>
  <c r="U75" i="65" l="1"/>
  <c r="I19" i="32" s="1"/>
  <c r="W68" i="65"/>
  <c r="Y68" i="65" s="1"/>
  <c r="AS103" i="5"/>
  <c r="AR102" i="5"/>
  <c r="BF115" i="5"/>
  <c r="AV115" i="5"/>
  <c r="BD115" i="5"/>
  <c r="BE116" i="5"/>
  <c r="AV114" i="5"/>
  <c r="AS104" i="5" l="1"/>
  <c r="AR103" i="5"/>
  <c r="BE117" i="5"/>
  <c r="BD116" i="5"/>
  <c r="BF116" i="5"/>
  <c r="AV116" i="5"/>
  <c r="BD117" i="5" l="1"/>
  <c r="BF117" i="5"/>
  <c r="BE118" i="5"/>
  <c r="AR104" i="5"/>
  <c r="AS105" i="5"/>
  <c r="BD118" i="5" l="1"/>
  <c r="BE119" i="5"/>
  <c r="BF118" i="5"/>
  <c r="AV118" i="5"/>
  <c r="AV117" i="5"/>
  <c r="AS106" i="5"/>
  <c r="AR105" i="5"/>
  <c r="BF119" i="5" l="1"/>
  <c r="BE120" i="5"/>
  <c r="BD119" i="5"/>
  <c r="AS107" i="5"/>
  <c r="AR106" i="5"/>
  <c r="BE121" i="5" l="1"/>
  <c r="BD120" i="5"/>
  <c r="BF120" i="5"/>
  <c r="AV120" i="5"/>
  <c r="AS108" i="5"/>
  <c r="AR107" i="5"/>
  <c r="AV119" i="5"/>
  <c r="BE122" i="5" l="1"/>
  <c r="BD121" i="5"/>
  <c r="BF121" i="5"/>
  <c r="AS109" i="5"/>
  <c r="AR108" i="5"/>
  <c r="AV121" i="5" l="1"/>
  <c r="AS110" i="5"/>
  <c r="AR109" i="5"/>
  <c r="BF122" i="5"/>
  <c r="AV122" i="5"/>
  <c r="BE123" i="5"/>
  <c r="BD122" i="5"/>
  <c r="BE124" i="5" l="1"/>
  <c r="BD123" i="5"/>
  <c r="BF123" i="5"/>
  <c r="AR110" i="5"/>
  <c r="AS111" i="5"/>
  <c r="AR111" i="5" l="1"/>
  <c r="AS112" i="5"/>
  <c r="AV123" i="5"/>
  <c r="BE125" i="5"/>
  <c r="BD124" i="5"/>
  <c r="AV124" i="5"/>
  <c r="BF124" i="5"/>
  <c r="BE126" i="5" l="1"/>
  <c r="BD125" i="5"/>
  <c r="BF125" i="5"/>
  <c r="AR112" i="5"/>
  <c r="AS113" i="5"/>
  <c r="BF126" i="5" l="1"/>
  <c r="BE127" i="5"/>
  <c r="BD126" i="5"/>
  <c r="AV125" i="5"/>
  <c r="AS114" i="5"/>
  <c r="AR113" i="5"/>
  <c r="AR114" i="5" l="1"/>
  <c r="AS115" i="5"/>
  <c r="AV126" i="5"/>
  <c r="BE128" i="5"/>
  <c r="BD127" i="5"/>
  <c r="BF127" i="5"/>
  <c r="AV127" i="5"/>
  <c r="BE129" i="5" l="1"/>
  <c r="BD128" i="5"/>
  <c r="BF128" i="5"/>
  <c r="AV128" i="5"/>
  <c r="AR115" i="5"/>
  <c r="AS116" i="5"/>
  <c r="BE130" i="5" l="1"/>
  <c r="BD129" i="5"/>
  <c r="AV129" i="5"/>
  <c r="BF129" i="5"/>
  <c r="AS117" i="5"/>
  <c r="AR116" i="5"/>
  <c r="AS118" i="5" l="1"/>
  <c r="AR117" i="5"/>
  <c r="BF130" i="5"/>
  <c r="AV130" i="5"/>
  <c r="BE131" i="5"/>
  <c r="BD130" i="5"/>
  <c r="BE132" i="5" l="1"/>
  <c r="BD131" i="5"/>
  <c r="BF131" i="5"/>
  <c r="AS119" i="5"/>
  <c r="AR118" i="5"/>
  <c r="AR119" i="5" l="1"/>
  <c r="AS120" i="5"/>
  <c r="AV131" i="5"/>
  <c r="BE133" i="5"/>
  <c r="BD132" i="5"/>
  <c r="BF132" i="5"/>
  <c r="AV132" i="5"/>
  <c r="AR120" i="5" l="1"/>
  <c r="AS121" i="5"/>
  <c r="BE134" i="5"/>
  <c r="BD133" i="5"/>
  <c r="BF133" i="5"/>
  <c r="AS122" i="5" l="1"/>
  <c r="AR121" i="5"/>
  <c r="BF134" i="5"/>
  <c r="AV134" i="5"/>
  <c r="BE135" i="5"/>
  <c r="BD134" i="5"/>
  <c r="AV133" i="5"/>
  <c r="BE136" i="5" l="1"/>
  <c r="BD135" i="5"/>
  <c r="BF135" i="5"/>
  <c r="AS123" i="5"/>
  <c r="AR122" i="5"/>
  <c r="AS124" i="5" l="1"/>
  <c r="AR123" i="5"/>
  <c r="AV135" i="5"/>
  <c r="BE137" i="5"/>
  <c r="BD136" i="5"/>
  <c r="AV136" i="5"/>
  <c r="BF136" i="5"/>
  <c r="BE138" i="5" l="1"/>
  <c r="BD137" i="5"/>
  <c r="BF137" i="5"/>
  <c r="AS125" i="5"/>
  <c r="AR124" i="5"/>
  <c r="AV137" i="5" l="1"/>
  <c r="AS126" i="5"/>
  <c r="AR125" i="5"/>
  <c r="BF138" i="5"/>
  <c r="AV138" i="5"/>
  <c r="BE139" i="5"/>
  <c r="BD138" i="5"/>
  <c r="BE140" i="5" l="1"/>
  <c r="BD139" i="5"/>
  <c r="BF139" i="5"/>
  <c r="AS127" i="5"/>
  <c r="AR126" i="5"/>
  <c r="AS128" i="5" l="1"/>
  <c r="AR127" i="5"/>
  <c r="AV139" i="5"/>
  <c r="BE141" i="5"/>
  <c r="BD140" i="5"/>
  <c r="BF140" i="5"/>
  <c r="AS129" i="5" l="1"/>
  <c r="AR128" i="5"/>
  <c r="BE142" i="5"/>
  <c r="BD141" i="5"/>
  <c r="AV141" i="5"/>
  <c r="BF141" i="5"/>
  <c r="AV140" i="5"/>
  <c r="AS130" i="5" l="1"/>
  <c r="AR129" i="5"/>
  <c r="BF142" i="5"/>
  <c r="AV142" i="5"/>
  <c r="BE143" i="5"/>
  <c r="BD142" i="5"/>
  <c r="BE144" i="5" l="1"/>
  <c r="BD143" i="5"/>
  <c r="BF143" i="5"/>
  <c r="AS131" i="5"/>
  <c r="AR130" i="5"/>
  <c r="AS132" i="5" l="1"/>
  <c r="AR131" i="5"/>
  <c r="AV143" i="5"/>
  <c r="BE145" i="5"/>
  <c r="BD144" i="5"/>
  <c r="BF144" i="5"/>
  <c r="AV144" i="5"/>
  <c r="BE146" i="5" l="1"/>
  <c r="BD145" i="5"/>
  <c r="AV145" i="5"/>
  <c r="BF145" i="5"/>
  <c r="AS133" i="5"/>
  <c r="AR132" i="5"/>
  <c r="AS134" i="5" l="1"/>
  <c r="AR133" i="5"/>
  <c r="BF146" i="5"/>
  <c r="AV146" i="5"/>
  <c r="BE147" i="5"/>
  <c r="BD146" i="5"/>
  <c r="BE148" i="5" l="1"/>
  <c r="BD147" i="5"/>
  <c r="BF147" i="5"/>
  <c r="AS135" i="5"/>
  <c r="AR134" i="5"/>
  <c r="AS136" i="5" l="1"/>
  <c r="AR135" i="5"/>
  <c r="AV147" i="5"/>
  <c r="BE149" i="5"/>
  <c r="BD148" i="5"/>
  <c r="BF148" i="5"/>
  <c r="AV148" i="5"/>
  <c r="AS137" i="5" l="1"/>
  <c r="AR136" i="5"/>
  <c r="BE150" i="5"/>
  <c r="BD149" i="5"/>
  <c r="BF149" i="5"/>
  <c r="BF150" i="5" l="1"/>
  <c r="BE151" i="5"/>
  <c r="BD150" i="5"/>
  <c r="AV149" i="5"/>
  <c r="AS138" i="5"/>
  <c r="AR137" i="5"/>
  <c r="AS139" i="5" l="1"/>
  <c r="AR138" i="5"/>
  <c r="BE152" i="5"/>
  <c r="BD151" i="5"/>
  <c r="BF151" i="5"/>
  <c r="AV151" i="5"/>
  <c r="AV150" i="5"/>
  <c r="BE153" i="5" l="1"/>
  <c r="BD152" i="5"/>
  <c r="AV152" i="5"/>
  <c r="BF152" i="5"/>
  <c r="AS140" i="5"/>
  <c r="AR139" i="5"/>
  <c r="BE154" i="5" l="1"/>
  <c r="BD153" i="5"/>
  <c r="BF153" i="5"/>
  <c r="AS141" i="5"/>
  <c r="AR140" i="5"/>
  <c r="AV153" i="5" l="1"/>
  <c r="AS142" i="5"/>
  <c r="AR141" i="5"/>
  <c r="BF154" i="5"/>
  <c r="AV154" i="5"/>
  <c r="BE155" i="5"/>
  <c r="BD154" i="5"/>
  <c r="BE156" i="5" l="1"/>
  <c r="BD155" i="5"/>
  <c r="BF155" i="5"/>
  <c r="AS143" i="5"/>
  <c r="AR142" i="5"/>
  <c r="AS144" i="5" l="1"/>
  <c r="AR143" i="5"/>
  <c r="AV155" i="5"/>
  <c r="BE157" i="5"/>
  <c r="BD156" i="5"/>
  <c r="BF156" i="5"/>
  <c r="AS145" i="5" l="1"/>
  <c r="AR144" i="5"/>
  <c r="BE158" i="5"/>
  <c r="BD157" i="5"/>
  <c r="AV157" i="5"/>
  <c r="BF157" i="5"/>
  <c r="AV156" i="5"/>
  <c r="BF158" i="5" l="1"/>
  <c r="BE159" i="5"/>
  <c r="BD158" i="5"/>
  <c r="AS146" i="5"/>
  <c r="AR145" i="5"/>
  <c r="AS147" i="5" l="1"/>
  <c r="AR146" i="5"/>
  <c r="AV158" i="5"/>
  <c r="BE160" i="5"/>
  <c r="BD159" i="5"/>
  <c r="BF159" i="5"/>
  <c r="AV159" i="5"/>
  <c r="BE161" i="5" l="1"/>
  <c r="BD160" i="5"/>
  <c r="BF160" i="5"/>
  <c r="AS148" i="5"/>
  <c r="AR147" i="5"/>
  <c r="AS149" i="5" l="1"/>
  <c r="AR148" i="5"/>
  <c r="AV160" i="5"/>
  <c r="BE162" i="5"/>
  <c r="BD161" i="5"/>
  <c r="BF161" i="5"/>
  <c r="AS150" i="5" l="1"/>
  <c r="AR149" i="5"/>
  <c r="BF162" i="5"/>
  <c r="AV162" i="5"/>
  <c r="BE163" i="5"/>
  <c r="BD162" i="5"/>
  <c r="AV161" i="5"/>
  <c r="BE164" i="5" l="1"/>
  <c r="BD163" i="5"/>
  <c r="BF163" i="5"/>
  <c r="AS151" i="5"/>
  <c r="AR150" i="5"/>
  <c r="AS152" i="5" l="1"/>
  <c r="AR151" i="5"/>
  <c r="AV163" i="5"/>
  <c r="BE165" i="5"/>
  <c r="BF164" i="5"/>
  <c r="BD164" i="5"/>
  <c r="AV164" i="5" l="1"/>
  <c r="BD165" i="5"/>
  <c r="BE166" i="5"/>
  <c r="BF165" i="5"/>
  <c r="AS153" i="5"/>
  <c r="AR152" i="5"/>
  <c r="BF166" i="5" l="1"/>
  <c r="AV166" i="5"/>
  <c r="BD166" i="5"/>
  <c r="BE167" i="5"/>
  <c r="AS154" i="5"/>
  <c r="AR153" i="5"/>
  <c r="AV165" i="5"/>
  <c r="BE168" i="5" l="1"/>
  <c r="BD167" i="5"/>
  <c r="BF167" i="5"/>
  <c r="AS155" i="5"/>
  <c r="AR154" i="5"/>
  <c r="AS156" i="5" l="1"/>
  <c r="AR155" i="5"/>
  <c r="AV167" i="5"/>
  <c r="BE169" i="5"/>
  <c r="BF168" i="5"/>
  <c r="BD168" i="5"/>
  <c r="AS157" i="5" l="1"/>
  <c r="AR156" i="5"/>
  <c r="AV168" i="5"/>
  <c r="BE170" i="5"/>
  <c r="BF169" i="5"/>
  <c r="BD169" i="5"/>
  <c r="AV169" i="5" l="1"/>
  <c r="BF170" i="5"/>
  <c r="AV170" i="5"/>
  <c r="BE171" i="5"/>
  <c r="BD170" i="5"/>
  <c r="AS158" i="5"/>
  <c r="AR157" i="5"/>
  <c r="BE172" i="5" l="1"/>
  <c r="BD171" i="5"/>
  <c r="AV171" i="5"/>
  <c r="BF171" i="5"/>
  <c r="AS159" i="5"/>
  <c r="AR158" i="5"/>
  <c r="AS160" i="5" l="1"/>
  <c r="AR159" i="5"/>
  <c r="BD172" i="5"/>
  <c r="AV172" i="5"/>
  <c r="BF172" i="5"/>
  <c r="BE173" i="5"/>
  <c r="BE174" i="5" l="1"/>
  <c r="BF173" i="5"/>
  <c r="BD173" i="5"/>
  <c r="AS161" i="5"/>
  <c r="AR160" i="5"/>
  <c r="AS162" i="5" l="1"/>
  <c r="AR161" i="5"/>
  <c r="BF174" i="5"/>
  <c r="AV174" i="5"/>
  <c r="BE175" i="5"/>
  <c r="BD174" i="5"/>
  <c r="AV173" i="5"/>
  <c r="BE176" i="5" l="1"/>
  <c r="BD175" i="5"/>
  <c r="AV175" i="5"/>
  <c r="BF175" i="5"/>
  <c r="AR162" i="5"/>
  <c r="AS163" i="5"/>
  <c r="AR163" i="5" l="1"/>
  <c r="AS164" i="5"/>
  <c r="BD176" i="5"/>
  <c r="BF176" i="5"/>
  <c r="BE177" i="5"/>
  <c r="BD177" i="5" l="1"/>
  <c r="BE178" i="5"/>
  <c r="BF177" i="5"/>
  <c r="AS165" i="5"/>
  <c r="AR164" i="5"/>
  <c r="AV176" i="5"/>
  <c r="BF178" i="5" l="1"/>
  <c r="BE179" i="5"/>
  <c r="BD178" i="5"/>
  <c r="AV177" i="5"/>
  <c r="AS166" i="5"/>
  <c r="AR165" i="5"/>
  <c r="AV178" i="5" l="1"/>
  <c r="BE180" i="5"/>
  <c r="BD179" i="5"/>
  <c r="BF179" i="5"/>
  <c r="AS167" i="5"/>
  <c r="AR166" i="5"/>
  <c r="AV179" i="5" l="1"/>
  <c r="BE181" i="5"/>
  <c r="BF180" i="5"/>
  <c r="BD180" i="5"/>
  <c r="AS168" i="5"/>
  <c r="AR167" i="5"/>
  <c r="AS169" i="5" l="1"/>
  <c r="AR168" i="5"/>
  <c r="AV180" i="5"/>
  <c r="BD181" i="5"/>
  <c r="BE182" i="5"/>
  <c r="BF181" i="5"/>
  <c r="AR169" i="5" l="1"/>
  <c r="AS170" i="5"/>
  <c r="AV181" i="5"/>
  <c r="BF182" i="5"/>
  <c r="BD182" i="5"/>
  <c r="BE183" i="5"/>
  <c r="BE184" i="5" l="1"/>
  <c r="BD183" i="5"/>
  <c r="BF183" i="5"/>
  <c r="AV183" i="5"/>
  <c r="AS171" i="5"/>
  <c r="AR170" i="5"/>
  <c r="AV182" i="5"/>
  <c r="BE185" i="5" l="1"/>
  <c r="BF184" i="5"/>
  <c r="BD184" i="5"/>
  <c r="AV184" i="5"/>
  <c r="AS172" i="5"/>
  <c r="AR171" i="5"/>
  <c r="AS173" i="5" l="1"/>
  <c r="AR172" i="5"/>
  <c r="BE186" i="5"/>
  <c r="BF185" i="5"/>
  <c r="BD185" i="5"/>
  <c r="AV185" i="5" l="1"/>
  <c r="BF186" i="5"/>
  <c r="AV186" i="5"/>
  <c r="BE187" i="5"/>
  <c r="BD186" i="5"/>
  <c r="AR173" i="5"/>
  <c r="AS174" i="5"/>
  <c r="AR174" i="5" l="1"/>
  <c r="AS175" i="5"/>
  <c r="BE188" i="5"/>
  <c r="BD187" i="5"/>
  <c r="AV187" i="5"/>
  <c r="BF187" i="5"/>
  <c r="AR175" i="5" l="1"/>
  <c r="AS176" i="5"/>
  <c r="BD188" i="5"/>
  <c r="AV188" i="5"/>
  <c r="BE189" i="5"/>
  <c r="BF188" i="5"/>
  <c r="AS177" i="5" l="1"/>
  <c r="AR176" i="5"/>
  <c r="BE190" i="5"/>
  <c r="BF189" i="5"/>
  <c r="BD189" i="5"/>
  <c r="BF190" i="5" l="1"/>
  <c r="BE191" i="5"/>
  <c r="BD190" i="5"/>
  <c r="AV189" i="5"/>
  <c r="AS178" i="5"/>
  <c r="AR177" i="5"/>
  <c r="AR178" i="5" l="1"/>
  <c r="AS179" i="5"/>
  <c r="AV190" i="5"/>
  <c r="BE192" i="5"/>
  <c r="BD191" i="5"/>
  <c r="BF191" i="5"/>
  <c r="BD192" i="5" l="1"/>
  <c r="AV192" i="5"/>
  <c r="BF192" i="5"/>
  <c r="BE193" i="5"/>
  <c r="AV191" i="5"/>
  <c r="AR179" i="5"/>
  <c r="AS180" i="5"/>
  <c r="AS181" i="5" l="1"/>
  <c r="AR180" i="5"/>
  <c r="BD193" i="5"/>
  <c r="AV193" i="5"/>
  <c r="BF193" i="5"/>
  <c r="BE194" i="5"/>
  <c r="BF194" i="5" l="1"/>
  <c r="BD194" i="5"/>
  <c r="BE195" i="5"/>
  <c r="AS182" i="5"/>
  <c r="AR181" i="5"/>
  <c r="AS183" i="5" l="1"/>
  <c r="AR182" i="5"/>
  <c r="AV194" i="5"/>
  <c r="BE196" i="5"/>
  <c r="BD195" i="5"/>
  <c r="BF195" i="5"/>
  <c r="AV195" i="5"/>
  <c r="BE197" i="5" l="1"/>
  <c r="BF196" i="5"/>
  <c r="BD196" i="5"/>
  <c r="AS184" i="5"/>
  <c r="AR183" i="5"/>
  <c r="AS185" i="5" l="1"/>
  <c r="AR184" i="5"/>
  <c r="AV196" i="5"/>
  <c r="BD197" i="5"/>
  <c r="BE198" i="5"/>
  <c r="BF197" i="5"/>
  <c r="AR185" i="5" l="1"/>
  <c r="AS186" i="5"/>
  <c r="AV197" i="5"/>
  <c r="BF198" i="5"/>
  <c r="BD198" i="5"/>
  <c r="BE199" i="5"/>
  <c r="BE200" i="5" l="1"/>
  <c r="BD199" i="5"/>
  <c r="BF199" i="5"/>
  <c r="AV199" i="5"/>
  <c r="AS187" i="5"/>
  <c r="AR186" i="5"/>
  <c r="AV198" i="5"/>
  <c r="BE201" i="5" l="1"/>
  <c r="BF200" i="5"/>
  <c r="BD200" i="5"/>
  <c r="AV200" i="5"/>
  <c r="AS188" i="5"/>
  <c r="AR187" i="5"/>
  <c r="AS189" i="5" l="1"/>
  <c r="AR188" i="5"/>
  <c r="BE202" i="5"/>
  <c r="BF201" i="5"/>
  <c r="BD201" i="5"/>
  <c r="AV201" i="5" l="1"/>
  <c r="BF202" i="5"/>
  <c r="AV202" i="5"/>
  <c r="BD202" i="5"/>
  <c r="BE203" i="5"/>
  <c r="AR189" i="5"/>
  <c r="AS190" i="5"/>
  <c r="AR190" i="5" l="1"/>
  <c r="AS191" i="5"/>
  <c r="BE204" i="5"/>
  <c r="BD203" i="5"/>
  <c r="BF203" i="5"/>
  <c r="AV203" i="5" l="1"/>
  <c r="BF204" i="5"/>
  <c r="AV204" i="5"/>
  <c r="BD204" i="5"/>
  <c r="BE205" i="5"/>
  <c r="AR191" i="5"/>
  <c r="AS192" i="5"/>
  <c r="AS193" i="5" l="1"/>
  <c r="AR192" i="5"/>
  <c r="BE206" i="5"/>
  <c r="BD205" i="5"/>
  <c r="BF205" i="5"/>
  <c r="AV205" i="5"/>
  <c r="BF206" i="5" l="1"/>
  <c r="BE207" i="5"/>
  <c r="BD206" i="5"/>
  <c r="AS194" i="5"/>
  <c r="AR193" i="5"/>
  <c r="BE208" i="5" l="1"/>
  <c r="BD207" i="5"/>
  <c r="AV207" i="5"/>
  <c r="BF207" i="5"/>
  <c r="AR194" i="5"/>
  <c r="AS195" i="5"/>
  <c r="AV206" i="5"/>
  <c r="AR195" i="5" l="1"/>
  <c r="AS196" i="5"/>
  <c r="BF208" i="5"/>
  <c r="AV208" i="5"/>
  <c r="BD208" i="5"/>
  <c r="BE209" i="5"/>
  <c r="AS197" i="5" l="1"/>
  <c r="AR196" i="5"/>
  <c r="BE210" i="5"/>
  <c r="BD209" i="5"/>
  <c r="BF209" i="5"/>
  <c r="AV209" i="5"/>
  <c r="BF210" i="5" l="1"/>
  <c r="BD210" i="5"/>
  <c r="BE211" i="5"/>
  <c r="AS198" i="5"/>
  <c r="AR197" i="5"/>
  <c r="AS199" i="5" l="1"/>
  <c r="AR198" i="5"/>
  <c r="AV210" i="5"/>
  <c r="BE212" i="5"/>
  <c r="BD211" i="5"/>
  <c r="BF211" i="5"/>
  <c r="AV211" i="5"/>
  <c r="AS200" i="5" l="1"/>
  <c r="AR199" i="5"/>
  <c r="BF212" i="5"/>
  <c r="AV212" i="5"/>
  <c r="BD212" i="5"/>
  <c r="BE213" i="5"/>
  <c r="BE214" i="5" l="1"/>
  <c r="BD213" i="5"/>
  <c r="BF213" i="5"/>
  <c r="AV213" i="5"/>
  <c r="AS201" i="5"/>
  <c r="AR200" i="5"/>
  <c r="AR201" i="5" l="1"/>
  <c r="AS202" i="5"/>
  <c r="BF214" i="5"/>
  <c r="AV214" i="5"/>
  <c r="BE215" i="5"/>
  <c r="BD214" i="5"/>
  <c r="BE216" i="5" l="1"/>
  <c r="BD215" i="5"/>
  <c r="AV215" i="5"/>
  <c r="BF215" i="5"/>
  <c r="AS203" i="5"/>
  <c r="AR202" i="5"/>
  <c r="AS204" i="5" l="1"/>
  <c r="AR203" i="5"/>
  <c r="BF216" i="5"/>
  <c r="BD216" i="5"/>
  <c r="BE217" i="5"/>
  <c r="AS205" i="5" l="1"/>
  <c r="AR204" i="5"/>
  <c r="AV216" i="5"/>
  <c r="BE218" i="5"/>
  <c r="BD217" i="5"/>
  <c r="BF217" i="5"/>
  <c r="AV217" i="5"/>
  <c r="BF218" i="5" l="1"/>
  <c r="AV218" i="5"/>
  <c r="BD218" i="5"/>
  <c r="BE219" i="5"/>
  <c r="AR205" i="5"/>
  <c r="AS206" i="5"/>
  <c r="BE220" i="5" l="1"/>
  <c r="BD219" i="5"/>
  <c r="BF219" i="5"/>
  <c r="AS207" i="5"/>
  <c r="AR206" i="5"/>
  <c r="AR207" i="5" l="1"/>
  <c r="AS208" i="5"/>
  <c r="AV219" i="5"/>
  <c r="BF220" i="5"/>
  <c r="BD220" i="5"/>
  <c r="BE221" i="5"/>
  <c r="BE222" i="5" l="1"/>
  <c r="BD221" i="5"/>
  <c r="BF221" i="5"/>
  <c r="AV221" i="5"/>
  <c r="AS209" i="5"/>
  <c r="AR208" i="5"/>
  <c r="AV220" i="5"/>
  <c r="BF222" i="5" l="1"/>
  <c r="BE223" i="5"/>
  <c r="BD222" i="5"/>
  <c r="AR209" i="5"/>
  <c r="AS210" i="5"/>
  <c r="AS211" i="5" l="1"/>
  <c r="AR210" i="5"/>
  <c r="AV222" i="5"/>
  <c r="BE224" i="5"/>
  <c r="BD223" i="5"/>
  <c r="BF223" i="5"/>
  <c r="AS212" i="5" l="1"/>
  <c r="AR211" i="5"/>
  <c r="BF224" i="5"/>
  <c r="AV224" i="5"/>
  <c r="BD224" i="5"/>
  <c r="BE225" i="5"/>
  <c r="AV223" i="5"/>
  <c r="BE226" i="5" l="1"/>
  <c r="BD225" i="5"/>
  <c r="BF225" i="5"/>
  <c r="AV225" i="5"/>
  <c r="AS213" i="5"/>
  <c r="AR212" i="5"/>
  <c r="BF226" i="5" l="1"/>
  <c r="BD226" i="5"/>
  <c r="BE227" i="5"/>
  <c r="AR213" i="5"/>
  <c r="AS214" i="5"/>
  <c r="AV226" i="5" l="1"/>
  <c r="AS215" i="5"/>
  <c r="AR214" i="5"/>
  <c r="BE228" i="5"/>
  <c r="BD227" i="5"/>
  <c r="BF227" i="5"/>
  <c r="AV227" i="5"/>
  <c r="BF228" i="5" l="1"/>
  <c r="BD228" i="5"/>
  <c r="BE229" i="5"/>
  <c r="AR215" i="5"/>
  <c r="AS216" i="5"/>
  <c r="BE230" i="5" l="1"/>
  <c r="BD229" i="5"/>
  <c r="BF229" i="5"/>
  <c r="AS217" i="5"/>
  <c r="AR216" i="5"/>
  <c r="AV228" i="5"/>
  <c r="AR217" i="5" l="1"/>
  <c r="AS218" i="5"/>
  <c r="AV229" i="5"/>
  <c r="BF230" i="5"/>
  <c r="AV230" i="5"/>
  <c r="BE231" i="5"/>
  <c r="BD230" i="5"/>
  <c r="BE232" i="5" l="1"/>
  <c r="BD231" i="5"/>
  <c r="AV231" i="5"/>
  <c r="BF231" i="5"/>
  <c r="AS219" i="5"/>
  <c r="AR218" i="5"/>
  <c r="AS220" i="5" l="1"/>
  <c r="AR219" i="5"/>
  <c r="BF232" i="5"/>
  <c r="BD232" i="5"/>
  <c r="BE233" i="5"/>
  <c r="AS221" i="5" l="1"/>
  <c r="AR220" i="5"/>
  <c r="AV232" i="5"/>
  <c r="BE234" i="5"/>
  <c r="BD233" i="5"/>
  <c r="BF233" i="5"/>
  <c r="AV233" i="5"/>
  <c r="AV234" i="5" l="1"/>
  <c r="BF234" i="5"/>
  <c r="BD234" i="5"/>
  <c r="BE235" i="5"/>
  <c r="AR221" i="5"/>
  <c r="AS222" i="5"/>
  <c r="BF235" i="5" l="1"/>
  <c r="BD235" i="5"/>
  <c r="BE236" i="5"/>
  <c r="AS223" i="5"/>
  <c r="AR222" i="5"/>
  <c r="AR223" i="5" l="1"/>
  <c r="AS224" i="5"/>
  <c r="AV235" i="5"/>
  <c r="BE237" i="5"/>
  <c r="BD236" i="5"/>
  <c r="BF236" i="5"/>
  <c r="AV236" i="5"/>
  <c r="BF237" i="5" l="1"/>
  <c r="BD237" i="5"/>
  <c r="BE238" i="5"/>
  <c r="AS225" i="5"/>
  <c r="AR224" i="5"/>
  <c r="AV237" i="5" l="1"/>
  <c r="BE239" i="5"/>
  <c r="BF238" i="5"/>
  <c r="BD238" i="5"/>
  <c r="AV238" i="5"/>
  <c r="AR225" i="5"/>
  <c r="AS226" i="5"/>
  <c r="AS227" i="5" l="1"/>
  <c r="AR226" i="5"/>
  <c r="BF239" i="5"/>
  <c r="AV239" i="5"/>
  <c r="BE240" i="5"/>
  <c r="BD239" i="5"/>
  <c r="BE241" i="5" l="1"/>
  <c r="BD240" i="5"/>
  <c r="AV240" i="5"/>
  <c r="BF240" i="5"/>
  <c r="AS228" i="5"/>
  <c r="AR227" i="5"/>
  <c r="AS229" i="5" l="1"/>
  <c r="AR228" i="5"/>
  <c r="BD241" i="5"/>
  <c r="AV241" i="5"/>
  <c r="BE242" i="5"/>
  <c r="BF241" i="5"/>
  <c r="BE243" i="5" l="1"/>
  <c r="BF242" i="5"/>
  <c r="BD242" i="5"/>
  <c r="AR229" i="5"/>
  <c r="AS230" i="5"/>
  <c r="BF243" i="5" l="1"/>
  <c r="BD243" i="5"/>
  <c r="BE244" i="5"/>
  <c r="AS231" i="5"/>
  <c r="AR230" i="5"/>
  <c r="AV242" i="5"/>
  <c r="BE245" i="5" l="1"/>
  <c r="BD244" i="5"/>
  <c r="AV244" i="5"/>
  <c r="BF244" i="5"/>
  <c r="AR231" i="5"/>
  <c r="AS232" i="5"/>
  <c r="AV243" i="5"/>
  <c r="AS233" i="5" l="1"/>
  <c r="AR232" i="5"/>
  <c r="BE246" i="5"/>
  <c r="BF245" i="5"/>
  <c r="BD245" i="5"/>
  <c r="AV245" i="5" l="1"/>
  <c r="BD246" i="5"/>
  <c r="BE247" i="5"/>
  <c r="BF246" i="5"/>
  <c r="AR233" i="5"/>
  <c r="AS234" i="5"/>
  <c r="AV246" i="5" l="1"/>
  <c r="AR234" i="5"/>
  <c r="AS235" i="5"/>
  <c r="BF247" i="5"/>
  <c r="BE248" i="5"/>
  <c r="BD247" i="5"/>
  <c r="AS236" i="5" l="1"/>
  <c r="AR235" i="5"/>
  <c r="BE249" i="5"/>
  <c r="BD248" i="5"/>
  <c r="BF248" i="5"/>
  <c r="AV247" i="5"/>
  <c r="AV248" i="5" l="1"/>
  <c r="BE250" i="5"/>
  <c r="BF249" i="5"/>
  <c r="BD249" i="5"/>
  <c r="AS237" i="5"/>
  <c r="AR236" i="5"/>
  <c r="AS238" i="5" l="1"/>
  <c r="AR237" i="5"/>
  <c r="BE251" i="5"/>
  <c r="BF250" i="5"/>
  <c r="BD250" i="5"/>
  <c r="AV249" i="5"/>
  <c r="BF251" i="5" l="1"/>
  <c r="BD251" i="5"/>
  <c r="BE252" i="5"/>
  <c r="AV250" i="5"/>
  <c r="AR238" i="5"/>
  <c r="AS239" i="5"/>
  <c r="AS240" i="5" l="1"/>
  <c r="AR239" i="5"/>
  <c r="AV251" i="5"/>
  <c r="BE253" i="5"/>
  <c r="BD252" i="5"/>
  <c r="BF252" i="5"/>
  <c r="AV252" i="5"/>
  <c r="AR240" i="5" l="1"/>
  <c r="AS241" i="5"/>
  <c r="BE254" i="5"/>
  <c r="BD253" i="5"/>
  <c r="BF253" i="5"/>
  <c r="AV253" i="5"/>
  <c r="AS242" i="5" l="1"/>
  <c r="AR241" i="5"/>
  <c r="BE255" i="5"/>
  <c r="BF254" i="5"/>
  <c r="BD254" i="5"/>
  <c r="AV254" i="5"/>
  <c r="BF255" i="5" l="1"/>
  <c r="BE256" i="5"/>
  <c r="BD255" i="5"/>
  <c r="AS243" i="5"/>
  <c r="AR242" i="5"/>
  <c r="BE257" i="5" l="1"/>
  <c r="BD256" i="5"/>
  <c r="AV256" i="5"/>
  <c r="BF256" i="5"/>
  <c r="AR243" i="5"/>
  <c r="AS244" i="5"/>
  <c r="AV255" i="5"/>
  <c r="AS245" i="5" l="1"/>
  <c r="AR244" i="5"/>
  <c r="BD257" i="5"/>
  <c r="AV257" i="5"/>
  <c r="BE258" i="5"/>
  <c r="BF257" i="5"/>
  <c r="AV258" i="5" l="1"/>
  <c r="BD258" i="5"/>
  <c r="BE259" i="5"/>
  <c r="BF258" i="5"/>
  <c r="AS246" i="5"/>
  <c r="AR245" i="5"/>
  <c r="AS247" i="5" l="1"/>
  <c r="AR246" i="5"/>
  <c r="AV259" i="5"/>
  <c r="BF259" i="5"/>
  <c r="BD259" i="5"/>
  <c r="BE260" i="5"/>
  <c r="BF260" i="5" l="1"/>
  <c r="BD260" i="5"/>
  <c r="BE261" i="5"/>
  <c r="AS248" i="5"/>
  <c r="AR247" i="5"/>
  <c r="AR248" i="5" l="1"/>
  <c r="AS249" i="5"/>
  <c r="AV260" i="5"/>
  <c r="BE262" i="5"/>
  <c r="BD261" i="5"/>
  <c r="BF261" i="5"/>
  <c r="AV261" i="5"/>
  <c r="BF262" i="5" l="1"/>
  <c r="AV262" i="5"/>
  <c r="BE263" i="5"/>
  <c r="BD262" i="5"/>
  <c r="AS250" i="5"/>
  <c r="AR249" i="5"/>
  <c r="BD263" i="5" l="1"/>
  <c r="BE264" i="5"/>
  <c r="AV263" i="5"/>
  <c r="BF263" i="5"/>
  <c r="AS251" i="5"/>
  <c r="AR250" i="5"/>
  <c r="AS252" i="5" l="1"/>
  <c r="AR251" i="5"/>
  <c r="BF264" i="5"/>
  <c r="AV264" i="5"/>
  <c r="BD264" i="5"/>
  <c r="BE265" i="5"/>
  <c r="BE266" i="5" l="1"/>
  <c r="BD265" i="5"/>
  <c r="BF265" i="5"/>
  <c r="AV265" i="5"/>
  <c r="AS253" i="5"/>
  <c r="AR252" i="5"/>
  <c r="AS254" i="5" l="1"/>
  <c r="AR253" i="5"/>
  <c r="BE267" i="5"/>
  <c r="BF266" i="5"/>
  <c r="BD266" i="5"/>
  <c r="AV266" i="5" l="1"/>
  <c r="BF267" i="5"/>
  <c r="BE268" i="5"/>
  <c r="BD267" i="5"/>
  <c r="AR254" i="5"/>
  <c r="AS255" i="5"/>
  <c r="AR255" i="5" l="1"/>
  <c r="AS256" i="5"/>
  <c r="BF268" i="5"/>
  <c r="AV268" i="5"/>
  <c r="BD268" i="5"/>
  <c r="BE269" i="5"/>
  <c r="AV267" i="5"/>
  <c r="BE270" i="5" l="1"/>
  <c r="BD269" i="5"/>
  <c r="BF269" i="5"/>
  <c r="AR256" i="5"/>
  <c r="AS257" i="5"/>
  <c r="AS258" i="5" l="1"/>
  <c r="AR257" i="5"/>
  <c r="AV269" i="5"/>
  <c r="BD270" i="5"/>
  <c r="BF270" i="5"/>
  <c r="BE271" i="5"/>
  <c r="BE272" i="5" l="1"/>
  <c r="BF271" i="5"/>
  <c r="BD271" i="5"/>
  <c r="AV271" i="5"/>
  <c r="AV270" i="5"/>
  <c r="AR258" i="5"/>
  <c r="AS259" i="5"/>
  <c r="AR259" i="5" l="1"/>
  <c r="AS260" i="5"/>
  <c r="BF272" i="5"/>
  <c r="BE273" i="5"/>
  <c r="BD272" i="5"/>
  <c r="AR260" i="5" l="1"/>
  <c r="AS261" i="5"/>
  <c r="AV272" i="5"/>
  <c r="BE274" i="5"/>
  <c r="BD273" i="5"/>
  <c r="AV273" i="5"/>
  <c r="BF273" i="5"/>
  <c r="BD274" i="5" l="1"/>
  <c r="BE275" i="5"/>
  <c r="BF274" i="5"/>
  <c r="AR261" i="5"/>
  <c r="AS262" i="5"/>
  <c r="AV274" i="5" l="1"/>
  <c r="BD275" i="5"/>
  <c r="AV275" i="5"/>
  <c r="BE276" i="5"/>
  <c r="BF275" i="5"/>
  <c r="AS263" i="5"/>
  <c r="AR262" i="5"/>
  <c r="AS264" i="5" l="1"/>
  <c r="AR263" i="5"/>
  <c r="BF276" i="5"/>
  <c r="AV276" i="5"/>
  <c r="BD276" i="5"/>
  <c r="BE277" i="5"/>
  <c r="AS265" i="5" l="1"/>
  <c r="AR264" i="5"/>
  <c r="BE278" i="5"/>
  <c r="BD277" i="5"/>
  <c r="BF277" i="5"/>
  <c r="AV277" i="5"/>
  <c r="BE279" i="5" l="1"/>
  <c r="BF278" i="5"/>
  <c r="AV278" i="5"/>
  <c r="BD278" i="5"/>
  <c r="AR265" i="5"/>
  <c r="AS266" i="5"/>
  <c r="AS267" i="5" l="1"/>
  <c r="AR266" i="5"/>
  <c r="BD279" i="5"/>
  <c r="BF279" i="5"/>
  <c r="BE280" i="5"/>
  <c r="BF280" i="5" l="1"/>
  <c r="BD280" i="5"/>
  <c r="BE281" i="5"/>
  <c r="AV279" i="5"/>
  <c r="AS268" i="5"/>
  <c r="AR267" i="5"/>
  <c r="AS269" i="5" l="1"/>
  <c r="AR268" i="5"/>
  <c r="BE282" i="5"/>
  <c r="BD281" i="5"/>
  <c r="BF281" i="5"/>
  <c r="AV281" i="5"/>
  <c r="AV280" i="5"/>
  <c r="BE283" i="5" l="1"/>
  <c r="BF282" i="5"/>
  <c r="AV282" i="5"/>
  <c r="BD282" i="5"/>
  <c r="AS270" i="5"/>
  <c r="AR269" i="5"/>
  <c r="AS271" i="5" l="1"/>
  <c r="AR270" i="5"/>
  <c r="BE284" i="5"/>
  <c r="BF283" i="5"/>
  <c r="BD283" i="5"/>
  <c r="BF284" i="5" l="1"/>
  <c r="BE285" i="5"/>
  <c r="BD284" i="5"/>
  <c r="AV283" i="5"/>
  <c r="AR271" i="5"/>
  <c r="AS272" i="5"/>
  <c r="AS273" i="5" l="1"/>
  <c r="AR272" i="5"/>
  <c r="BE286" i="5"/>
  <c r="BD285" i="5"/>
  <c r="BF285" i="5"/>
  <c r="AV284" i="5"/>
  <c r="BD286" i="5" l="1"/>
  <c r="BE287" i="5"/>
  <c r="BF286" i="5"/>
  <c r="AV285" i="5"/>
  <c r="AS274" i="5"/>
  <c r="AR273" i="5"/>
  <c r="AS275" i="5" l="1"/>
  <c r="AR274" i="5"/>
  <c r="BE288" i="5"/>
  <c r="BF287" i="5"/>
  <c r="BD287" i="5"/>
  <c r="AV286" i="5"/>
  <c r="AV287" i="5" l="1"/>
  <c r="BF288" i="5"/>
  <c r="AV288" i="5"/>
  <c r="BE289" i="5"/>
  <c r="BD288" i="5"/>
  <c r="AS276" i="5"/>
  <c r="AR275" i="5"/>
  <c r="BE290" i="5" l="1"/>
  <c r="BD289" i="5"/>
  <c r="AV289" i="5"/>
  <c r="BF289" i="5"/>
  <c r="AR276" i="5"/>
  <c r="AS277" i="5"/>
  <c r="AR277" i="5" l="1"/>
  <c r="AS278" i="5"/>
  <c r="BE291" i="5"/>
  <c r="BD290" i="5"/>
  <c r="BF290" i="5"/>
  <c r="BE292" i="5" l="1"/>
  <c r="BD291" i="5"/>
  <c r="BF291" i="5"/>
  <c r="AV290" i="5"/>
  <c r="AS279" i="5"/>
  <c r="AR278" i="5"/>
  <c r="AS280" i="5" l="1"/>
  <c r="AR279" i="5"/>
  <c r="AV291" i="5"/>
  <c r="BE293" i="5"/>
  <c r="BF292" i="5"/>
  <c r="BD292" i="5"/>
  <c r="AV292" i="5"/>
  <c r="BF293" i="5" l="1"/>
  <c r="BD293" i="5"/>
  <c r="BE294" i="5"/>
  <c r="AV293" i="5"/>
  <c r="AS281" i="5"/>
  <c r="AR280" i="5"/>
  <c r="BF294" i="5" l="1"/>
  <c r="BD294" i="5"/>
  <c r="BE295" i="5"/>
  <c r="AS282" i="5"/>
  <c r="AR281" i="5"/>
  <c r="BE296" i="5" l="1"/>
  <c r="BD295" i="5"/>
  <c r="AV295" i="5"/>
  <c r="BF295" i="5"/>
  <c r="AS283" i="5"/>
  <c r="AR282" i="5"/>
  <c r="AV294" i="5"/>
  <c r="AR283" i="5" l="1"/>
  <c r="AS284" i="5"/>
  <c r="BE297" i="5"/>
  <c r="BD296" i="5"/>
  <c r="BF296" i="5"/>
  <c r="BE298" i="5" l="1"/>
  <c r="BF297" i="5"/>
  <c r="BD297" i="5"/>
  <c r="AV296" i="5"/>
  <c r="AS285" i="5"/>
  <c r="AR284" i="5"/>
  <c r="AS286" i="5" l="1"/>
  <c r="AR285" i="5"/>
  <c r="AV297" i="5"/>
  <c r="BF298" i="5"/>
  <c r="BE299" i="5"/>
  <c r="BD298" i="5"/>
  <c r="BE300" i="5" l="1"/>
  <c r="BD299" i="5"/>
  <c r="AV299" i="5"/>
  <c r="BF299" i="5"/>
  <c r="AV298" i="5"/>
  <c r="AS287" i="5"/>
  <c r="AR286" i="5"/>
  <c r="AR287" i="5" l="1"/>
  <c r="AS288" i="5"/>
  <c r="BD300" i="5"/>
  <c r="BF300" i="5"/>
  <c r="BE301" i="5"/>
  <c r="AV300" i="5" l="1"/>
  <c r="AV301" i="5"/>
  <c r="BF301" i="5"/>
  <c r="BE302" i="5"/>
  <c r="BD301" i="5"/>
  <c r="AR288" i="5"/>
  <c r="AS289" i="5"/>
  <c r="AS290" i="5" l="1"/>
  <c r="AR289" i="5"/>
  <c r="BF302" i="5"/>
  <c r="AV302" i="5"/>
  <c r="BD302" i="5"/>
  <c r="BE303" i="5"/>
  <c r="BE304" i="5" l="1"/>
  <c r="BD303" i="5"/>
  <c r="BF303" i="5"/>
  <c r="AS291" i="5"/>
  <c r="AR290" i="5"/>
  <c r="AR291" i="5" l="1"/>
  <c r="AS292" i="5"/>
  <c r="AV303" i="5"/>
  <c r="BF304" i="5"/>
  <c r="AV304" i="5"/>
  <c r="BD304" i="5"/>
  <c r="BE305" i="5"/>
  <c r="BE306" i="5" l="1"/>
  <c r="BD305" i="5"/>
  <c r="BF305" i="5"/>
  <c r="AS293" i="5"/>
  <c r="AR292" i="5"/>
  <c r="AR293" i="5" l="1"/>
  <c r="AS294" i="5"/>
  <c r="AV305" i="5"/>
  <c r="BF306" i="5"/>
  <c r="AV306" i="5"/>
  <c r="BE307" i="5"/>
  <c r="BD306" i="5"/>
  <c r="BE308" i="5" l="1"/>
  <c r="BD307" i="5"/>
  <c r="AV307" i="5"/>
  <c r="BF307" i="5"/>
  <c r="AS295" i="5"/>
  <c r="AR294" i="5"/>
  <c r="AS296" i="5" l="1"/>
  <c r="AR295" i="5"/>
  <c r="BD308" i="5"/>
  <c r="AV308" i="5"/>
  <c r="BE309" i="5"/>
  <c r="BF308" i="5"/>
  <c r="BE310" i="5" l="1"/>
  <c r="BF309" i="5"/>
  <c r="BD309" i="5"/>
  <c r="AS297" i="5"/>
  <c r="AR296" i="5"/>
  <c r="AR297" i="5" l="1"/>
  <c r="AS298" i="5"/>
  <c r="BF310" i="5"/>
  <c r="AV310" i="5"/>
  <c r="BD310" i="5"/>
  <c r="BE311" i="5"/>
  <c r="AV309" i="5"/>
  <c r="AR298" i="5" l="1"/>
  <c r="AS299" i="5"/>
  <c r="BE312" i="5"/>
  <c r="BD311" i="5"/>
  <c r="BF311" i="5"/>
  <c r="AV311" i="5"/>
  <c r="AR299" i="5" l="1"/>
  <c r="AS300" i="5"/>
  <c r="BE313" i="5"/>
  <c r="BD312" i="5"/>
  <c r="BF312" i="5"/>
  <c r="AV312" i="5"/>
  <c r="AS301" i="5" l="1"/>
  <c r="AR300" i="5"/>
  <c r="BD313" i="5"/>
  <c r="BE314" i="5"/>
  <c r="BF313" i="5"/>
  <c r="AV313" i="5" l="1"/>
  <c r="BF314" i="5"/>
  <c r="AV314" i="5"/>
  <c r="BE315" i="5"/>
  <c r="BD314" i="5"/>
  <c r="AS302" i="5"/>
  <c r="AR301" i="5"/>
  <c r="BE316" i="5" l="1"/>
  <c r="BD315" i="5"/>
  <c r="BF315" i="5"/>
  <c r="AV315" i="5"/>
  <c r="AR302" i="5"/>
  <c r="AS303" i="5"/>
  <c r="AR303" i="5" l="1"/>
  <c r="AS304" i="5"/>
  <c r="BE317" i="5"/>
  <c r="BF316" i="5"/>
  <c r="BD316" i="5"/>
  <c r="AV316" i="5"/>
  <c r="BD317" i="5" l="1"/>
  <c r="BE318" i="5"/>
  <c r="BF317" i="5"/>
  <c r="AS305" i="5"/>
  <c r="AR304" i="5"/>
  <c r="BF318" i="5" l="1"/>
  <c r="BD318" i="5"/>
  <c r="BE319" i="5"/>
  <c r="AS306" i="5"/>
  <c r="AR305" i="5"/>
  <c r="AV317" i="5"/>
  <c r="BE320" i="5" l="1"/>
  <c r="BD319" i="5"/>
  <c r="BF319" i="5"/>
  <c r="AR306" i="5"/>
  <c r="AS307" i="5"/>
  <c r="AV318" i="5"/>
  <c r="AR307" i="5" l="1"/>
  <c r="AS308" i="5"/>
  <c r="AV319" i="5"/>
  <c r="BD320" i="5"/>
  <c r="BE321" i="5"/>
  <c r="BF320" i="5"/>
  <c r="AV320" i="5" l="1"/>
  <c r="AS309" i="5"/>
  <c r="AR308" i="5"/>
  <c r="BE322" i="5"/>
  <c r="BF321" i="5"/>
  <c r="BD321" i="5"/>
  <c r="AV321" i="5"/>
  <c r="AS310" i="5" l="1"/>
  <c r="AR309" i="5"/>
  <c r="BF322" i="5"/>
  <c r="AV322" i="5"/>
  <c r="BE323" i="5"/>
  <c r="BD322" i="5"/>
  <c r="BE324" i="5" l="1"/>
  <c r="BD323" i="5"/>
  <c r="AV323" i="5"/>
  <c r="BF323" i="5"/>
  <c r="AR310" i="5"/>
  <c r="AS311" i="5"/>
  <c r="AS312" i="5" l="1"/>
  <c r="AR311" i="5"/>
  <c r="BD324" i="5"/>
  <c r="AV324" i="5"/>
  <c r="BE325" i="5"/>
  <c r="BF324" i="5"/>
  <c r="BF325" i="5" l="1"/>
  <c r="BD325" i="5"/>
  <c r="BE326" i="5"/>
  <c r="AS313" i="5"/>
  <c r="AR312" i="5"/>
  <c r="AS314" i="5" l="1"/>
  <c r="AR313" i="5"/>
  <c r="BF326" i="5"/>
  <c r="AV326" i="5"/>
  <c r="BD326" i="5"/>
  <c r="BE327" i="5"/>
  <c r="AV325" i="5"/>
  <c r="BE328" i="5" l="1"/>
  <c r="BD327" i="5"/>
  <c r="BF327" i="5"/>
  <c r="AV327" i="5"/>
  <c r="AR314" i="5"/>
  <c r="AS315" i="5"/>
  <c r="AR315" i="5" l="1"/>
  <c r="AS316" i="5"/>
  <c r="BF328" i="5"/>
  <c r="BD328" i="5"/>
  <c r="BE329" i="5"/>
  <c r="AS317" i="5" l="1"/>
  <c r="AR316" i="5"/>
  <c r="BD329" i="5"/>
  <c r="BE330" i="5"/>
  <c r="BF329" i="5"/>
  <c r="AV328" i="5"/>
  <c r="AV329" i="5" l="1"/>
  <c r="BF330" i="5"/>
  <c r="AV330" i="5"/>
  <c r="BE331" i="5"/>
  <c r="BD330" i="5"/>
  <c r="AR317" i="5"/>
  <c r="AS318" i="5"/>
  <c r="AS319" i="5" l="1"/>
  <c r="AR318" i="5"/>
  <c r="BE332" i="5"/>
  <c r="BD331" i="5"/>
  <c r="BF331" i="5"/>
  <c r="BF332" i="5" l="1"/>
  <c r="BD332" i="5"/>
  <c r="BE333" i="5"/>
  <c r="AS320" i="5"/>
  <c r="AR319" i="5"/>
  <c r="AV331" i="5"/>
  <c r="BE334" i="5" l="1"/>
  <c r="BD333" i="5"/>
  <c r="BF333" i="5"/>
  <c r="AV333" i="5"/>
  <c r="AS321" i="5"/>
  <c r="AR320" i="5"/>
  <c r="AV332" i="5"/>
  <c r="BF334" i="5" l="1"/>
  <c r="BE335" i="5"/>
  <c r="BD334" i="5"/>
  <c r="AR321" i="5"/>
  <c r="AS322" i="5"/>
  <c r="BE336" i="5" l="1"/>
  <c r="BD335" i="5"/>
  <c r="AV335" i="5"/>
  <c r="BF335" i="5"/>
  <c r="AV334" i="5"/>
  <c r="AR322" i="5"/>
  <c r="AS323" i="5"/>
  <c r="BF336" i="5" l="1"/>
  <c r="BD336" i="5"/>
  <c r="BE337" i="5"/>
  <c r="AR323" i="5"/>
  <c r="AS324" i="5"/>
  <c r="AV336" i="5" l="1"/>
  <c r="AS325" i="5"/>
  <c r="AR324" i="5"/>
  <c r="BE338" i="5"/>
  <c r="BD337" i="5"/>
  <c r="BF337" i="5"/>
  <c r="AV337" i="5"/>
  <c r="BE339" i="5" l="1"/>
  <c r="BD338" i="5"/>
  <c r="BF338" i="5"/>
  <c r="AR325" i="5"/>
  <c r="AS326" i="5"/>
  <c r="AV338" i="5" l="1"/>
  <c r="AR326" i="5"/>
  <c r="AS327" i="5"/>
  <c r="BE340" i="5"/>
  <c r="BF339" i="5"/>
  <c r="BD339" i="5"/>
  <c r="AV339" i="5"/>
  <c r="AS328" i="5" l="1"/>
  <c r="AR327" i="5"/>
  <c r="BF340" i="5"/>
  <c r="AV340" i="5"/>
  <c r="BE341" i="5"/>
  <c r="BD340" i="5"/>
  <c r="BE342" i="5" l="1"/>
  <c r="BD341" i="5"/>
  <c r="AV341" i="5"/>
  <c r="BF341" i="5"/>
  <c r="AS329" i="5"/>
  <c r="AR328" i="5"/>
  <c r="AS330" i="5" l="1"/>
  <c r="AR329" i="5"/>
  <c r="BD342" i="5"/>
  <c r="AV342" i="5"/>
  <c r="BE343" i="5"/>
  <c r="BF342" i="5"/>
  <c r="BF343" i="5" l="1"/>
  <c r="BE344" i="5"/>
  <c r="BD343" i="5"/>
  <c r="AS331" i="5"/>
  <c r="AR330" i="5"/>
  <c r="AS332" i="5" l="1"/>
  <c r="AR331" i="5"/>
  <c r="BF344" i="5"/>
  <c r="AV344" i="5"/>
  <c r="BD344" i="5"/>
  <c r="BE345" i="5"/>
  <c r="AV343" i="5"/>
  <c r="BE346" i="5" l="1"/>
  <c r="BD345" i="5"/>
  <c r="AV345" i="5"/>
  <c r="BF345" i="5"/>
  <c r="AS333" i="5"/>
  <c r="AR332" i="5"/>
  <c r="AR333" i="5" l="1"/>
  <c r="AS334" i="5"/>
  <c r="BF346" i="5"/>
  <c r="AV346" i="5"/>
  <c r="BD346" i="5"/>
  <c r="BE347" i="5"/>
  <c r="BD347" i="5" l="1"/>
  <c r="BE348" i="5"/>
  <c r="BF347" i="5"/>
  <c r="AV347" i="5"/>
  <c r="AS335" i="5"/>
  <c r="AR334" i="5"/>
  <c r="AS336" i="5" l="1"/>
  <c r="AR335" i="5"/>
  <c r="BF348" i="5"/>
  <c r="AV348" i="5"/>
  <c r="BE349" i="5"/>
  <c r="BD348" i="5"/>
  <c r="BE350" i="5" l="1"/>
  <c r="BD349" i="5"/>
  <c r="BF349" i="5"/>
  <c r="AS337" i="5"/>
  <c r="AR336" i="5"/>
  <c r="AS338" i="5" l="1"/>
  <c r="AR337" i="5"/>
  <c r="AV349" i="5"/>
  <c r="BE351" i="5"/>
  <c r="BF350" i="5"/>
  <c r="BD350" i="5"/>
  <c r="AS339" i="5" l="1"/>
  <c r="AR338" i="5"/>
  <c r="AV350" i="5"/>
  <c r="BE352" i="5"/>
  <c r="BD351" i="5"/>
  <c r="BF351" i="5"/>
  <c r="BE353" i="5" l="1"/>
  <c r="BD352" i="5"/>
  <c r="BF352" i="5"/>
  <c r="AV351" i="5"/>
  <c r="AR339" i="5"/>
  <c r="AS340" i="5"/>
  <c r="AV352" i="5" l="1"/>
  <c r="AS341" i="5"/>
  <c r="AR340" i="5"/>
  <c r="BE354" i="5"/>
  <c r="BD353" i="5"/>
  <c r="BF353" i="5"/>
  <c r="AV353" i="5"/>
  <c r="AR341" i="5" l="1"/>
  <c r="AS342" i="5"/>
  <c r="BE355" i="5"/>
  <c r="BF354" i="5"/>
  <c r="AV354" i="5"/>
  <c r="BD354" i="5"/>
  <c r="BF355" i="5" l="1"/>
  <c r="BE356" i="5"/>
  <c r="BD355" i="5"/>
  <c r="AS343" i="5"/>
  <c r="AR342" i="5"/>
  <c r="BE357" i="5" l="1"/>
  <c r="BD356" i="5"/>
  <c r="AV356" i="5"/>
  <c r="BF356" i="5"/>
  <c r="AS344" i="5"/>
  <c r="AR343" i="5"/>
  <c r="AV355" i="5"/>
  <c r="BD357" i="5" l="1"/>
  <c r="BF357" i="5"/>
  <c r="BE358" i="5"/>
  <c r="AR344" i="5"/>
  <c r="AS345" i="5"/>
  <c r="AS346" i="5" l="1"/>
  <c r="AR345" i="5"/>
  <c r="AV357" i="5"/>
  <c r="AV358" i="5"/>
  <c r="BF358" i="5"/>
  <c r="BD358" i="5"/>
  <c r="BE359" i="5"/>
  <c r="AS347" i="5" l="1"/>
  <c r="AR346" i="5"/>
  <c r="BF359" i="5"/>
  <c r="AV359" i="5"/>
  <c r="BD359" i="5"/>
  <c r="BE360" i="5"/>
  <c r="BE361" i="5" l="1"/>
  <c r="BD360" i="5"/>
  <c r="BF360" i="5"/>
  <c r="AV360" i="5"/>
  <c r="AS348" i="5"/>
  <c r="AR347" i="5"/>
  <c r="BF361" i="5" l="1"/>
  <c r="AV361" i="5"/>
  <c r="BE362" i="5"/>
  <c r="BD361" i="5"/>
  <c r="AR348" i="5"/>
  <c r="AS349" i="5"/>
  <c r="BD362" i="5" l="1"/>
  <c r="BE363" i="5"/>
  <c r="AV362" i="5"/>
  <c r="BF362" i="5"/>
  <c r="AR349" i="5"/>
  <c r="AS350" i="5"/>
  <c r="AS351" i="5" l="1"/>
  <c r="AR350" i="5"/>
  <c r="BF363" i="5"/>
  <c r="AV363" i="5"/>
  <c r="BE364" i="5"/>
  <c r="BD363" i="5"/>
  <c r="BE365" i="5" l="1"/>
  <c r="BD364" i="5"/>
  <c r="BF364" i="5"/>
  <c r="AV364" i="5"/>
  <c r="AR351" i="5"/>
  <c r="AS352" i="5"/>
  <c r="AS353" i="5" l="1"/>
  <c r="AR352" i="5"/>
  <c r="BE366" i="5"/>
  <c r="BF365" i="5"/>
  <c r="BD365" i="5"/>
  <c r="AV365" i="5"/>
  <c r="AS354" i="5" l="1"/>
  <c r="AR353" i="5"/>
  <c r="BF366" i="5"/>
  <c r="BE367" i="5"/>
  <c r="AV366" i="5"/>
  <c r="BD366" i="5"/>
  <c r="BF367" i="5" l="1"/>
  <c r="BD367" i="5"/>
  <c r="BE368" i="5"/>
  <c r="AR354" i="5"/>
  <c r="AS355" i="5"/>
  <c r="BE369" i="5" l="1"/>
  <c r="BD368" i="5"/>
  <c r="AV368" i="5"/>
  <c r="BF368" i="5"/>
  <c r="AR355" i="5"/>
  <c r="AS356" i="5"/>
  <c r="AV367" i="5"/>
  <c r="AR356" i="5" l="1"/>
  <c r="AS357" i="5"/>
  <c r="BD369" i="5"/>
  <c r="AV369" i="5"/>
  <c r="BF369" i="5"/>
  <c r="BE370" i="5"/>
  <c r="BE371" i="5" l="1"/>
  <c r="BF370" i="5"/>
  <c r="BD370" i="5"/>
  <c r="AS358" i="5"/>
  <c r="AR357" i="5"/>
  <c r="AS359" i="5" l="1"/>
  <c r="AR358" i="5"/>
  <c r="AV370" i="5"/>
  <c r="BF371" i="5"/>
  <c r="AV371" i="5"/>
  <c r="BE372" i="5"/>
  <c r="BD371" i="5"/>
  <c r="AR359" i="5" l="1"/>
  <c r="AS360" i="5"/>
  <c r="BE373" i="5"/>
  <c r="BD372" i="5"/>
  <c r="BF372" i="5"/>
  <c r="AV372" i="5"/>
  <c r="AR360" i="5" l="1"/>
  <c r="AS361" i="5"/>
  <c r="BF373" i="5"/>
  <c r="AV373" i="5"/>
  <c r="BD373" i="5"/>
  <c r="BE374" i="5"/>
  <c r="BE375" i="5" l="1"/>
  <c r="BD374" i="5"/>
  <c r="BF374" i="5"/>
  <c r="AV374" i="5"/>
  <c r="AS362" i="5"/>
  <c r="AR361" i="5"/>
  <c r="BF375" i="5" l="1"/>
  <c r="BE376" i="5"/>
  <c r="BD375" i="5"/>
  <c r="AS363" i="5"/>
  <c r="AR362" i="5"/>
  <c r="BE377" i="5" l="1"/>
  <c r="BD376" i="5"/>
  <c r="AV376" i="5"/>
  <c r="BF376" i="5"/>
  <c r="AS364" i="5"/>
  <c r="AR363" i="5"/>
  <c r="AV375" i="5"/>
  <c r="BF377" i="5" l="1"/>
  <c r="BE378" i="5"/>
  <c r="BD377" i="5"/>
  <c r="AR364" i="5"/>
  <c r="AS365" i="5"/>
  <c r="AV377" i="5" l="1"/>
  <c r="BE379" i="5"/>
  <c r="BD378" i="5"/>
  <c r="BF378" i="5"/>
  <c r="AS366" i="5"/>
  <c r="AR365" i="5"/>
  <c r="AS367" i="5" l="1"/>
  <c r="AR366" i="5"/>
  <c r="AV378" i="5"/>
  <c r="BF379" i="5"/>
  <c r="AV379" i="5"/>
  <c r="BE380" i="5"/>
  <c r="BD379" i="5"/>
  <c r="AS368" i="5" l="1"/>
  <c r="AR367" i="5"/>
  <c r="BE381" i="5"/>
  <c r="BD380" i="5"/>
  <c r="BF380" i="5"/>
  <c r="BF381" i="5" l="1"/>
  <c r="BD381" i="5"/>
  <c r="BE382" i="5"/>
  <c r="AV380" i="5"/>
  <c r="AS369" i="5"/>
  <c r="AR368" i="5"/>
  <c r="BE383" i="5" l="1"/>
  <c r="BD382" i="5"/>
  <c r="BF382" i="5"/>
  <c r="AV382" i="5"/>
  <c r="AS370" i="5"/>
  <c r="AR369" i="5"/>
  <c r="AV381" i="5"/>
  <c r="BF383" i="5" l="1"/>
  <c r="BE384" i="5"/>
  <c r="BD383" i="5"/>
  <c r="AR370" i="5"/>
  <c r="AS371" i="5"/>
  <c r="AS372" i="5" l="1"/>
  <c r="AR371" i="5"/>
  <c r="AV383" i="5"/>
  <c r="BE385" i="5"/>
  <c r="BD384" i="5"/>
  <c r="BF384" i="5"/>
  <c r="BF385" i="5" l="1"/>
  <c r="BE386" i="5"/>
  <c r="BD385" i="5"/>
  <c r="AV384" i="5"/>
  <c r="AS373" i="5"/>
  <c r="AR372" i="5"/>
  <c r="AS374" i="5" l="1"/>
  <c r="AR373" i="5"/>
  <c r="BE387" i="5"/>
  <c r="BD386" i="5"/>
  <c r="BF386" i="5"/>
  <c r="AV385" i="5"/>
  <c r="AS375" i="5" l="1"/>
  <c r="AR374" i="5"/>
  <c r="AV386" i="5"/>
  <c r="BF387" i="5"/>
  <c r="AV387" i="5"/>
  <c r="BD387" i="5"/>
  <c r="BE388" i="5"/>
  <c r="BE389" i="5" l="1"/>
  <c r="BD388" i="5"/>
  <c r="BF388" i="5"/>
  <c r="AV388" i="5"/>
  <c r="AS376" i="5"/>
  <c r="AR375" i="5"/>
  <c r="AR376" i="5" l="1"/>
  <c r="AS377" i="5"/>
  <c r="BF389" i="5"/>
  <c r="BD389" i="5"/>
  <c r="AV389" i="5" l="1"/>
  <c r="AS378" i="5"/>
  <c r="AR377" i="5"/>
  <c r="AR378" i="5" l="1"/>
  <c r="AS379" i="5"/>
  <c r="AS380" i="5" l="1"/>
  <c r="AR379" i="5"/>
  <c r="AS381" i="5" l="1"/>
  <c r="AR380" i="5"/>
  <c r="AS382" i="5" l="1"/>
  <c r="AR381" i="5"/>
  <c r="AR382" i="5" l="1"/>
  <c r="AS383" i="5"/>
  <c r="AS384" i="5" l="1"/>
  <c r="AR383" i="5"/>
  <c r="AS385" i="5" l="1"/>
  <c r="AR384" i="5"/>
  <c r="AS386" i="5" l="1"/>
  <c r="AR385" i="5"/>
  <c r="AR386" i="5" l="1"/>
  <c r="AS387" i="5"/>
  <c r="AS388" i="5" l="1"/>
  <c r="AR387" i="5"/>
  <c r="AR388" i="5" l="1"/>
  <c r="AS389" i="5"/>
  <c r="AR389" i="5" l="1"/>
  <c r="D36" i="5" s="1" a="1"/>
  <c r="D36" i="5" s="1"/>
  <c r="AS390" i="5"/>
  <c r="I26" i="5" a="1"/>
  <c r="I26" i="5" s="1"/>
  <c r="F26" i="5" a="1"/>
  <c r="F26" i="5" s="1"/>
  <c r="F54" i="5" a="1"/>
  <c r="F54" i="5" s="1"/>
  <c r="F55" i="5" s="1"/>
  <c r="F56" i="5" s="1"/>
  <c r="F57" i="5" s="1"/>
  <c r="F58" i="5" s="1"/>
  <c r="F59" i="5" s="1"/>
  <c r="F60" i="5" s="1"/>
  <c r="F61" i="5" s="1"/>
  <c r="F62" i="5" s="1"/>
  <c r="E54" i="5" a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E68" i="5" s="1"/>
  <c r="E69" i="5" s="1"/>
  <c r="I54" i="5" a="1"/>
  <c r="I54" i="5" s="1"/>
  <c r="AV56" i="24" s="1"/>
  <c r="AX56" i="24" s="1"/>
  <c r="U56" i="24" s="1"/>
  <c r="D54" i="5" a="1"/>
  <c r="D54" i="5" s="1"/>
  <c r="D55" i="5" s="1"/>
  <c r="D56" i="5" s="1"/>
  <c r="D57" i="5" s="1"/>
  <c r="D58" i="5" s="1"/>
  <c r="D59" i="5" s="1"/>
  <c r="D60" i="5" s="1"/>
  <c r="D61" i="5" s="1"/>
  <c r="D62" i="5" s="1"/>
  <c r="D63" i="5" s="1"/>
  <c r="D64" i="5" s="1"/>
  <c r="D65" i="5" s="1"/>
  <c r="D66" i="5" s="1"/>
  <c r="D67" i="5" s="1"/>
  <c r="D68" i="5" s="1"/>
  <c r="D69" i="5" s="1"/>
  <c r="E25" i="5" a="1"/>
  <c r="E25" i="5" s="1"/>
  <c r="E24" i="5" a="1"/>
  <c r="E24" i="5" s="1"/>
  <c r="E23" i="5" s="1"/>
  <c r="E22" i="5" s="1"/>
  <c r="E21" i="5" s="1"/>
  <c r="E20" i="5" s="1"/>
  <c r="E19" i="5" s="1"/>
  <c r="E18" i="5" s="1"/>
  <c r="E17" i="5" s="1"/>
  <c r="E26" i="5" a="1"/>
  <c r="E26" i="5" s="1"/>
  <c r="E28" i="5" a="1"/>
  <c r="E28" i="5" s="1"/>
  <c r="E27" i="5" a="1"/>
  <c r="E27" i="5" s="1"/>
  <c r="I27" i="5" a="1"/>
  <c r="I27" i="5" s="1"/>
  <c r="D28" i="5" a="1"/>
  <c r="D28" i="5" s="1"/>
  <c r="I25" i="5" a="1"/>
  <c r="I25" i="5" s="1"/>
  <c r="AN28" i="31" s="1"/>
  <c r="F27" i="5" a="1"/>
  <c r="F27" i="5" s="1"/>
  <c r="F24" i="5" a="1"/>
  <c r="F24" i="5" s="1"/>
  <c r="F23" i="5" s="1"/>
  <c r="F22" i="5" s="1"/>
  <c r="F21" i="5" s="1"/>
  <c r="F20" i="5" s="1"/>
  <c r="F19" i="5" s="1"/>
  <c r="F18" i="5" s="1"/>
  <c r="F17" i="5" s="1"/>
  <c r="I28" i="5" a="1"/>
  <c r="I28" i="5" s="1"/>
  <c r="D27" i="5" a="1"/>
  <c r="D27" i="5" s="1"/>
  <c r="F28" i="5" a="1"/>
  <c r="F28" i="5" s="1"/>
  <c r="F30" i="5" a="1"/>
  <c r="F30" i="5" s="1"/>
  <c r="D30" i="5" a="1"/>
  <c r="D30" i="5" s="1"/>
  <c r="D29" i="5" a="1"/>
  <c r="D29" i="5" s="1"/>
  <c r="F29" i="5" a="1"/>
  <c r="F29" i="5" s="1"/>
  <c r="F31" i="5" a="1"/>
  <c r="F31" i="5" s="1"/>
  <c r="I31" i="5" a="1"/>
  <c r="I31" i="5" s="1"/>
  <c r="I29" i="5" a="1"/>
  <c r="I29" i="5" s="1"/>
  <c r="E30" i="5" a="1"/>
  <c r="E30" i="5" s="1"/>
  <c r="E31" i="5" a="1"/>
  <c r="E31" i="5" s="1"/>
  <c r="E29" i="5" a="1"/>
  <c r="E29" i="5" s="1"/>
  <c r="I30" i="5" a="1"/>
  <c r="I30" i="5" s="1"/>
  <c r="D31" i="5" a="1"/>
  <c r="D31" i="5" s="1"/>
  <c r="F32" i="5" a="1"/>
  <c r="F32" i="5" s="1"/>
  <c r="D32" i="5" a="1"/>
  <c r="D32" i="5" s="1"/>
  <c r="E35" i="5" a="1"/>
  <c r="E35" i="5" s="1"/>
  <c r="F33" i="5" a="1"/>
  <c r="F33" i="5" s="1"/>
  <c r="I32" i="5" a="1"/>
  <c r="I32" i="5" s="1"/>
  <c r="E34" i="5" a="1"/>
  <c r="E34" i="5" s="1"/>
  <c r="I35" i="5" a="1"/>
  <c r="I35" i="5" s="1"/>
  <c r="E32" i="5" a="1"/>
  <c r="E32" i="5" s="1"/>
  <c r="F36" i="5" a="1"/>
  <c r="F36" i="5" s="1"/>
  <c r="D34" i="5" a="1"/>
  <c r="D34" i="5" s="1"/>
  <c r="I34" i="5" a="1"/>
  <c r="I34" i="5" s="1"/>
  <c r="D33" i="5" a="1"/>
  <c r="D33" i="5" s="1"/>
  <c r="F34" i="5" a="1"/>
  <c r="F34" i="5" s="1"/>
  <c r="D35" i="5" a="1"/>
  <c r="D35" i="5" s="1"/>
  <c r="E33" i="5" a="1"/>
  <c r="E33" i="5" s="1"/>
  <c r="AP35" i="24"/>
  <c r="AV35" i="24" s="1"/>
  <c r="AX35" i="24" s="1"/>
  <c r="U35" i="24" s="1"/>
  <c r="I36" i="5" a="1"/>
  <c r="I36" i="5" s="1"/>
  <c r="D38" i="5" a="1"/>
  <c r="D38" i="5" s="1"/>
  <c r="F38" i="5" a="1"/>
  <c r="F38" i="5" s="1"/>
  <c r="D37" i="5" a="1"/>
  <c r="D37" i="5" s="1"/>
  <c r="F37" i="5" a="1"/>
  <c r="F37" i="5" s="1"/>
  <c r="I38" i="5" a="1"/>
  <c r="I38" i="5" s="1"/>
  <c r="E36" i="5" a="1"/>
  <c r="E36" i="5" s="1"/>
  <c r="I37" i="5" a="1"/>
  <c r="I37" i="5" s="1"/>
  <c r="F35" i="5" a="1"/>
  <c r="F35" i="5" s="1"/>
  <c r="D39" i="5" a="1"/>
  <c r="D39" i="5" s="1"/>
  <c r="E39" i="5" a="1"/>
  <c r="E39" i="5" s="1"/>
  <c r="I39" i="5" a="1"/>
  <c r="I39" i="5" s="1"/>
  <c r="F39" i="5" a="1"/>
  <c r="F39" i="5" s="1"/>
  <c r="E37" i="5" a="1"/>
  <c r="E37" i="5" s="1"/>
  <c r="F41" i="5" a="1"/>
  <c r="F41" i="5" s="1"/>
  <c r="E38" i="5" a="1"/>
  <c r="E38" i="5" s="1"/>
  <c r="D40" i="5" a="1"/>
  <c r="D40" i="5" s="1"/>
  <c r="E40" i="5" a="1"/>
  <c r="E40" i="5" s="1"/>
  <c r="I41" i="5" a="1"/>
  <c r="I41" i="5" s="1"/>
  <c r="D41" i="5" a="1"/>
  <c r="D41" i="5" s="1"/>
  <c r="F40" i="5" a="1"/>
  <c r="F40" i="5" s="1"/>
  <c r="E41" i="5" a="1"/>
  <c r="E41" i="5" s="1"/>
  <c r="I40" i="5" a="1"/>
  <c r="I40" i="5" s="1"/>
  <c r="F42" i="5" a="1"/>
  <c r="F42" i="5" s="1"/>
  <c r="D42" i="5" a="1"/>
  <c r="D42" i="5" s="1"/>
  <c r="E45" i="5" a="1"/>
  <c r="E45" i="5" s="1"/>
  <c r="E42" i="5" a="1"/>
  <c r="E42" i="5" s="1"/>
  <c r="E44" i="5" a="1"/>
  <c r="E44" i="5" s="1"/>
  <c r="F43" i="5" a="1"/>
  <c r="F43" i="5" s="1"/>
  <c r="I43" i="5" a="1"/>
  <c r="I43" i="5" s="1"/>
  <c r="D43" i="5" a="1"/>
  <c r="D43" i="5" s="1"/>
  <c r="D44" i="5" a="1"/>
  <c r="D44" i="5" s="1"/>
  <c r="I42" i="5" a="1"/>
  <c r="I42" i="5" s="1"/>
  <c r="F47" i="5" a="1"/>
  <c r="F47" i="5" s="1"/>
  <c r="I48" i="5" a="1"/>
  <c r="I48" i="5" s="1"/>
  <c r="F44" i="5" a="1"/>
  <c r="F44" i="5" s="1"/>
  <c r="I45" i="5" a="1"/>
  <c r="I45" i="5" s="1"/>
  <c r="D45" i="5" a="1"/>
  <c r="D45" i="5" s="1"/>
  <c r="I44" i="5" a="1"/>
  <c r="I44" i="5" s="1"/>
  <c r="F45" i="5" a="1"/>
  <c r="F45" i="5" s="1"/>
  <c r="I49" i="5" a="1"/>
  <c r="I49" i="5" s="1"/>
  <c r="F46" i="5" a="1"/>
  <c r="F46" i="5" s="1"/>
  <c r="E46" i="5" a="1"/>
  <c r="E46" i="5" s="1"/>
  <c r="E47" i="5" a="1"/>
  <c r="E47" i="5" s="1"/>
  <c r="I46" i="5" a="1"/>
  <c r="I46" i="5" s="1"/>
  <c r="D46" i="5" a="1"/>
  <c r="D46" i="5" s="1"/>
  <c r="F48" i="5" a="1"/>
  <c r="F48" i="5" s="1"/>
  <c r="I47" i="5" a="1"/>
  <c r="I47" i="5" s="1"/>
  <c r="D48" i="5" a="1"/>
  <c r="D48" i="5" s="1"/>
  <c r="E48" i="5" a="1"/>
  <c r="E48" i="5" s="1"/>
  <c r="D50" i="5" a="1"/>
  <c r="D50" i="5" s="1"/>
  <c r="D49" i="5" a="1"/>
  <c r="D49" i="5" s="1"/>
  <c r="F49" i="5" a="1"/>
  <c r="F49" i="5" s="1"/>
  <c r="F51" i="5" a="1"/>
  <c r="F51" i="5" s="1"/>
  <c r="D51" i="5" a="1"/>
  <c r="D51" i="5" s="1"/>
  <c r="E52" i="5" a="1"/>
  <c r="E52" i="5" s="1"/>
  <c r="I50" i="5" a="1"/>
  <c r="I50" i="5" s="1"/>
  <c r="F52" i="5" a="1"/>
  <c r="F52" i="5" s="1"/>
  <c r="E50" i="5" a="1"/>
  <c r="E50" i="5" s="1"/>
  <c r="E49" i="5" a="1"/>
  <c r="E49" i="5" s="1"/>
  <c r="F50" i="5" a="1"/>
  <c r="F50" i="5" s="1"/>
  <c r="I51" i="5" a="1"/>
  <c r="I51" i="5" s="1"/>
  <c r="AV53" i="24" s="1"/>
  <c r="AX53" i="24" s="1"/>
  <c r="U53" i="24" s="1"/>
  <c r="I52" i="5" a="1"/>
  <c r="I52" i="5" s="1"/>
  <c r="AV54" i="24" s="1"/>
  <c r="AX54" i="24" s="1"/>
  <c r="U54" i="24" s="1"/>
  <c r="D52" i="5" a="1"/>
  <c r="D52" i="5" s="1"/>
  <c r="D53" i="5" a="1"/>
  <c r="D53" i="5" s="1"/>
  <c r="E51" i="5" a="1"/>
  <c r="E51" i="5" s="1"/>
  <c r="E53" i="5" a="1"/>
  <c r="E53" i="5" s="1"/>
  <c r="I53" i="5" a="1"/>
  <c r="I53" i="5" s="1"/>
  <c r="AV55" i="24" s="1"/>
  <c r="AX55" i="24" s="1"/>
  <c r="U55" i="24" s="1"/>
  <c r="F53" i="5" a="1"/>
  <c r="F53" i="5" s="1"/>
  <c r="D26" i="5" a="1"/>
  <c r="D26" i="5" s="1"/>
  <c r="F25" i="5" a="1"/>
  <c r="F25" i="5" s="1"/>
  <c r="D25" i="5" a="1"/>
  <c r="D25" i="5" s="1"/>
  <c r="D24" i="5" a="1"/>
  <c r="D24" i="5" s="1"/>
  <c r="D23" i="5" s="1"/>
  <c r="D22" i="5" s="1"/>
  <c r="F63" i="5" l="1"/>
  <c r="F64" i="5" s="1"/>
  <c r="F65" i="5" s="1"/>
  <c r="F66" i="5" s="1"/>
  <c r="F67" i="5" s="1"/>
  <c r="F68" i="5" s="1"/>
  <c r="F69" i="5" s="1"/>
  <c r="D21" i="5"/>
  <c r="D20" i="5" s="1"/>
  <c r="D19" i="5" s="1"/>
  <c r="D18" i="5" s="1"/>
  <c r="D17" i="5" s="1"/>
  <c r="AN36" i="60"/>
  <c r="AP36" i="60" s="1"/>
  <c r="AV36" i="60" s="1"/>
  <c r="AX36" i="60" s="1"/>
  <c r="U36" i="60" s="1"/>
  <c r="W36" i="60" s="1"/>
  <c r="Y36" i="60" s="1"/>
  <c r="AN36" i="62"/>
  <c r="AP36" i="62" s="1"/>
  <c r="AV36" i="62" s="1"/>
  <c r="AX36" i="62" s="1"/>
  <c r="U36" i="62" s="1"/>
  <c r="AN36" i="63"/>
  <c r="AP36" i="63" s="1"/>
  <c r="AV36" i="63" s="1"/>
  <c r="AX36" i="63" s="1"/>
  <c r="U36" i="63" s="1"/>
  <c r="AN36" i="61"/>
  <c r="AP36" i="61" s="1"/>
  <c r="AV36" i="61" s="1"/>
  <c r="AX36" i="61" s="1"/>
  <c r="U36" i="61" s="1"/>
  <c r="AN38" i="31"/>
  <c r="AP38" i="31" s="1"/>
  <c r="AV38" i="31" s="1"/>
  <c r="AX38" i="31" s="1"/>
  <c r="U38" i="31" s="1"/>
  <c r="W38" i="31" s="1"/>
  <c r="Y38" i="31" s="1"/>
  <c r="AN36" i="74"/>
  <c r="AP36" i="74" s="1"/>
  <c r="AV36" i="74" s="1"/>
  <c r="AX36" i="74" s="1"/>
  <c r="U36" i="74" s="1"/>
  <c r="W36" i="74" s="1"/>
  <c r="Y36" i="74" s="1"/>
  <c r="AN37" i="57"/>
  <c r="AP37" i="57" s="1"/>
  <c r="AV37" i="57" s="1"/>
  <c r="AX37" i="57" s="1"/>
  <c r="U37" i="57" s="1"/>
  <c r="AN36" i="58"/>
  <c r="AP36" i="58" s="1"/>
  <c r="AV36" i="58" s="1"/>
  <c r="AX36" i="58" s="1"/>
  <c r="U36" i="58" s="1"/>
  <c r="W36" i="58" s="1"/>
  <c r="Y36" i="58" s="1"/>
  <c r="AN36" i="59"/>
  <c r="AP36" i="59" s="1"/>
  <c r="AV36" i="59" s="1"/>
  <c r="AX36" i="59" s="1"/>
  <c r="U36" i="59" s="1"/>
  <c r="W36" i="59" s="1"/>
  <c r="Y36" i="59" s="1"/>
  <c r="AN31" i="63"/>
  <c r="AP31" i="63" s="1"/>
  <c r="AV31" i="63" s="1"/>
  <c r="AX31" i="63" s="1"/>
  <c r="U31" i="63" s="1"/>
  <c r="AN32" i="57"/>
  <c r="AP32" i="57" s="1"/>
  <c r="AV32" i="57" s="1"/>
  <c r="AX32" i="57" s="1"/>
  <c r="U32" i="57" s="1"/>
  <c r="AN31" i="59"/>
  <c r="AP31" i="59" s="1"/>
  <c r="AV31" i="59" s="1"/>
  <c r="AX31" i="59" s="1"/>
  <c r="U31" i="59" s="1"/>
  <c r="W31" i="59" s="1"/>
  <c r="Y31" i="59" s="1"/>
  <c r="AN31" i="60"/>
  <c r="AP31" i="60" s="1"/>
  <c r="AV31" i="60" s="1"/>
  <c r="AX31" i="60" s="1"/>
  <c r="U31" i="60" s="1"/>
  <c r="W31" i="60" s="1"/>
  <c r="Y31" i="60" s="1"/>
  <c r="AN31" i="61"/>
  <c r="AP31" i="61" s="1"/>
  <c r="AV31" i="61" s="1"/>
  <c r="AX31" i="61" s="1"/>
  <c r="U31" i="61" s="1"/>
  <c r="AN31" i="62"/>
  <c r="AP31" i="62" s="1"/>
  <c r="AV31" i="62" s="1"/>
  <c r="AX31" i="62" s="1"/>
  <c r="U31" i="62" s="1"/>
  <c r="AN31" i="58"/>
  <c r="AP31" i="58" s="1"/>
  <c r="AV31" i="58" s="1"/>
  <c r="AX31" i="58" s="1"/>
  <c r="U31" i="58" s="1"/>
  <c r="W31" i="58" s="1"/>
  <c r="Y31" i="58" s="1"/>
  <c r="AN33" i="31"/>
  <c r="AP33" i="31" s="1"/>
  <c r="AV33" i="31" s="1"/>
  <c r="AX33" i="31" s="1"/>
  <c r="U33" i="31" s="1"/>
  <c r="W33" i="31" s="1"/>
  <c r="Y33" i="31" s="1"/>
  <c r="AN31" i="74"/>
  <c r="AP31" i="74" s="1"/>
  <c r="AV31" i="74" s="1"/>
  <c r="AX31" i="74" s="1"/>
  <c r="U31" i="74" s="1"/>
  <c r="W31" i="74" s="1"/>
  <c r="Y31" i="74" s="1"/>
  <c r="AP31" i="24"/>
  <c r="AV31" i="24" s="1"/>
  <c r="AX31" i="24" s="1"/>
  <c r="U31" i="24" s="1"/>
  <c r="W31" i="24" s="1"/>
  <c r="Y31" i="24" s="1"/>
  <c r="AN30" i="74"/>
  <c r="AP30" i="74" s="1"/>
  <c r="AV30" i="74" s="1"/>
  <c r="AX30" i="74" s="1"/>
  <c r="U30" i="74" s="1"/>
  <c r="W30" i="74" s="1"/>
  <c r="Y30" i="74" s="1"/>
  <c r="AP28" i="31"/>
  <c r="AN37" i="59"/>
  <c r="AP37" i="59" s="1"/>
  <c r="AV37" i="59" s="1"/>
  <c r="AX37" i="59" s="1"/>
  <c r="U37" i="59" s="1"/>
  <c r="W37" i="59" s="1"/>
  <c r="Y37" i="59" s="1"/>
  <c r="AN37" i="62"/>
  <c r="AP37" i="62" s="1"/>
  <c r="AV37" i="62" s="1"/>
  <c r="AX37" i="62" s="1"/>
  <c r="U37" i="62" s="1"/>
  <c r="AN37" i="60"/>
  <c r="AP37" i="60" s="1"/>
  <c r="AV37" i="60" s="1"/>
  <c r="AX37" i="60" s="1"/>
  <c r="U37" i="60" s="1"/>
  <c r="W37" i="60" s="1"/>
  <c r="Y37" i="60" s="1"/>
  <c r="AN37" i="63"/>
  <c r="AP37" i="63" s="1"/>
  <c r="AV37" i="63" s="1"/>
  <c r="AX37" i="63" s="1"/>
  <c r="U37" i="63" s="1"/>
  <c r="AN38" i="57"/>
  <c r="AP38" i="57" s="1"/>
  <c r="AV38" i="57" s="1"/>
  <c r="AX38" i="57" s="1"/>
  <c r="U38" i="57" s="1"/>
  <c r="AN37" i="58"/>
  <c r="AP37" i="58" s="1"/>
  <c r="AV37" i="58" s="1"/>
  <c r="AX37" i="58" s="1"/>
  <c r="U37" i="58" s="1"/>
  <c r="W37" i="58" s="1"/>
  <c r="Y37" i="58" s="1"/>
  <c r="AN37" i="74"/>
  <c r="AP37" i="74" s="1"/>
  <c r="AV37" i="74" s="1"/>
  <c r="AX37" i="74" s="1"/>
  <c r="U37" i="74" s="1"/>
  <c r="W37" i="74" s="1"/>
  <c r="Y37" i="74" s="1"/>
  <c r="AN39" i="31"/>
  <c r="AP39" i="31" s="1"/>
  <c r="AV39" i="31" s="1"/>
  <c r="AX39" i="31" s="1"/>
  <c r="U39" i="31" s="1"/>
  <c r="W39" i="31" s="1"/>
  <c r="Y39" i="31" s="1"/>
  <c r="AN37" i="61"/>
  <c r="AP37" i="61" s="1"/>
  <c r="AV37" i="61" s="1"/>
  <c r="AX37" i="61" s="1"/>
  <c r="U37" i="61" s="1"/>
  <c r="AN32" i="58"/>
  <c r="AP32" i="58" s="1"/>
  <c r="AV32" i="58" s="1"/>
  <c r="AX32" i="58" s="1"/>
  <c r="U32" i="58" s="1"/>
  <c r="W32" i="58" s="1"/>
  <c r="Y32" i="58" s="1"/>
  <c r="AN32" i="60"/>
  <c r="AP32" i="60" s="1"/>
  <c r="AV32" i="60" s="1"/>
  <c r="AX32" i="60" s="1"/>
  <c r="U32" i="60" s="1"/>
  <c r="W32" i="60" s="1"/>
  <c r="Y32" i="60" s="1"/>
  <c r="AN34" i="31"/>
  <c r="AP34" i="31" s="1"/>
  <c r="AV34" i="31" s="1"/>
  <c r="AX34" i="31" s="1"/>
  <c r="U34" i="31" s="1"/>
  <c r="W34" i="31" s="1"/>
  <c r="Y34" i="31" s="1"/>
  <c r="AN32" i="59"/>
  <c r="AP32" i="59" s="1"/>
  <c r="AV32" i="59" s="1"/>
  <c r="AX32" i="59" s="1"/>
  <c r="U32" i="59" s="1"/>
  <c r="W32" i="59" s="1"/>
  <c r="Y32" i="59" s="1"/>
  <c r="AN32" i="62"/>
  <c r="AP32" i="62" s="1"/>
  <c r="AV32" i="62" s="1"/>
  <c r="AX32" i="62" s="1"/>
  <c r="U32" i="62" s="1"/>
  <c r="AN32" i="61"/>
  <c r="AP32" i="61" s="1"/>
  <c r="AV32" i="61" s="1"/>
  <c r="AX32" i="61" s="1"/>
  <c r="U32" i="61" s="1"/>
  <c r="AN32" i="74"/>
  <c r="AP32" i="74" s="1"/>
  <c r="AV32" i="74" s="1"/>
  <c r="AX32" i="74" s="1"/>
  <c r="U32" i="74" s="1"/>
  <c r="W32" i="74" s="1"/>
  <c r="Y32" i="74" s="1"/>
  <c r="AN32" i="63"/>
  <c r="AP32" i="63" s="1"/>
  <c r="AV32" i="63" s="1"/>
  <c r="AX32" i="63" s="1"/>
  <c r="U32" i="63" s="1"/>
  <c r="AN33" i="57"/>
  <c r="AP33" i="57" s="1"/>
  <c r="AV33" i="57" s="1"/>
  <c r="AX33" i="57" s="1"/>
  <c r="U33" i="57" s="1"/>
  <c r="W33" i="57" s="1"/>
  <c r="Y33" i="57" s="1"/>
  <c r="AN30" i="44"/>
  <c r="AP30" i="44" s="1"/>
  <c r="AV30" i="44" s="1"/>
  <c r="AX30" i="44" s="1"/>
  <c r="U30" i="44" s="1"/>
  <c r="W30" i="44" s="1"/>
  <c r="Y30" i="44" s="1"/>
  <c r="AN29" i="60"/>
  <c r="AP29" i="60" s="1"/>
  <c r="AV29" i="60" s="1"/>
  <c r="AX29" i="60" s="1"/>
  <c r="U29" i="60" s="1"/>
  <c r="W29" i="60" s="1"/>
  <c r="Y29" i="60" s="1"/>
  <c r="AN29" i="59"/>
  <c r="AP29" i="59" s="1"/>
  <c r="AV29" i="59" s="1"/>
  <c r="AX29" i="59" s="1"/>
  <c r="U29" i="59" s="1"/>
  <c r="W29" i="59" s="1"/>
  <c r="Y29" i="59" s="1"/>
  <c r="AN29" i="63"/>
  <c r="AP29" i="63" s="1"/>
  <c r="AV29" i="63" s="1"/>
  <c r="AX29" i="63" s="1"/>
  <c r="U29" i="63" s="1"/>
  <c r="AN29" i="62"/>
  <c r="AP29" i="62" s="1"/>
  <c r="AV29" i="62" s="1"/>
  <c r="AX29" i="62" s="1"/>
  <c r="U29" i="62" s="1"/>
  <c r="AN31" i="31"/>
  <c r="AP31" i="31" s="1"/>
  <c r="AV31" i="31" s="1"/>
  <c r="AX31" i="31" s="1"/>
  <c r="U31" i="31" s="1"/>
  <c r="W31" i="31" s="1"/>
  <c r="Y31" i="31" s="1"/>
  <c r="AN29" i="74"/>
  <c r="AP29" i="74" s="1"/>
  <c r="AV29" i="74" s="1"/>
  <c r="AX29" i="74" s="1"/>
  <c r="U29" i="74" s="1"/>
  <c r="W29" i="74" s="1"/>
  <c r="Y29" i="74" s="1"/>
  <c r="AN28" i="57"/>
  <c r="AN29" i="31"/>
  <c r="AP29" i="31" s="1"/>
  <c r="AV29" i="31" s="1"/>
  <c r="AX29" i="31" s="1"/>
  <c r="U29" i="31" s="1"/>
  <c r="W29" i="31" s="1"/>
  <c r="Y29" i="31" s="1"/>
  <c r="AN38" i="74"/>
  <c r="AP38" i="74" s="1"/>
  <c r="AV38" i="74" s="1"/>
  <c r="AX38" i="74" s="1"/>
  <c r="U38" i="74" s="1"/>
  <c r="W38" i="74" s="1"/>
  <c r="Y38" i="74" s="1"/>
  <c r="AN38" i="58"/>
  <c r="AP38" i="58" s="1"/>
  <c r="AN38" i="59"/>
  <c r="AP38" i="59" s="1"/>
  <c r="AV38" i="59" s="1"/>
  <c r="AX38" i="59" s="1"/>
  <c r="U38" i="59" s="1"/>
  <c r="W38" i="59" s="1"/>
  <c r="Y38" i="59" s="1"/>
  <c r="AN38" i="60"/>
  <c r="AP38" i="60" s="1"/>
  <c r="AV38" i="60" s="1"/>
  <c r="AX38" i="60" s="1"/>
  <c r="U38" i="60" s="1"/>
  <c r="W38" i="60" s="1"/>
  <c r="Y38" i="60" s="1"/>
  <c r="AN38" i="62"/>
  <c r="AP38" i="62" s="1"/>
  <c r="AV38" i="62" s="1"/>
  <c r="AX38" i="62" s="1"/>
  <c r="U38" i="62" s="1"/>
  <c r="W38" i="62" s="1"/>
  <c r="Y38" i="62" s="1"/>
  <c r="AN38" i="61"/>
  <c r="AP38" i="61" s="1"/>
  <c r="AV38" i="61" s="1"/>
  <c r="AX38" i="61" s="1"/>
  <c r="U38" i="61" s="1"/>
  <c r="W38" i="61" s="1"/>
  <c r="Y38" i="61" s="1"/>
  <c r="AN38" i="63"/>
  <c r="AP38" i="63" s="1"/>
  <c r="AV38" i="63" s="1"/>
  <c r="AX38" i="63" s="1"/>
  <c r="U38" i="63" s="1"/>
  <c r="W38" i="63" s="1"/>
  <c r="Y38" i="63" s="1"/>
  <c r="AN35" i="31"/>
  <c r="AP35" i="31" s="1"/>
  <c r="AV35" i="31" s="1"/>
  <c r="AX35" i="31" s="1"/>
  <c r="U35" i="31" s="1"/>
  <c r="W35" i="31" s="1"/>
  <c r="Y35" i="31" s="1"/>
  <c r="AN33" i="74"/>
  <c r="AP33" i="74" s="1"/>
  <c r="AV33" i="74" s="1"/>
  <c r="AX33" i="74" s="1"/>
  <c r="U33" i="74" s="1"/>
  <c r="W33" i="74" s="1"/>
  <c r="Y33" i="74" s="1"/>
  <c r="AN33" i="59"/>
  <c r="AP33" i="59" s="1"/>
  <c r="AV33" i="59" s="1"/>
  <c r="AX33" i="59" s="1"/>
  <c r="U33" i="59" s="1"/>
  <c r="W33" i="59" s="1"/>
  <c r="Y33" i="59" s="1"/>
  <c r="AN33" i="62"/>
  <c r="AP33" i="62" s="1"/>
  <c r="AV33" i="62" s="1"/>
  <c r="AX33" i="62" s="1"/>
  <c r="U33" i="62" s="1"/>
  <c r="AN33" i="63"/>
  <c r="AP33" i="63" s="1"/>
  <c r="AV33" i="63" s="1"/>
  <c r="AX33" i="63" s="1"/>
  <c r="U33" i="63" s="1"/>
  <c r="AN33" i="58"/>
  <c r="AP33" i="58" s="1"/>
  <c r="AV33" i="58" s="1"/>
  <c r="AX33" i="58" s="1"/>
  <c r="U33" i="58" s="1"/>
  <c r="W33" i="58" s="1"/>
  <c r="Y33" i="58" s="1"/>
  <c r="AN34" i="57"/>
  <c r="AP34" i="57" s="1"/>
  <c r="AV34" i="57" s="1"/>
  <c r="AX34" i="57" s="1"/>
  <c r="U34" i="57" s="1"/>
  <c r="AN33" i="61"/>
  <c r="AP33" i="61" s="1"/>
  <c r="AV33" i="61" s="1"/>
  <c r="AX33" i="61" s="1"/>
  <c r="U33" i="61" s="1"/>
  <c r="AN33" i="60"/>
  <c r="AP33" i="60" s="1"/>
  <c r="AV33" i="60" s="1"/>
  <c r="AX33" i="60" s="1"/>
  <c r="U33" i="60" s="1"/>
  <c r="W33" i="60" s="1"/>
  <c r="Y33" i="60" s="1"/>
  <c r="AN30" i="31"/>
  <c r="AP30" i="31" s="1"/>
  <c r="AV30" i="31" s="1"/>
  <c r="AX30" i="31" s="1"/>
  <c r="U30" i="31" s="1"/>
  <c r="W30" i="31" s="1"/>
  <c r="Y30" i="31" s="1"/>
  <c r="AN29" i="57"/>
  <c r="AP29" i="57" s="1"/>
  <c r="AV29" i="57" s="1"/>
  <c r="AX29" i="57" s="1"/>
  <c r="U29" i="57" s="1"/>
  <c r="AN28" i="58"/>
  <c r="AN28" i="61"/>
  <c r="AN28" i="60"/>
  <c r="AN28" i="62"/>
  <c r="AN28" i="74"/>
  <c r="AN28" i="59"/>
  <c r="AN28" i="63"/>
  <c r="AN35" i="74"/>
  <c r="AP35" i="74" s="1"/>
  <c r="AV35" i="74" s="1"/>
  <c r="AX35" i="74" s="1"/>
  <c r="U35" i="74" s="1"/>
  <c r="W35" i="74" s="1"/>
  <c r="Y35" i="74" s="1"/>
  <c r="AN35" i="62"/>
  <c r="AP35" i="62" s="1"/>
  <c r="AV35" i="62" s="1"/>
  <c r="AX35" i="62" s="1"/>
  <c r="U35" i="62" s="1"/>
  <c r="AN35" i="58"/>
  <c r="AP35" i="58" s="1"/>
  <c r="AV35" i="58" s="1"/>
  <c r="AX35" i="58" s="1"/>
  <c r="U35" i="58" s="1"/>
  <c r="W35" i="58" s="1"/>
  <c r="Y35" i="58" s="1"/>
  <c r="AN35" i="61"/>
  <c r="AP35" i="61" s="1"/>
  <c r="AV35" i="61" s="1"/>
  <c r="AX35" i="61" s="1"/>
  <c r="U35" i="61" s="1"/>
  <c r="AN37" i="31"/>
  <c r="AP37" i="31" s="1"/>
  <c r="AV37" i="31" s="1"/>
  <c r="AX37" i="31" s="1"/>
  <c r="U37" i="31" s="1"/>
  <c r="W37" i="31" s="1"/>
  <c r="Y37" i="31" s="1"/>
  <c r="AN35" i="60"/>
  <c r="AP35" i="60" s="1"/>
  <c r="AV35" i="60" s="1"/>
  <c r="AX35" i="60" s="1"/>
  <c r="U35" i="60" s="1"/>
  <c r="W35" i="60" s="1"/>
  <c r="Y35" i="60" s="1"/>
  <c r="AN35" i="63"/>
  <c r="AP35" i="63" s="1"/>
  <c r="AV35" i="63" s="1"/>
  <c r="AX35" i="63" s="1"/>
  <c r="U35" i="63" s="1"/>
  <c r="AN35" i="59"/>
  <c r="AP35" i="59" s="1"/>
  <c r="AV35" i="59" s="1"/>
  <c r="AX35" i="59" s="1"/>
  <c r="U35" i="59" s="1"/>
  <c r="W35" i="59" s="1"/>
  <c r="Y35" i="59" s="1"/>
  <c r="AN36" i="57"/>
  <c r="AP36" i="57" s="1"/>
  <c r="AV36" i="57" s="1"/>
  <c r="AX36" i="57" s="1"/>
  <c r="U36" i="57" s="1"/>
  <c r="AN49" i="45"/>
  <c r="AP49" i="45" s="1"/>
  <c r="AV49" i="45" s="1"/>
  <c r="AX49" i="45" s="1"/>
  <c r="U49" i="45" s="1"/>
  <c r="W49" i="45" s="1"/>
  <c r="Y49" i="45" s="1"/>
  <c r="AN49" i="44"/>
  <c r="AP49" i="44" s="1"/>
  <c r="AV49" i="44" s="1"/>
  <c r="AX49" i="44" s="1"/>
  <c r="U49" i="44" s="1"/>
  <c r="W49" i="44" s="1"/>
  <c r="Y49" i="44" s="1"/>
  <c r="AN52" i="44"/>
  <c r="AP52" i="44" s="1"/>
  <c r="AV52" i="44" s="1"/>
  <c r="AX52" i="44" s="1"/>
  <c r="U52" i="44" s="1"/>
  <c r="AN45" i="45"/>
  <c r="AP45" i="45" s="1"/>
  <c r="AV45" i="45" s="1"/>
  <c r="AX45" i="45" s="1"/>
  <c r="U45" i="45" s="1"/>
  <c r="W45" i="45" s="1"/>
  <c r="Y45" i="45" s="1"/>
  <c r="AN52" i="45"/>
  <c r="AP52" i="45" s="1"/>
  <c r="AV52" i="45" s="1"/>
  <c r="AX52" i="45" s="1"/>
  <c r="U52" i="45" s="1"/>
  <c r="W52" i="45" s="1"/>
  <c r="Y52" i="45" s="1"/>
  <c r="AN45" i="44"/>
  <c r="AP45" i="44" s="1"/>
  <c r="AV45" i="44" s="1"/>
  <c r="AX45" i="44" s="1"/>
  <c r="U45" i="44" s="1"/>
  <c r="W45" i="44" s="1"/>
  <c r="Y45" i="44" s="1"/>
  <c r="AN40" i="45"/>
  <c r="AP40" i="45" s="1"/>
  <c r="AV40" i="45" s="1"/>
  <c r="AX40" i="45" s="1"/>
  <c r="U40" i="45" s="1"/>
  <c r="W40" i="45" s="1"/>
  <c r="Y40" i="45" s="1"/>
  <c r="AN40" i="44"/>
  <c r="AP40" i="44" s="1"/>
  <c r="AV40" i="44" s="1"/>
  <c r="AX40" i="44" s="1"/>
  <c r="U40" i="44" s="1"/>
  <c r="W40" i="44" s="1"/>
  <c r="Y40" i="44" s="1"/>
  <c r="AN37" i="45"/>
  <c r="AP37" i="45" s="1"/>
  <c r="AV37" i="45" s="1"/>
  <c r="AX37" i="45" s="1"/>
  <c r="U37" i="45" s="1"/>
  <c r="W37" i="45" s="1"/>
  <c r="Y37" i="45" s="1"/>
  <c r="AN37" i="44"/>
  <c r="AP37" i="44" s="1"/>
  <c r="AV37" i="44" s="1"/>
  <c r="AX37" i="44" s="1"/>
  <c r="U37" i="44" s="1"/>
  <c r="W37" i="44" s="1"/>
  <c r="Y37" i="44" s="1"/>
  <c r="AP32" i="24"/>
  <c r="AV32" i="24" s="1"/>
  <c r="AX32" i="24" s="1"/>
  <c r="U32" i="24" s="1"/>
  <c r="W32" i="24" s="1"/>
  <c r="Y32" i="24" s="1"/>
  <c r="AN32" i="44"/>
  <c r="AP32" i="44" s="1"/>
  <c r="AV32" i="44" s="1"/>
  <c r="AX32" i="44" s="1"/>
  <c r="U32" i="44" s="1"/>
  <c r="W32" i="44" s="1"/>
  <c r="Y32" i="44" s="1"/>
  <c r="AN32" i="45"/>
  <c r="AP32" i="45" s="1"/>
  <c r="AV32" i="45" s="1"/>
  <c r="AX32" i="45" s="1"/>
  <c r="U32" i="45" s="1"/>
  <c r="W32" i="45" s="1"/>
  <c r="Y32" i="45" s="1"/>
  <c r="AN48" i="45"/>
  <c r="AP48" i="45" s="1"/>
  <c r="AV48" i="45" s="1"/>
  <c r="AX48" i="45" s="1"/>
  <c r="U48" i="45" s="1"/>
  <c r="W48" i="45" s="1"/>
  <c r="Y48" i="45" s="1"/>
  <c r="AN48" i="44"/>
  <c r="AP48" i="44" s="1"/>
  <c r="AV48" i="44" s="1"/>
  <c r="AX48" i="44" s="1"/>
  <c r="U48" i="44" s="1"/>
  <c r="W48" i="44" s="1"/>
  <c r="Y48" i="44" s="1"/>
  <c r="AN47" i="44"/>
  <c r="AP47" i="44" s="1"/>
  <c r="AV47" i="44" s="1"/>
  <c r="AX47" i="44" s="1"/>
  <c r="U47" i="44" s="1"/>
  <c r="W47" i="44" s="1"/>
  <c r="Y47" i="44" s="1"/>
  <c r="AN47" i="45"/>
  <c r="AP47" i="45" s="1"/>
  <c r="AV47" i="45" s="1"/>
  <c r="AX47" i="45" s="1"/>
  <c r="U47" i="45" s="1"/>
  <c r="W47" i="45" s="1"/>
  <c r="Y47" i="45" s="1"/>
  <c r="AN44" i="45"/>
  <c r="AP44" i="45" s="1"/>
  <c r="AV44" i="45" s="1"/>
  <c r="AX44" i="45" s="1"/>
  <c r="U44" i="45" s="1"/>
  <c r="W44" i="45" s="1"/>
  <c r="Y44" i="45" s="1"/>
  <c r="AN51" i="44"/>
  <c r="AP51" i="44" s="1"/>
  <c r="AV51" i="44" s="1"/>
  <c r="AX51" i="44" s="1"/>
  <c r="U51" i="44" s="1"/>
  <c r="W51" i="44" s="1"/>
  <c r="Y51" i="44" s="1"/>
  <c r="AN44" i="44"/>
  <c r="AP44" i="44" s="1"/>
  <c r="AV44" i="44" s="1"/>
  <c r="AX44" i="44" s="1"/>
  <c r="U44" i="44" s="1"/>
  <c r="W44" i="44" s="1"/>
  <c r="Y44" i="44" s="1"/>
  <c r="AN51" i="45"/>
  <c r="AP51" i="45" s="1"/>
  <c r="AV51" i="45" s="1"/>
  <c r="AX51" i="45" s="1"/>
  <c r="U51" i="45" s="1"/>
  <c r="W51" i="45" s="1"/>
  <c r="Y51" i="45" s="1"/>
  <c r="AN38" i="44"/>
  <c r="AP38" i="44" s="1"/>
  <c r="AV38" i="44" s="1"/>
  <c r="AX38" i="44" s="1"/>
  <c r="U38" i="44" s="1"/>
  <c r="W38" i="44" s="1"/>
  <c r="Y38" i="44" s="1"/>
  <c r="AN38" i="45"/>
  <c r="AP38" i="45" s="1"/>
  <c r="AV38" i="45" s="1"/>
  <c r="AX38" i="45" s="1"/>
  <c r="U38" i="45" s="1"/>
  <c r="W38" i="45" s="1"/>
  <c r="Y38" i="45" s="1"/>
  <c r="AN33" i="44"/>
  <c r="AP33" i="44" s="1"/>
  <c r="AV33" i="44" s="1"/>
  <c r="AX33" i="44" s="1"/>
  <c r="U33" i="44" s="1"/>
  <c r="W33" i="44" s="1"/>
  <c r="Y33" i="44" s="1"/>
  <c r="AN33" i="45"/>
  <c r="AP33" i="45" s="1"/>
  <c r="AV33" i="45" s="1"/>
  <c r="AX33" i="45" s="1"/>
  <c r="U33" i="45" s="1"/>
  <c r="W33" i="45" s="1"/>
  <c r="Y33" i="45" s="1"/>
  <c r="AN28" i="45"/>
  <c r="AN28" i="44"/>
  <c r="AN41" i="44"/>
  <c r="AP41" i="44" s="1"/>
  <c r="AV41" i="44" s="1"/>
  <c r="AX41" i="44" s="1"/>
  <c r="U41" i="44" s="1"/>
  <c r="W41" i="44" s="1"/>
  <c r="Y41" i="44" s="1"/>
  <c r="AN41" i="45"/>
  <c r="AP41" i="45" s="1"/>
  <c r="AV41" i="45" s="1"/>
  <c r="AX41" i="45" s="1"/>
  <c r="U41" i="45" s="1"/>
  <c r="W41" i="45" s="1"/>
  <c r="Y41" i="45" s="1"/>
  <c r="AN39" i="45"/>
  <c r="AP39" i="45" s="1"/>
  <c r="AV39" i="45" s="1"/>
  <c r="AX39" i="45" s="1"/>
  <c r="U39" i="45" s="1"/>
  <c r="W39" i="45" s="1"/>
  <c r="Y39" i="45" s="1"/>
  <c r="AN39" i="44"/>
  <c r="AP39" i="44" s="1"/>
  <c r="AV39" i="44" s="1"/>
  <c r="AX39" i="44" s="1"/>
  <c r="U39" i="44" s="1"/>
  <c r="W39" i="44" s="1"/>
  <c r="Y39" i="44" s="1"/>
  <c r="AN34" i="45"/>
  <c r="AP34" i="45" s="1"/>
  <c r="AV34" i="45" s="1"/>
  <c r="AX34" i="45" s="1"/>
  <c r="U34" i="45" s="1"/>
  <c r="W34" i="45" s="1"/>
  <c r="Y34" i="45" s="1"/>
  <c r="AN34" i="44"/>
  <c r="AP34" i="44" s="1"/>
  <c r="AV34" i="44" s="1"/>
  <c r="AX34" i="44" s="1"/>
  <c r="U34" i="44" s="1"/>
  <c r="W34" i="44" s="1"/>
  <c r="Y34" i="44" s="1"/>
  <c r="AN29" i="44"/>
  <c r="AP29" i="44" s="1"/>
  <c r="AV29" i="44" s="1"/>
  <c r="AX29" i="44" s="1"/>
  <c r="U29" i="44" s="1"/>
  <c r="W29" i="44" s="1"/>
  <c r="Y29" i="44" s="1"/>
  <c r="AN29" i="45"/>
  <c r="AP29" i="45" s="1"/>
  <c r="AV29" i="45" s="1"/>
  <c r="AX29" i="45" s="1"/>
  <c r="U29" i="45" s="1"/>
  <c r="W29" i="45" s="1"/>
  <c r="Y29" i="45" s="1"/>
  <c r="AN46" i="44"/>
  <c r="AP46" i="44" s="1"/>
  <c r="AV46" i="44" s="1"/>
  <c r="AX46" i="44" s="1"/>
  <c r="U46" i="44" s="1"/>
  <c r="W46" i="44" s="1"/>
  <c r="Y46" i="44" s="1"/>
  <c r="AN46" i="45"/>
  <c r="AP46" i="45" s="1"/>
  <c r="AV46" i="45" s="1"/>
  <c r="AX46" i="45" s="1"/>
  <c r="U46" i="45" s="1"/>
  <c r="W46" i="45" s="1"/>
  <c r="Y46" i="45" s="1"/>
  <c r="AN42" i="45"/>
  <c r="AP42" i="45" s="1"/>
  <c r="AV42" i="45" s="1"/>
  <c r="AX42" i="45" s="1"/>
  <c r="U42" i="45" s="1"/>
  <c r="W42" i="45" s="1"/>
  <c r="Y42" i="45" s="1"/>
  <c r="AN42" i="44"/>
  <c r="AP42" i="44" s="1"/>
  <c r="AV42" i="44" s="1"/>
  <c r="AX42" i="44" s="1"/>
  <c r="U42" i="44" s="1"/>
  <c r="W42" i="44" s="1"/>
  <c r="Y42" i="44" s="1"/>
  <c r="AN43" i="44"/>
  <c r="AP43" i="44" s="1"/>
  <c r="AV43" i="44" s="1"/>
  <c r="AX43" i="44" s="1"/>
  <c r="U43" i="44" s="1"/>
  <c r="W43" i="44" s="1"/>
  <c r="Y43" i="44" s="1"/>
  <c r="AN43" i="45"/>
  <c r="AP43" i="45" s="1"/>
  <c r="AV43" i="45" s="1"/>
  <c r="AX43" i="45" s="1"/>
  <c r="U43" i="45" s="1"/>
  <c r="W43" i="45" s="1"/>
  <c r="Y43" i="45" s="1"/>
  <c r="AN50" i="45"/>
  <c r="AP50" i="45" s="1"/>
  <c r="AV50" i="45" s="1"/>
  <c r="AX50" i="45" s="1"/>
  <c r="U50" i="45" s="1"/>
  <c r="W50" i="45" s="1"/>
  <c r="Y50" i="45" s="1"/>
  <c r="AN50" i="44"/>
  <c r="AP50" i="44" s="1"/>
  <c r="AV50" i="44" s="1"/>
  <c r="AX50" i="44" s="1"/>
  <c r="U50" i="44" s="1"/>
  <c r="W50" i="44" s="1"/>
  <c r="Y50" i="44" s="1"/>
  <c r="AN36" i="45"/>
  <c r="AP36" i="45" s="1"/>
  <c r="AV36" i="45" s="1"/>
  <c r="AX36" i="45" s="1"/>
  <c r="U36" i="45" s="1"/>
  <c r="W36" i="45" s="1"/>
  <c r="Y36" i="45" s="1"/>
  <c r="AN36" i="44"/>
  <c r="AP36" i="44" s="1"/>
  <c r="AV36" i="44" s="1"/>
  <c r="AX36" i="44" s="1"/>
  <c r="U36" i="44" s="1"/>
  <c r="W36" i="44" s="1"/>
  <c r="Y36" i="44" s="1"/>
  <c r="AV45" i="24"/>
  <c r="AX45" i="24" s="1"/>
  <c r="U45" i="24" s="1"/>
  <c r="W45" i="24" s="1"/>
  <c r="Y45" i="24" s="1"/>
  <c r="AV40" i="24"/>
  <c r="AX40" i="24" s="1"/>
  <c r="U40" i="24" s="1"/>
  <c r="W40" i="24" s="1"/>
  <c r="Y40" i="24" s="1"/>
  <c r="AV37" i="24"/>
  <c r="AX37" i="24" s="1"/>
  <c r="U37" i="24" s="1"/>
  <c r="W37" i="24" s="1"/>
  <c r="Y37" i="24" s="1"/>
  <c r="AV52" i="24"/>
  <c r="AX52" i="24" s="1"/>
  <c r="U52" i="24" s="1"/>
  <c r="W52" i="24" s="1"/>
  <c r="Y52" i="24" s="1"/>
  <c r="AV48" i="24"/>
  <c r="AX48" i="24" s="1"/>
  <c r="U48" i="24" s="1"/>
  <c r="W48" i="24" s="1"/>
  <c r="Y48" i="24" s="1"/>
  <c r="AV51" i="24"/>
  <c r="AX51" i="24" s="1"/>
  <c r="U51" i="24" s="1"/>
  <c r="W51" i="24" s="1"/>
  <c r="Y51" i="24" s="1"/>
  <c r="AV47" i="24"/>
  <c r="AX47" i="24" s="1"/>
  <c r="U47" i="24" s="1"/>
  <c r="W47" i="24" s="1"/>
  <c r="Y47" i="24" s="1"/>
  <c r="AV44" i="24"/>
  <c r="AX44" i="24" s="1"/>
  <c r="U44" i="24" s="1"/>
  <c r="W44" i="24" s="1"/>
  <c r="Y44" i="24" s="1"/>
  <c r="AP38" i="24"/>
  <c r="AV38" i="24" s="1"/>
  <c r="AX38" i="24" s="1"/>
  <c r="U38" i="24" s="1"/>
  <c r="W38" i="24" s="1"/>
  <c r="Y38" i="24" s="1"/>
  <c r="AP33" i="24"/>
  <c r="AV33" i="24" s="1"/>
  <c r="AX33" i="24" s="1"/>
  <c r="U33" i="24" s="1"/>
  <c r="W33" i="24" s="1"/>
  <c r="Y33" i="24" s="1"/>
  <c r="AP30" i="24"/>
  <c r="AV30" i="24" s="1"/>
  <c r="AX30" i="24" s="1"/>
  <c r="U30" i="24" s="1"/>
  <c r="W30" i="24" s="1"/>
  <c r="Y30" i="24" s="1"/>
  <c r="AP28" i="24"/>
  <c r="AV28" i="24" s="1"/>
  <c r="AX28" i="24" s="1"/>
  <c r="U28" i="24" s="1"/>
  <c r="AV49" i="24"/>
  <c r="AX49" i="24" s="1"/>
  <c r="U49" i="24" s="1"/>
  <c r="W49" i="24" s="1"/>
  <c r="Y49" i="24" s="1"/>
  <c r="AV41" i="24"/>
  <c r="AX41" i="24" s="1"/>
  <c r="U41" i="24" s="1"/>
  <c r="W41" i="24" s="1"/>
  <c r="Y41" i="24" s="1"/>
  <c r="AP34" i="24"/>
  <c r="AV34" i="24" s="1"/>
  <c r="AX34" i="24" s="1"/>
  <c r="U34" i="24" s="1"/>
  <c r="W34" i="24" s="1"/>
  <c r="Y34" i="24" s="1"/>
  <c r="AP29" i="24"/>
  <c r="AV29" i="24" s="1"/>
  <c r="AX29" i="24" s="1"/>
  <c r="U29" i="24" s="1"/>
  <c r="AV46" i="24"/>
  <c r="AX46" i="24" s="1"/>
  <c r="U46" i="24" s="1"/>
  <c r="W46" i="24" s="1"/>
  <c r="Y46" i="24" s="1"/>
  <c r="AV50" i="24"/>
  <c r="AX50" i="24" s="1"/>
  <c r="U50" i="24" s="1"/>
  <c r="W50" i="24" s="1"/>
  <c r="Y50" i="24" s="1"/>
  <c r="AV42" i="24"/>
  <c r="AX42" i="24" s="1"/>
  <c r="U42" i="24" s="1"/>
  <c r="W42" i="24" s="1"/>
  <c r="Y42" i="24" s="1"/>
  <c r="AV43" i="24"/>
  <c r="AX43" i="24" s="1"/>
  <c r="U43" i="24" s="1"/>
  <c r="W43" i="24" s="1"/>
  <c r="Y43" i="24" s="1"/>
  <c r="AP36" i="24"/>
  <c r="AV36" i="24" s="1"/>
  <c r="AX36" i="24" s="1"/>
  <c r="U36" i="24" s="1"/>
  <c r="W36" i="24" s="1"/>
  <c r="Y36" i="24" s="1"/>
  <c r="AR390" i="5"/>
  <c r="AS391" i="5"/>
  <c r="I33" i="5" a="1"/>
  <c r="I33" i="5" s="1"/>
  <c r="E43" i="5" a="1"/>
  <c r="E43" i="5" s="1"/>
  <c r="D47" i="5" a="1"/>
  <c r="D47" i="5" s="1"/>
  <c r="W35" i="24"/>
  <c r="Y35" i="24" s="1"/>
  <c r="W29" i="24"/>
  <c r="Y29" i="24" s="1"/>
  <c r="W28" i="24"/>
  <c r="Y28" i="24" s="1"/>
  <c r="W53" i="24"/>
  <c r="Y53" i="24" s="1"/>
  <c r="W55" i="24"/>
  <c r="Y55" i="24" s="1"/>
  <c r="W54" i="24"/>
  <c r="Y54" i="24" s="1"/>
  <c r="W56" i="24"/>
  <c r="Y56" i="24" s="1"/>
  <c r="AP71" i="24"/>
  <c r="AP43" i="19"/>
  <c r="AV43" i="19" s="1"/>
  <c r="AX43" i="19" s="1"/>
  <c r="U43" i="19" s="1"/>
  <c r="W43" i="19" s="1"/>
  <c r="Y43" i="19" s="1"/>
  <c r="AP32" i="19"/>
  <c r="AV32" i="19" s="1"/>
  <c r="AX32" i="19" s="1"/>
  <c r="U32" i="19" s="1"/>
  <c r="W32" i="19" s="1"/>
  <c r="Y32" i="19" s="1"/>
  <c r="AP31" i="19"/>
  <c r="AV31" i="19" s="1"/>
  <c r="AX31" i="19" s="1"/>
  <c r="U31" i="19" s="1"/>
  <c r="W31" i="19" s="1"/>
  <c r="Y31" i="19" s="1"/>
  <c r="I23" i="5"/>
  <c r="I22" i="5" s="1"/>
  <c r="I21" i="5" s="1"/>
  <c r="I20" i="5" s="1"/>
  <c r="I19" i="5" s="1"/>
  <c r="I18" i="5" s="1"/>
  <c r="I17" i="5" s="1"/>
  <c r="AP44" i="19"/>
  <c r="AV44" i="19" s="1"/>
  <c r="AX44" i="19" s="1"/>
  <c r="U44" i="19" s="1"/>
  <c r="W44" i="19" s="1"/>
  <c r="Y44" i="19" s="1"/>
  <c r="AP50" i="19"/>
  <c r="AV50" i="19" s="1"/>
  <c r="AX50" i="19" s="1"/>
  <c r="U50" i="19" s="1"/>
  <c r="W50" i="19" s="1"/>
  <c r="Y50" i="19" s="1"/>
  <c r="AP47" i="19"/>
  <c r="AV47" i="19" s="1"/>
  <c r="AX47" i="19" s="1"/>
  <c r="U47" i="19" s="1"/>
  <c r="W47" i="19" s="1"/>
  <c r="Y47" i="19" s="1"/>
  <c r="AP48" i="19"/>
  <c r="AV48" i="19" s="1"/>
  <c r="AX48" i="19" s="1"/>
  <c r="U48" i="19" s="1"/>
  <c r="W48" i="19" s="1"/>
  <c r="Y48" i="19" s="1"/>
  <c r="AP41" i="19"/>
  <c r="AV41" i="19" s="1"/>
  <c r="AX41" i="19" s="1"/>
  <c r="U41" i="19" s="1"/>
  <c r="W41" i="19" s="1"/>
  <c r="Y41" i="19" s="1"/>
  <c r="AP34" i="19"/>
  <c r="AV34" i="19" s="1"/>
  <c r="AX34" i="19" s="1"/>
  <c r="U34" i="19" s="1"/>
  <c r="W34" i="19" s="1"/>
  <c r="Y34" i="19" s="1"/>
  <c r="AP51" i="19"/>
  <c r="AV51" i="19" s="1"/>
  <c r="AX51" i="19" s="1"/>
  <c r="U51" i="19" s="1"/>
  <c r="W51" i="19" s="1"/>
  <c r="Y51" i="19" s="1"/>
  <c r="AP46" i="19"/>
  <c r="AV46" i="19" s="1"/>
  <c r="AX46" i="19" s="1"/>
  <c r="U46" i="19" s="1"/>
  <c r="W46" i="19" s="1"/>
  <c r="Y46" i="19" s="1"/>
  <c r="AP39" i="19"/>
  <c r="AV39" i="19" s="1"/>
  <c r="AX39" i="19" s="1"/>
  <c r="U39" i="19" s="1"/>
  <c r="W39" i="19" s="1"/>
  <c r="Y39" i="19" s="1"/>
  <c r="AP35" i="19"/>
  <c r="AV35" i="19" s="1"/>
  <c r="AX35" i="19" s="1"/>
  <c r="U35" i="19" s="1"/>
  <c r="W35" i="19" s="1"/>
  <c r="Y35" i="19" s="1"/>
  <c r="I55" i="5"/>
  <c r="AV57" i="24" s="1"/>
  <c r="AX57" i="24" s="1"/>
  <c r="U57" i="24" s="1"/>
  <c r="AP52" i="19"/>
  <c r="AV52" i="19" s="1"/>
  <c r="AX52" i="19" s="1"/>
  <c r="U52" i="19" s="1"/>
  <c r="W52" i="19" s="1"/>
  <c r="Y52" i="19" s="1"/>
  <c r="AP49" i="19"/>
  <c r="AV49" i="19" s="1"/>
  <c r="AX49" i="19" s="1"/>
  <c r="U49" i="19" s="1"/>
  <c r="W49" i="19" s="1"/>
  <c r="Y49" i="19" s="1"/>
  <c r="AP45" i="19"/>
  <c r="AV45" i="19" s="1"/>
  <c r="AX45" i="19" s="1"/>
  <c r="U45" i="19" s="1"/>
  <c r="W45" i="19" s="1"/>
  <c r="Y45" i="19" s="1"/>
  <c r="AP42" i="19"/>
  <c r="AV42" i="19" s="1"/>
  <c r="AX42" i="19" s="1"/>
  <c r="U42" i="19" s="1"/>
  <c r="W42" i="19" s="1"/>
  <c r="Y42" i="19" s="1"/>
  <c r="AP36" i="19"/>
  <c r="AV36" i="19" s="1"/>
  <c r="AX36" i="19" s="1"/>
  <c r="U36" i="19" s="1"/>
  <c r="W36" i="19" s="1"/>
  <c r="Y36" i="19" s="1"/>
  <c r="AP28" i="74" l="1"/>
  <c r="W36" i="57"/>
  <c r="Y36" i="57" s="1"/>
  <c r="AP28" i="62"/>
  <c r="W34" i="57"/>
  <c r="Y34" i="57" s="1"/>
  <c r="W37" i="57"/>
  <c r="Y37" i="57" s="1"/>
  <c r="AP28" i="63"/>
  <c r="AP28" i="60"/>
  <c r="AN34" i="59"/>
  <c r="AP34" i="59" s="1"/>
  <c r="AV34" i="59" s="1"/>
  <c r="AX34" i="59" s="1"/>
  <c r="U34" i="59" s="1"/>
  <c r="W34" i="59" s="1"/>
  <c r="Y34" i="59" s="1"/>
  <c r="AN34" i="61"/>
  <c r="AP34" i="61" s="1"/>
  <c r="AV34" i="61" s="1"/>
  <c r="AX34" i="61" s="1"/>
  <c r="U34" i="61" s="1"/>
  <c r="AN34" i="63"/>
  <c r="AP34" i="63" s="1"/>
  <c r="AV34" i="63" s="1"/>
  <c r="AX34" i="63" s="1"/>
  <c r="U34" i="63" s="1"/>
  <c r="AN34" i="60"/>
  <c r="AP34" i="60" s="1"/>
  <c r="AV34" i="60" s="1"/>
  <c r="AX34" i="60" s="1"/>
  <c r="U34" i="60" s="1"/>
  <c r="W34" i="60" s="1"/>
  <c r="Y34" i="60" s="1"/>
  <c r="AN34" i="74"/>
  <c r="AP34" i="74" s="1"/>
  <c r="AV34" i="74" s="1"/>
  <c r="AX34" i="74" s="1"/>
  <c r="U34" i="74" s="1"/>
  <c r="W34" i="74" s="1"/>
  <c r="Y34" i="74" s="1"/>
  <c r="AN34" i="58"/>
  <c r="AP34" i="58" s="1"/>
  <c r="AV34" i="58" s="1"/>
  <c r="AX34" i="58" s="1"/>
  <c r="U34" i="58" s="1"/>
  <c r="W34" i="58" s="1"/>
  <c r="Y34" i="58" s="1"/>
  <c r="AN34" i="62"/>
  <c r="AP34" i="62" s="1"/>
  <c r="AV34" i="62" s="1"/>
  <c r="AX34" i="62" s="1"/>
  <c r="U34" i="62" s="1"/>
  <c r="AN36" i="31"/>
  <c r="AP36" i="31" s="1"/>
  <c r="AV36" i="31" s="1"/>
  <c r="AX36" i="31" s="1"/>
  <c r="U36" i="31" s="1"/>
  <c r="W36" i="31" s="1"/>
  <c r="Y36" i="31" s="1"/>
  <c r="AN35" i="57"/>
  <c r="AP35" i="57" s="1"/>
  <c r="AV35" i="57" s="1"/>
  <c r="AX35" i="57" s="1"/>
  <c r="U35" i="57" s="1"/>
  <c r="AP28" i="58"/>
  <c r="AP28" i="57"/>
  <c r="W29" i="57"/>
  <c r="Y29" i="57" s="1"/>
  <c r="W38" i="57"/>
  <c r="Y38" i="57" s="1"/>
  <c r="W32" i="57"/>
  <c r="Y32" i="57" s="1"/>
  <c r="AP28" i="59"/>
  <c r="AP28" i="61"/>
  <c r="AV28" i="31"/>
  <c r="AX28" i="31" s="1"/>
  <c r="U28" i="31" s="1"/>
  <c r="W28" i="31" s="1"/>
  <c r="Y28" i="31" s="1"/>
  <c r="AN35" i="45"/>
  <c r="AP35" i="45" s="1"/>
  <c r="AV35" i="45" s="1"/>
  <c r="AX35" i="45" s="1"/>
  <c r="U35" i="45" s="1"/>
  <c r="W35" i="45" s="1"/>
  <c r="Y35" i="45" s="1"/>
  <c r="AN35" i="44"/>
  <c r="AP35" i="44" s="1"/>
  <c r="AV35" i="44" s="1"/>
  <c r="AX35" i="44" s="1"/>
  <c r="U35" i="44" s="1"/>
  <c r="W35" i="44" s="1"/>
  <c r="Y35" i="44" s="1"/>
  <c r="AP28" i="44"/>
  <c r="W52" i="44"/>
  <c r="AP28" i="45"/>
  <c r="AS392" i="5"/>
  <c r="AR391" i="5"/>
  <c r="W57" i="24"/>
  <c r="Y57" i="24" s="1"/>
  <c r="U39" i="24"/>
  <c r="I56" i="5"/>
  <c r="AP30" i="19"/>
  <c r="AV30" i="19" s="1"/>
  <c r="AX30" i="19" s="1"/>
  <c r="U30" i="19" s="1"/>
  <c r="W30" i="19" s="1"/>
  <c r="Y30" i="19" s="1"/>
  <c r="W35" i="57" l="1"/>
  <c r="Y35" i="57" s="1"/>
  <c r="AV28" i="59"/>
  <c r="AV28" i="63"/>
  <c r="AV28" i="57"/>
  <c r="AX28" i="57" s="1"/>
  <c r="U28" i="57" s="1"/>
  <c r="W28" i="57" s="1"/>
  <c r="Y28" i="57" s="1"/>
  <c r="AN70" i="74"/>
  <c r="AV28" i="61"/>
  <c r="AV28" i="58"/>
  <c r="AX28" i="58" s="1"/>
  <c r="U28" i="58" s="1"/>
  <c r="W28" i="58" s="1"/>
  <c r="Y28" i="58" s="1"/>
  <c r="AV28" i="60"/>
  <c r="AV28" i="62"/>
  <c r="AV28" i="74"/>
  <c r="AP70" i="74"/>
  <c r="AV28" i="45"/>
  <c r="AV28" i="44"/>
  <c r="Y52" i="44"/>
  <c r="AR392" i="5"/>
  <c r="AS393" i="5"/>
  <c r="W39" i="24"/>
  <c r="Y39" i="24" s="1"/>
  <c r="I57" i="5"/>
  <c r="AP29" i="19"/>
  <c r="AV29" i="19" s="1"/>
  <c r="AX29" i="19" s="1"/>
  <c r="U29" i="19" s="1"/>
  <c r="W29" i="19" s="1"/>
  <c r="Y29" i="19" s="1"/>
  <c r="AP37" i="19"/>
  <c r="AV37" i="19" s="1"/>
  <c r="AX37" i="19" s="1"/>
  <c r="U37" i="19" s="1"/>
  <c r="W37" i="19" s="1"/>
  <c r="Y37" i="19" s="1"/>
  <c r="AP38" i="19"/>
  <c r="AV38" i="19" s="1"/>
  <c r="AX38" i="19" s="1"/>
  <c r="U38" i="19" s="1"/>
  <c r="W38" i="19" s="1"/>
  <c r="Y38" i="19" s="1"/>
  <c r="AP40" i="19"/>
  <c r="AV40" i="19" s="1"/>
  <c r="AX40" i="19" s="1"/>
  <c r="U40" i="19" s="1"/>
  <c r="W40" i="19" s="1"/>
  <c r="Y40" i="19" s="1"/>
  <c r="AX28" i="59" l="1"/>
  <c r="AX28" i="74"/>
  <c r="AV70" i="74"/>
  <c r="AX28" i="60"/>
  <c r="AX28" i="61"/>
  <c r="AX28" i="63"/>
  <c r="AX28" i="62"/>
  <c r="AX28" i="44"/>
  <c r="AX28" i="45"/>
  <c r="AS394" i="5"/>
  <c r="AR393" i="5"/>
  <c r="AV59" i="24"/>
  <c r="AX59" i="24" s="1"/>
  <c r="U59" i="24" s="1"/>
  <c r="I58" i="5"/>
  <c r="AP28" i="19"/>
  <c r="AP66" i="19" s="1"/>
  <c r="U28" i="62" l="1"/>
  <c r="U28" i="61"/>
  <c r="U28" i="74"/>
  <c r="AX70" i="74"/>
  <c r="U28" i="63"/>
  <c r="U28" i="60"/>
  <c r="U28" i="59"/>
  <c r="U28" i="45"/>
  <c r="U28" i="44"/>
  <c r="AS395" i="5"/>
  <c r="AR394" i="5"/>
  <c r="W59" i="24"/>
  <c r="Y59" i="24" s="1"/>
  <c r="I59" i="5"/>
  <c r="AV58" i="24"/>
  <c r="AV28" i="19"/>
  <c r="AV66" i="19" s="1"/>
  <c r="W28" i="59" l="1"/>
  <c r="Y28" i="59" s="1"/>
  <c r="W28" i="60"/>
  <c r="Y28" i="60" s="1"/>
  <c r="W28" i="74"/>
  <c r="U70" i="74"/>
  <c r="I45" i="32" s="1"/>
  <c r="W28" i="44"/>
  <c r="W28" i="45"/>
  <c r="AS396" i="5"/>
  <c r="AR395" i="5"/>
  <c r="I60" i="5"/>
  <c r="AV61" i="24"/>
  <c r="AX61" i="24" s="1"/>
  <c r="U61" i="24" s="1"/>
  <c r="AX58" i="24"/>
  <c r="AX28" i="19"/>
  <c r="AX66" i="19" l="1"/>
  <c r="U28" i="19"/>
  <c r="U66" i="19" s="1"/>
  <c r="Y28" i="74"/>
  <c r="Y70" i="74" s="1"/>
  <c r="M45" i="32" s="1"/>
  <c r="S39" i="23" s="1"/>
  <c r="U39" i="23" s="1"/>
  <c r="W70" i="74"/>
  <c r="K45" i="32" s="1"/>
  <c r="Y28" i="45"/>
  <c r="Y28" i="44"/>
  <c r="AR396" i="5"/>
  <c r="AS397" i="5"/>
  <c r="W61" i="24"/>
  <c r="Y61" i="24" s="1"/>
  <c r="I61" i="5"/>
  <c r="AV62" i="24"/>
  <c r="AX62" i="24" s="1"/>
  <c r="U62" i="24" s="1"/>
  <c r="AV60" i="24"/>
  <c r="U58" i="24"/>
  <c r="I33" i="32" l="1"/>
  <c r="AR397" i="5"/>
  <c r="AS398" i="5"/>
  <c r="W62" i="24"/>
  <c r="Y62" i="24" s="1"/>
  <c r="W58" i="24"/>
  <c r="AX60" i="24"/>
  <c r="I62" i="5"/>
  <c r="W28" i="19"/>
  <c r="W66" i="19" s="1"/>
  <c r="K33" i="32" l="1"/>
  <c r="AR398" i="5"/>
  <c r="AS399" i="5"/>
  <c r="I63" i="5"/>
  <c r="I64" i="5" s="1"/>
  <c r="AV64" i="24"/>
  <c r="AX64" i="24" s="1"/>
  <c r="U64" i="24" s="1"/>
  <c r="U60" i="24"/>
  <c r="Y58" i="24"/>
  <c r="Y28" i="19"/>
  <c r="AS400" i="5" l="1"/>
  <c r="AR399" i="5"/>
  <c r="W60" i="24"/>
  <c r="W64" i="24"/>
  <c r="Y64" i="24" s="1"/>
  <c r="AV63" i="24"/>
  <c r="Y66" i="19"/>
  <c r="O58" i="14"/>
  <c r="C58" i="14"/>
  <c r="Q58" i="14"/>
  <c r="M58" i="14"/>
  <c r="BD58" i="14"/>
  <c r="AJ58" i="14"/>
  <c r="K58" i="14"/>
  <c r="AH58" i="14"/>
  <c r="AR58" i="14"/>
  <c r="AN58" i="14"/>
  <c r="AP58" i="14"/>
  <c r="BB58" i="14"/>
  <c r="AF58" i="14"/>
  <c r="M33" i="32" l="1"/>
  <c r="S73" i="23" s="1"/>
  <c r="AR400" i="5"/>
  <c r="AS401" i="5"/>
  <c r="Y60" i="24"/>
  <c r="I65" i="5"/>
  <c r="AV66" i="24"/>
  <c r="AX66" i="24" s="1"/>
  <c r="U66" i="24" s="1"/>
  <c r="AX63" i="24"/>
  <c r="AF11" i="14"/>
  <c r="U73" i="23" l="1"/>
  <c r="AS402" i="5"/>
  <c r="AR401" i="5"/>
  <c r="W66" i="24"/>
  <c r="Y66" i="24" s="1"/>
  <c r="U63" i="24"/>
  <c r="AV65" i="24"/>
  <c r="I66" i="5"/>
  <c r="BD11" i="14"/>
  <c r="AR402" i="5" l="1"/>
  <c r="AS403" i="5"/>
  <c r="W63" i="24"/>
  <c r="AX65" i="24"/>
  <c r="I67" i="5"/>
  <c r="AV68" i="24"/>
  <c r="AX68" i="24" s="1"/>
  <c r="U68" i="24" s="1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AS404" i="5" l="1"/>
  <c r="AR403" i="5"/>
  <c r="W68" i="24"/>
  <c r="Y68" i="24" s="1"/>
  <c r="Y63" i="24"/>
  <c r="AV67" i="24"/>
  <c r="I68" i="5"/>
  <c r="I69" i="5" s="1"/>
  <c r="U65" i="24"/>
  <c r="BF58" i="14"/>
  <c r="AN30" i="57" l="1"/>
  <c r="AN29" i="61"/>
  <c r="AN29" i="58"/>
  <c r="AN31" i="57"/>
  <c r="AP31" i="57" s="1"/>
  <c r="AV31" i="57" s="1"/>
  <c r="AX31" i="57" s="1"/>
  <c r="U31" i="57" s="1"/>
  <c r="AN30" i="61"/>
  <c r="AP30" i="61" s="1"/>
  <c r="AV30" i="61" s="1"/>
  <c r="AX30" i="61" s="1"/>
  <c r="U30" i="61" s="1"/>
  <c r="AN30" i="62"/>
  <c r="AN30" i="60"/>
  <c r="AN30" i="63"/>
  <c r="AN32" i="31"/>
  <c r="AN30" i="59"/>
  <c r="AN30" i="58"/>
  <c r="AP30" i="58" s="1"/>
  <c r="AV30" i="58" s="1"/>
  <c r="AX30" i="58" s="1"/>
  <c r="U30" i="58" s="1"/>
  <c r="W30" i="58" s="1"/>
  <c r="Y30" i="58" s="1"/>
  <c r="AN30" i="45"/>
  <c r="AN31" i="45"/>
  <c r="AP31" i="45" s="1"/>
  <c r="AV31" i="45" s="1"/>
  <c r="AX31" i="45" s="1"/>
  <c r="U31" i="45" s="1"/>
  <c r="W31" i="45" s="1"/>
  <c r="Y31" i="45" s="1"/>
  <c r="AN31" i="44"/>
  <c r="AR404" i="5"/>
  <c r="AS405" i="5"/>
  <c r="W65" i="24"/>
  <c r="AX67" i="24"/>
  <c r="I28" i="14"/>
  <c r="S28" i="14" s="1"/>
  <c r="I29" i="14" l="1"/>
  <c r="AP30" i="63"/>
  <c r="AN70" i="63"/>
  <c r="W31" i="57"/>
  <c r="Y31" i="57" s="1"/>
  <c r="AP30" i="60"/>
  <c r="AN70" i="60"/>
  <c r="AP29" i="58"/>
  <c r="AN70" i="58"/>
  <c r="AP30" i="59"/>
  <c r="AN70" i="59"/>
  <c r="AP30" i="62"/>
  <c r="AN70" i="62"/>
  <c r="AP29" i="61"/>
  <c r="AN70" i="61"/>
  <c r="AP32" i="31"/>
  <c r="AN72" i="31"/>
  <c r="AP30" i="57"/>
  <c r="AN71" i="57"/>
  <c r="AP31" i="44"/>
  <c r="AN61" i="44"/>
  <c r="AP30" i="45"/>
  <c r="AN61" i="45"/>
  <c r="AS406" i="5"/>
  <c r="AR405" i="5"/>
  <c r="U67" i="24"/>
  <c r="AV69" i="24"/>
  <c r="AV71" i="24" s="1"/>
  <c r="Y65" i="24"/>
  <c r="I30" i="14"/>
  <c r="AV32" i="31" l="1"/>
  <c r="AX32" i="31" s="1"/>
  <c r="U32" i="31" s="1"/>
  <c r="W32" i="31" s="1"/>
  <c r="Y32" i="31" s="1"/>
  <c r="AP72" i="31"/>
  <c r="AV30" i="62"/>
  <c r="AP70" i="62"/>
  <c r="AV29" i="58"/>
  <c r="AX29" i="58" s="1"/>
  <c r="U29" i="58" s="1"/>
  <c r="W29" i="58" s="1"/>
  <c r="Y29" i="58" s="1"/>
  <c r="AP70" i="58"/>
  <c r="AV30" i="57"/>
  <c r="AX30" i="57" s="1"/>
  <c r="U30" i="57" s="1"/>
  <c r="AP71" i="57"/>
  <c r="AV29" i="61"/>
  <c r="AP70" i="61"/>
  <c r="AV30" i="59"/>
  <c r="AP70" i="59"/>
  <c r="AV30" i="60"/>
  <c r="AP70" i="60"/>
  <c r="AV30" i="63"/>
  <c r="AP70" i="63"/>
  <c r="AV30" i="45"/>
  <c r="AP61" i="45"/>
  <c r="AV31" i="44"/>
  <c r="AP61" i="44"/>
  <c r="AR406" i="5"/>
  <c r="AS407" i="5"/>
  <c r="W67" i="24"/>
  <c r="AX69" i="24"/>
  <c r="AX71" i="24" s="1"/>
  <c r="I31" i="14"/>
  <c r="AX30" i="63" l="1"/>
  <c r="AV70" i="63"/>
  <c r="AX30" i="59"/>
  <c r="AV70" i="59"/>
  <c r="W30" i="57"/>
  <c r="AX30" i="62"/>
  <c r="AV70" i="62"/>
  <c r="AX30" i="60"/>
  <c r="AV70" i="60"/>
  <c r="AX29" i="61"/>
  <c r="AV70" i="61"/>
  <c r="AX31" i="44"/>
  <c r="AV61" i="44"/>
  <c r="AX30" i="45"/>
  <c r="AV61" i="45"/>
  <c r="AS408" i="5"/>
  <c r="AR407" i="5"/>
  <c r="Y67" i="24"/>
  <c r="U69" i="24"/>
  <c r="I32" i="14"/>
  <c r="U29" i="61" l="1"/>
  <c r="U70" i="61" s="1"/>
  <c r="I37" i="32" s="1"/>
  <c r="AX70" i="61"/>
  <c r="U30" i="62"/>
  <c r="U70" i="62" s="1"/>
  <c r="I24" i="32" s="1"/>
  <c r="AX70" i="62"/>
  <c r="U30" i="59"/>
  <c r="AX70" i="59"/>
  <c r="U30" i="60"/>
  <c r="AX70" i="60"/>
  <c r="Y30" i="57"/>
  <c r="U30" i="63"/>
  <c r="U70" i="63" s="1"/>
  <c r="I25" i="32" s="1"/>
  <c r="AX70" i="63"/>
  <c r="U30" i="45"/>
  <c r="AX61" i="45"/>
  <c r="U31" i="44"/>
  <c r="AX61" i="44"/>
  <c r="AR408" i="5"/>
  <c r="AS409" i="5"/>
  <c r="W69" i="24"/>
  <c r="W71" i="24" s="1"/>
  <c r="U71" i="24"/>
  <c r="I33" i="14"/>
  <c r="W30" i="60" l="1"/>
  <c r="Y30" i="60" s="1"/>
  <c r="U70" i="60"/>
  <c r="I29" i="32" s="1"/>
  <c r="W30" i="59"/>
  <c r="Y30" i="59" s="1"/>
  <c r="U70" i="59"/>
  <c r="I50" i="32" s="1"/>
  <c r="W31" i="44"/>
  <c r="U61" i="44"/>
  <c r="I38" i="32" s="1"/>
  <c r="W30" i="45"/>
  <c r="U61" i="45"/>
  <c r="I39" i="32" s="1"/>
  <c r="Y71" i="24"/>
  <c r="K26" i="32"/>
  <c r="I26" i="32"/>
  <c r="AS410" i="5"/>
  <c r="AR409" i="5"/>
  <c r="Y69" i="24"/>
  <c r="I34" i="14"/>
  <c r="Y30" i="45" l="1"/>
  <c r="W61" i="45"/>
  <c r="Y31" i="44"/>
  <c r="W61" i="44"/>
  <c r="M26" i="32"/>
  <c r="S27" i="23" s="1"/>
  <c r="U27" i="23" s="1"/>
  <c r="AR410" i="5"/>
  <c r="AS411" i="5"/>
  <c r="I35" i="14"/>
  <c r="Y61" i="44" l="1"/>
  <c r="M38" i="32" s="1"/>
  <c r="S34" i="23" s="1"/>
  <c r="U34" i="23" s="1"/>
  <c r="K38" i="32"/>
  <c r="Y61" i="45"/>
  <c r="M39" i="32" s="1"/>
  <c r="S35" i="23" s="1"/>
  <c r="U35" i="23" s="1"/>
  <c r="K39" i="32"/>
  <c r="AS412" i="5"/>
  <c r="AR411" i="5"/>
  <c r="I36" i="14"/>
  <c r="AR412" i="5" l="1"/>
  <c r="AS413" i="5"/>
  <c r="I37" i="14"/>
  <c r="AS414" i="5" l="1"/>
  <c r="AR413" i="5"/>
  <c r="I38" i="14"/>
  <c r="AR414" i="5" l="1"/>
  <c r="AS415" i="5"/>
  <c r="I39" i="14"/>
  <c r="AS416" i="5" l="1"/>
  <c r="AR415" i="5"/>
  <c r="I40" i="14"/>
  <c r="AS417" i="5" l="1"/>
  <c r="AR416" i="5"/>
  <c r="I41" i="14"/>
  <c r="AS418" i="5" l="1"/>
  <c r="AR417" i="5"/>
  <c r="I42" i="14"/>
  <c r="AR418" i="5" l="1"/>
  <c r="AS419" i="5"/>
  <c r="I43" i="14"/>
  <c r="AS420" i="5" l="1"/>
  <c r="AR419" i="5"/>
  <c r="I44" i="14"/>
  <c r="AS421" i="5" l="1"/>
  <c r="AR420" i="5"/>
  <c r="I45" i="14"/>
  <c r="AS422" i="5" l="1"/>
  <c r="AR421" i="5"/>
  <c r="I46" i="14"/>
  <c r="AR422" i="5" l="1"/>
  <c r="AS423" i="5"/>
  <c r="I47" i="14"/>
  <c r="AR423" i="5" l="1"/>
  <c r="AS424" i="5"/>
  <c r="I48" i="14"/>
  <c r="AR424" i="5" l="1"/>
  <c r="AS425" i="5"/>
  <c r="I49" i="14"/>
  <c r="AS426" i="5" l="1"/>
  <c r="AR425" i="5"/>
  <c r="I50" i="14"/>
  <c r="AS427" i="5" l="1"/>
  <c r="AR426" i="5"/>
  <c r="I51" i="14"/>
  <c r="AS428" i="5" l="1"/>
  <c r="AR427" i="5"/>
  <c r="G53" i="14"/>
  <c r="AD53" i="14" s="1"/>
  <c r="G40" i="14"/>
  <c r="G54" i="14"/>
  <c r="AD54" i="14" s="1"/>
  <c r="G46" i="14"/>
  <c r="G47" i="14"/>
  <c r="G32" i="14"/>
  <c r="G29" i="14"/>
  <c r="G37" i="14"/>
  <c r="G50" i="14"/>
  <c r="G55" i="14"/>
  <c r="AD55" i="14" s="1"/>
  <c r="G41" i="14"/>
  <c r="G36" i="14"/>
  <c r="AD28" i="14"/>
  <c r="G33" i="14"/>
  <c r="G42" i="14"/>
  <c r="G56" i="14"/>
  <c r="AD56" i="14" s="1"/>
  <c r="G48" i="14"/>
  <c r="G51" i="14"/>
  <c r="AD51" i="14" s="1"/>
  <c r="G30" i="14"/>
  <c r="G38" i="14"/>
  <c r="G45" i="14"/>
  <c r="G35" i="14"/>
  <c r="G49" i="14"/>
  <c r="G52" i="14"/>
  <c r="AD52" i="14" s="1"/>
  <c r="G44" i="14"/>
  <c r="G43" i="14"/>
  <c r="G34" i="14"/>
  <c r="G31" i="14"/>
  <c r="G39" i="14"/>
  <c r="I52" i="14"/>
  <c r="S51" i="14" l="1"/>
  <c r="AR428" i="5"/>
  <c r="AS429" i="5"/>
  <c r="AV52" i="14"/>
  <c r="AL52" i="14"/>
  <c r="AT52" i="14" s="1"/>
  <c r="AD38" i="14"/>
  <c r="S38" i="14"/>
  <c r="AD36" i="14"/>
  <c r="S36" i="14"/>
  <c r="AD46" i="14"/>
  <c r="S46" i="14"/>
  <c r="S52" i="14"/>
  <c r="I53" i="14"/>
  <c r="AD34" i="14"/>
  <c r="S34" i="14"/>
  <c r="AD49" i="14"/>
  <c r="S49" i="14"/>
  <c r="AD30" i="14"/>
  <c r="S30" i="14"/>
  <c r="AD41" i="14"/>
  <c r="S41" i="14"/>
  <c r="AD29" i="14"/>
  <c r="S29" i="14"/>
  <c r="AV54" i="14"/>
  <c r="AL54" i="14"/>
  <c r="AT54" i="14" s="1"/>
  <c r="G58" i="14"/>
  <c r="AD43" i="14"/>
  <c r="S43" i="14"/>
  <c r="AD35" i="14"/>
  <c r="S35" i="14"/>
  <c r="AV51" i="14"/>
  <c r="AL51" i="14"/>
  <c r="AT51" i="14" s="1"/>
  <c r="AD33" i="14"/>
  <c r="S33" i="14"/>
  <c r="AV55" i="14"/>
  <c r="AL55" i="14"/>
  <c r="AT55" i="14" s="1"/>
  <c r="AD32" i="14"/>
  <c r="S32" i="14"/>
  <c r="AD40" i="14"/>
  <c r="S40" i="14"/>
  <c r="AD31" i="14"/>
  <c r="S31" i="14"/>
  <c r="AV56" i="14"/>
  <c r="AL56" i="14"/>
  <c r="AT56" i="14" s="1"/>
  <c r="AD37" i="14"/>
  <c r="S37" i="14"/>
  <c r="AD42" i="14"/>
  <c r="S42" i="14"/>
  <c r="AD39" i="14"/>
  <c r="S39" i="14"/>
  <c r="AD44" i="14"/>
  <c r="S44" i="14"/>
  <c r="AD45" i="14"/>
  <c r="S45" i="14"/>
  <c r="AD48" i="14"/>
  <c r="S48" i="14"/>
  <c r="AV28" i="14"/>
  <c r="AL28" i="14"/>
  <c r="AD50" i="14"/>
  <c r="S50" i="14"/>
  <c r="AD47" i="14"/>
  <c r="S47" i="14"/>
  <c r="AV53" i="14"/>
  <c r="AL53" i="14"/>
  <c r="AT53" i="14" s="1"/>
  <c r="AS430" i="5" l="1"/>
  <c r="AR429" i="5"/>
  <c r="AX54" i="14"/>
  <c r="U54" i="14" s="1"/>
  <c r="AX52" i="14"/>
  <c r="U52" i="14" s="1"/>
  <c r="W52" i="14" s="1"/>
  <c r="Y52" i="14" s="1"/>
  <c r="AX53" i="14"/>
  <c r="U53" i="14" s="1"/>
  <c r="AX56" i="14"/>
  <c r="U56" i="14" s="1"/>
  <c r="AX55" i="14"/>
  <c r="U55" i="14" s="1"/>
  <c r="AX51" i="14"/>
  <c r="U51" i="14" s="1"/>
  <c r="W51" i="14" s="1"/>
  <c r="Y51" i="14" s="1"/>
  <c r="AT28" i="14"/>
  <c r="AV48" i="14"/>
  <c r="AL48" i="14"/>
  <c r="AT48" i="14" s="1"/>
  <c r="AV44" i="14"/>
  <c r="AL44" i="14"/>
  <c r="AT44" i="14" s="1"/>
  <c r="AV45" i="14"/>
  <c r="AL45" i="14"/>
  <c r="AT45" i="14" s="1"/>
  <c r="AV39" i="14"/>
  <c r="AL39" i="14"/>
  <c r="AT39" i="14" s="1"/>
  <c r="AV50" i="14"/>
  <c r="AL50" i="14"/>
  <c r="AT50" i="14" s="1"/>
  <c r="AV40" i="14"/>
  <c r="AL40" i="14"/>
  <c r="AT40" i="14" s="1"/>
  <c r="AV43" i="14"/>
  <c r="AL43" i="14"/>
  <c r="AT43" i="14" s="1"/>
  <c r="AV41" i="14"/>
  <c r="AL41" i="14"/>
  <c r="AT41" i="14" s="1"/>
  <c r="AV49" i="14"/>
  <c r="AL49" i="14"/>
  <c r="AT49" i="14" s="1"/>
  <c r="AV46" i="14"/>
  <c r="AL46" i="14"/>
  <c r="AT46" i="14" s="1"/>
  <c r="AV38" i="14"/>
  <c r="AL38" i="14"/>
  <c r="AT38" i="14" s="1"/>
  <c r="I54" i="14"/>
  <c r="S53" i="14"/>
  <c r="AV47" i="14"/>
  <c r="AL47" i="14"/>
  <c r="AT47" i="14" s="1"/>
  <c r="AD58" i="14"/>
  <c r="AF12" i="14" s="1"/>
  <c r="AV42" i="14"/>
  <c r="AL42" i="14"/>
  <c r="AT42" i="14" s="1"/>
  <c r="AV37" i="14"/>
  <c r="AL37" i="14"/>
  <c r="AT37" i="14" s="1"/>
  <c r="AV31" i="14"/>
  <c r="AL31" i="14"/>
  <c r="AT31" i="14" s="1"/>
  <c r="AV32" i="14"/>
  <c r="AL32" i="14"/>
  <c r="AT32" i="14" s="1"/>
  <c r="AV33" i="14"/>
  <c r="AL33" i="14"/>
  <c r="AT33" i="14" s="1"/>
  <c r="AV35" i="14"/>
  <c r="AL35" i="14"/>
  <c r="AT35" i="14" s="1"/>
  <c r="AV29" i="14"/>
  <c r="AL29" i="14"/>
  <c r="AT29" i="14" s="1"/>
  <c r="AV30" i="14"/>
  <c r="AL30" i="14"/>
  <c r="AT30" i="14" s="1"/>
  <c r="AV34" i="14"/>
  <c r="AL34" i="14"/>
  <c r="AT34" i="14" s="1"/>
  <c r="AV36" i="14"/>
  <c r="AL36" i="14"/>
  <c r="AT36" i="14" s="1"/>
  <c r="AR430" i="5" l="1"/>
  <c r="AS431" i="5"/>
  <c r="AX38" i="14"/>
  <c r="U38" i="14" s="1"/>
  <c r="W38" i="14" s="1"/>
  <c r="Y38" i="14" s="1"/>
  <c r="AX49" i="14"/>
  <c r="U49" i="14" s="1"/>
  <c r="W49" i="14" s="1"/>
  <c r="Y49" i="14" s="1"/>
  <c r="AX50" i="14"/>
  <c r="U50" i="14" s="1"/>
  <c r="W50" i="14" s="1"/>
  <c r="Y50" i="14" s="1"/>
  <c r="AX45" i="14"/>
  <c r="U45" i="14" s="1"/>
  <c r="W45" i="14" s="1"/>
  <c r="Y45" i="14" s="1"/>
  <c r="AX44" i="14"/>
  <c r="U44" i="14" s="1"/>
  <c r="W44" i="14" s="1"/>
  <c r="Y44" i="14" s="1"/>
  <c r="AV58" i="14"/>
  <c r="AX30" i="14"/>
  <c r="U30" i="14" s="1"/>
  <c r="W30" i="14" s="1"/>
  <c r="Y30" i="14" s="1"/>
  <c r="AX35" i="14"/>
  <c r="U35" i="14" s="1"/>
  <c r="W35" i="14" s="1"/>
  <c r="Y35" i="14" s="1"/>
  <c r="AX32" i="14"/>
  <c r="U32" i="14" s="1"/>
  <c r="W32" i="14" s="1"/>
  <c r="Y32" i="14" s="1"/>
  <c r="AX31" i="14"/>
  <c r="U31" i="14" s="1"/>
  <c r="W31" i="14" s="1"/>
  <c r="Y31" i="14" s="1"/>
  <c r="AX42" i="14"/>
  <c r="U42" i="14" s="1"/>
  <c r="W42" i="14" s="1"/>
  <c r="Y42" i="14" s="1"/>
  <c r="AX43" i="14"/>
  <c r="U43" i="14" s="1"/>
  <c r="W43" i="14" s="1"/>
  <c r="Y43" i="14" s="1"/>
  <c r="I55" i="14"/>
  <c r="S54" i="14"/>
  <c r="W54" i="14" s="1"/>
  <c r="Y54" i="14" s="1"/>
  <c r="AL58" i="14"/>
  <c r="AX34" i="14"/>
  <c r="U34" i="14" s="1"/>
  <c r="W34" i="14" s="1"/>
  <c r="Y34" i="14" s="1"/>
  <c r="AX29" i="14"/>
  <c r="U29" i="14" s="1"/>
  <c r="W29" i="14" s="1"/>
  <c r="Y29" i="14" s="1"/>
  <c r="AX47" i="14"/>
  <c r="U47" i="14" s="1"/>
  <c r="W47" i="14" s="1"/>
  <c r="Y47" i="14" s="1"/>
  <c r="AX40" i="14"/>
  <c r="U40" i="14" s="1"/>
  <c r="W40" i="14" s="1"/>
  <c r="Y40" i="14" s="1"/>
  <c r="AX39" i="14"/>
  <c r="U39" i="14" s="1"/>
  <c r="W39" i="14" s="1"/>
  <c r="Y39" i="14" s="1"/>
  <c r="W53" i="14"/>
  <c r="Y53" i="14" s="1"/>
  <c r="AX28" i="14"/>
  <c r="AT58" i="14"/>
  <c r="AX36" i="14"/>
  <c r="U36" i="14" s="1"/>
  <c r="W36" i="14" s="1"/>
  <c r="Y36" i="14" s="1"/>
  <c r="AX33" i="14"/>
  <c r="U33" i="14" s="1"/>
  <c r="W33" i="14" s="1"/>
  <c r="Y33" i="14" s="1"/>
  <c r="AX37" i="14"/>
  <c r="U37" i="14" s="1"/>
  <c r="W37" i="14" s="1"/>
  <c r="Y37" i="14" s="1"/>
  <c r="AX46" i="14"/>
  <c r="U46" i="14" s="1"/>
  <c r="W46" i="14" s="1"/>
  <c r="Y46" i="14" s="1"/>
  <c r="AX41" i="14"/>
  <c r="U41" i="14" s="1"/>
  <c r="W41" i="14" s="1"/>
  <c r="Y41" i="14" s="1"/>
  <c r="AX48" i="14"/>
  <c r="U48" i="14" s="1"/>
  <c r="W48" i="14" s="1"/>
  <c r="Y48" i="14" s="1"/>
  <c r="AS432" i="5" l="1"/>
  <c r="AR431" i="5"/>
  <c r="U28" i="14"/>
  <c r="U58" i="14" s="1"/>
  <c r="AX58" i="14"/>
  <c r="I56" i="14"/>
  <c r="S55" i="14"/>
  <c r="W55" i="14" s="1"/>
  <c r="Y55" i="14" s="1"/>
  <c r="AR432" i="5" l="1"/>
  <c r="AS433" i="5"/>
  <c r="S56" i="14"/>
  <c r="I58" i="14"/>
  <c r="W28" i="14"/>
  <c r="I34" i="32" l="1"/>
  <c r="AS434" i="5"/>
  <c r="AR433" i="5"/>
  <c r="Y28" i="14"/>
  <c r="W56" i="14"/>
  <c r="Y56" i="14" s="1"/>
  <c r="S58" i="14"/>
  <c r="Y58" i="14" l="1"/>
  <c r="W58" i="14"/>
  <c r="G34" i="32"/>
  <c r="AR434" i="5"/>
  <c r="AS435" i="5"/>
  <c r="M34" i="32" l="1"/>
  <c r="S74" i="23" s="1"/>
  <c r="K34" i="32"/>
  <c r="AS436" i="5"/>
  <c r="AR435" i="5"/>
  <c r="U74" i="23" l="1"/>
  <c r="AR436" i="5"/>
  <c r="AS437" i="5"/>
  <c r="AS438" i="5" l="1"/>
  <c r="AR437" i="5"/>
  <c r="AR438" i="5" l="1"/>
  <c r="AS439" i="5"/>
  <c r="AR439" i="5" l="1"/>
  <c r="AS440" i="5"/>
  <c r="AR440" i="5" l="1"/>
  <c r="AS441" i="5"/>
  <c r="AS442" i="5" l="1"/>
  <c r="AR441" i="5"/>
  <c r="AR442" i="5" l="1"/>
  <c r="AS443" i="5"/>
  <c r="AR443" i="5" l="1"/>
  <c r="AS444" i="5"/>
  <c r="AR444" i="5" l="1"/>
  <c r="AS445" i="5"/>
  <c r="AS446" i="5" l="1"/>
  <c r="AR445" i="5"/>
  <c r="AR446" i="5" l="1"/>
  <c r="AS447" i="5"/>
  <c r="AR447" i="5" l="1"/>
  <c r="AS448" i="5"/>
  <c r="AR448" i="5" l="1"/>
  <c r="AS449" i="5"/>
  <c r="AR449" i="5" l="1"/>
  <c r="AS450" i="5"/>
  <c r="AR450" i="5" l="1"/>
  <c r="AS451" i="5"/>
  <c r="AR451" i="5" l="1"/>
  <c r="AS452" i="5"/>
  <c r="AR452" i="5" l="1"/>
  <c r="AS453" i="5"/>
  <c r="AR453" i="5" l="1"/>
  <c r="AS454" i="5"/>
  <c r="AR454" i="5" l="1"/>
  <c r="AS455" i="5"/>
  <c r="AR455" i="5" l="1"/>
  <c r="AS456" i="5"/>
  <c r="AR456" i="5" l="1"/>
  <c r="AS457" i="5"/>
  <c r="AR457" i="5" l="1"/>
  <c r="AS458" i="5"/>
  <c r="AR458" i="5" l="1"/>
  <c r="AS459" i="5"/>
  <c r="AR459" i="5" l="1"/>
  <c r="AS460" i="5"/>
  <c r="AR460" i="5" l="1"/>
  <c r="AS461" i="5"/>
  <c r="AR461" i="5" l="1"/>
  <c r="AS462" i="5"/>
  <c r="AR462" i="5" l="1"/>
  <c r="AS463" i="5"/>
  <c r="AR463" i="5" l="1"/>
  <c r="AS464" i="5"/>
  <c r="AR464" i="5" l="1"/>
  <c r="AS465" i="5"/>
  <c r="AR465" i="5" l="1"/>
  <c r="AS466" i="5"/>
  <c r="AR466" i="5" l="1"/>
  <c r="AS467" i="5"/>
  <c r="AR467" i="5" l="1"/>
  <c r="AS468" i="5"/>
  <c r="AR468" i="5" l="1"/>
  <c r="AS469" i="5"/>
  <c r="AS470" i="5" l="1"/>
  <c r="AR469" i="5"/>
  <c r="AR470" i="5" l="1"/>
  <c r="AS471" i="5"/>
  <c r="AR471" i="5" l="1"/>
  <c r="AS472" i="5"/>
  <c r="AR472" i="5" l="1"/>
  <c r="AS473" i="5"/>
  <c r="AR473" i="5" l="1"/>
  <c r="AS474" i="5"/>
  <c r="AR474" i="5" l="1"/>
  <c r="AS475" i="5"/>
  <c r="AR475" i="5" l="1"/>
  <c r="AS476" i="5"/>
  <c r="AR476" i="5" l="1"/>
  <c r="AS477" i="5"/>
  <c r="AR477" i="5" l="1"/>
  <c r="AS478" i="5"/>
  <c r="AR478" i="5" l="1"/>
  <c r="AS479" i="5"/>
  <c r="AR479" i="5" l="1"/>
  <c r="AS480" i="5"/>
  <c r="AR480" i="5" l="1"/>
  <c r="AS481" i="5"/>
  <c r="AR481" i="5" l="1"/>
  <c r="AS482" i="5"/>
  <c r="AR482" i="5" l="1"/>
  <c r="AS483" i="5"/>
  <c r="AR483" i="5" l="1"/>
  <c r="AS484" i="5"/>
  <c r="AR484" i="5" l="1"/>
  <c r="AS485" i="5"/>
  <c r="AR485" i="5" l="1"/>
  <c r="AS486" i="5"/>
  <c r="AR486" i="5" l="1"/>
  <c r="AS487" i="5"/>
  <c r="AR487" i="5" l="1"/>
  <c r="AS488" i="5"/>
  <c r="AR488" i="5" l="1"/>
  <c r="AS489" i="5"/>
  <c r="AR489" i="5" l="1"/>
  <c r="AS490" i="5"/>
  <c r="AR490" i="5" l="1"/>
  <c r="AS491" i="5"/>
  <c r="AR491" i="5" l="1"/>
  <c r="AS492" i="5"/>
  <c r="AR492" i="5" l="1"/>
  <c r="AS493" i="5"/>
  <c r="AR493" i="5" l="1"/>
  <c r="AS494" i="5"/>
  <c r="AR494" i="5" l="1"/>
  <c r="AS495" i="5"/>
  <c r="AR495" i="5" l="1"/>
  <c r="AS496" i="5"/>
  <c r="AR496" i="5" l="1"/>
  <c r="AS497" i="5"/>
  <c r="AR497" i="5" l="1"/>
  <c r="AS498" i="5"/>
  <c r="AR498" i="5" l="1"/>
  <c r="AS499" i="5"/>
  <c r="AR499" i="5" l="1"/>
  <c r="AS500" i="5"/>
  <c r="AR500" i="5" l="1"/>
  <c r="AS501" i="5"/>
  <c r="AR501" i="5" l="1"/>
  <c r="AS502" i="5"/>
  <c r="AR502" i="5" l="1"/>
  <c r="AS503" i="5"/>
  <c r="AR503" i="5" l="1"/>
  <c r="AS504" i="5"/>
  <c r="AR504" i="5" l="1"/>
  <c r="AS505" i="5"/>
  <c r="AR505" i="5" l="1"/>
  <c r="AS506" i="5"/>
  <c r="AR506" i="5" l="1"/>
  <c r="AS507" i="5"/>
  <c r="AR507" i="5" l="1"/>
  <c r="AS508" i="5"/>
  <c r="AR508" i="5" l="1"/>
  <c r="AS509" i="5"/>
  <c r="AR509" i="5" l="1"/>
  <c r="AS510" i="5"/>
  <c r="AR510" i="5" l="1"/>
  <c r="AS511" i="5"/>
  <c r="AR511" i="5" l="1"/>
  <c r="AS512" i="5"/>
  <c r="AR512" i="5" l="1"/>
  <c r="AS513" i="5"/>
  <c r="AR513" i="5" l="1"/>
  <c r="AS514" i="5"/>
  <c r="AR514" i="5" l="1"/>
  <c r="AS515" i="5"/>
  <c r="AR515" i="5" l="1"/>
  <c r="AS516" i="5"/>
  <c r="AR516" i="5" l="1"/>
  <c r="AS517" i="5"/>
  <c r="AR517" i="5" l="1"/>
  <c r="AS518" i="5"/>
  <c r="AR518" i="5" l="1"/>
  <c r="AS519" i="5"/>
  <c r="AR519" i="5" l="1"/>
  <c r="AS520" i="5"/>
  <c r="AR520" i="5" l="1"/>
  <c r="AS521" i="5"/>
  <c r="AR521" i="5" l="1"/>
  <c r="AS522" i="5"/>
  <c r="AR522" i="5" l="1"/>
  <c r="AS523" i="5"/>
  <c r="AR523" i="5" l="1"/>
  <c r="AS524" i="5"/>
  <c r="AR524" i="5" l="1"/>
  <c r="AS525" i="5"/>
  <c r="AR525" i="5" l="1"/>
  <c r="AS526" i="5"/>
  <c r="AR526" i="5" l="1"/>
  <c r="AS527" i="5"/>
  <c r="AR527" i="5" l="1"/>
  <c r="AS528" i="5"/>
  <c r="AR528" i="5" l="1"/>
  <c r="AS529" i="5"/>
  <c r="AR529" i="5" l="1"/>
  <c r="AS530" i="5"/>
  <c r="AR530" i="5" l="1"/>
  <c r="AS531" i="5"/>
  <c r="AR531" i="5" l="1"/>
  <c r="AS532" i="5"/>
  <c r="AR532" i="5" l="1"/>
  <c r="AS533" i="5"/>
  <c r="AR533" i="5" l="1"/>
  <c r="AS534" i="5"/>
  <c r="AR534" i="5" l="1"/>
  <c r="AS535" i="5"/>
  <c r="AR535" i="5" l="1"/>
  <c r="AS536" i="5"/>
  <c r="AR536" i="5" l="1"/>
  <c r="AS537" i="5"/>
  <c r="AR537" i="5" l="1"/>
  <c r="AS538" i="5"/>
  <c r="AR538" i="5" l="1"/>
  <c r="AS539" i="5"/>
  <c r="AR539" i="5" l="1"/>
  <c r="AS540" i="5"/>
  <c r="AS541" i="5" l="1"/>
  <c r="AR540" i="5"/>
  <c r="AR541" i="5" l="1"/>
  <c r="AS542" i="5"/>
  <c r="AR542" i="5" l="1"/>
  <c r="AS543" i="5"/>
  <c r="AR543" i="5" l="1"/>
  <c r="AS544" i="5"/>
  <c r="AS545" i="5" l="1"/>
  <c r="AR544" i="5"/>
  <c r="AR545" i="5" l="1"/>
  <c r="AS546" i="5"/>
  <c r="AR546" i="5" l="1"/>
  <c r="AS547" i="5"/>
  <c r="AR547" i="5" l="1"/>
  <c r="AS548" i="5"/>
  <c r="AR548" i="5" l="1"/>
  <c r="AS549" i="5"/>
  <c r="AR549" i="5" l="1"/>
  <c r="AS550" i="5"/>
  <c r="AR550" i="5" l="1"/>
  <c r="AS551" i="5"/>
  <c r="AR551" i="5" l="1"/>
  <c r="AS552" i="5"/>
  <c r="AR552" i="5" l="1"/>
  <c r="AS553" i="5"/>
  <c r="AR553" i="5" l="1"/>
  <c r="AS554" i="5"/>
  <c r="AR554" i="5" l="1"/>
  <c r="AS555" i="5"/>
  <c r="AR555" i="5" l="1"/>
  <c r="AS556" i="5"/>
  <c r="AS557" i="5" l="1"/>
  <c r="AR556" i="5"/>
  <c r="AR557" i="5" l="1"/>
  <c r="AS558" i="5"/>
  <c r="AS559" i="5" l="1"/>
  <c r="AR558" i="5"/>
  <c r="AR559" i="5" l="1"/>
  <c r="AS560" i="5"/>
  <c r="AR560" i="5" s="1"/>
  <c r="AD46" i="40" l="1"/>
  <c r="AL46" i="40" s="1"/>
  <c r="AT46" i="40" s="1"/>
  <c r="S46" i="40"/>
  <c r="AD45" i="40"/>
  <c r="AL45" i="40" s="1"/>
  <c r="AT45" i="40" s="1"/>
  <c r="S45" i="40"/>
  <c r="AD44" i="40"/>
  <c r="AL44" i="40" s="1"/>
  <c r="AT44" i="40" s="1"/>
  <c r="S44" i="40"/>
  <c r="AD43" i="40"/>
  <c r="AL43" i="40" s="1"/>
  <c r="AT43" i="40" s="1"/>
  <c r="S43" i="40"/>
  <c r="AD42" i="40"/>
  <c r="AV42" i="40" s="1"/>
  <c r="S42" i="40"/>
  <c r="AD41" i="40"/>
  <c r="AL41" i="40" s="1"/>
  <c r="AT41" i="40" s="1"/>
  <c r="S41" i="40"/>
  <c r="AD40" i="40"/>
  <c r="AL40" i="40" s="1"/>
  <c r="AT40" i="40" s="1"/>
  <c r="AV40" i="40"/>
  <c r="S40" i="40"/>
  <c r="S35" i="40"/>
  <c r="AD39" i="40"/>
  <c r="AL39" i="40" s="1"/>
  <c r="AT39" i="40" s="1"/>
  <c r="S39" i="40"/>
  <c r="AD38" i="40"/>
  <c r="AL38" i="40" s="1"/>
  <c r="AT38" i="40" s="1"/>
  <c r="S38" i="40"/>
  <c r="S33" i="40"/>
  <c r="AD37" i="40"/>
  <c r="AL37" i="40" s="1"/>
  <c r="AT37" i="40" s="1"/>
  <c r="S37" i="40"/>
  <c r="AD35" i="40"/>
  <c r="AV35" i="40" s="1"/>
  <c r="AL35" i="40"/>
  <c r="AT35" i="40" s="1"/>
  <c r="AD36" i="40"/>
  <c r="AL36" i="40" s="1"/>
  <c r="AT36" i="40" s="1"/>
  <c r="S36" i="40"/>
  <c r="AD33" i="40"/>
  <c r="AL33" i="40" s="1"/>
  <c r="AT33" i="40" s="1"/>
  <c r="S31" i="40"/>
  <c r="S34" i="40"/>
  <c r="AD34" i="40"/>
  <c r="AL34" i="40" s="1"/>
  <c r="AT34" i="40" s="1"/>
  <c r="S29" i="40"/>
  <c r="AD31" i="40"/>
  <c r="AL31" i="40" s="1"/>
  <c r="AT31" i="40" s="1"/>
  <c r="AD32" i="40"/>
  <c r="AL32" i="40" s="1"/>
  <c r="AT32" i="40" s="1"/>
  <c r="S32" i="40"/>
  <c r="AD29" i="40"/>
  <c r="AV29" i="40" s="1"/>
  <c r="S30" i="40"/>
  <c r="S28" i="40"/>
  <c r="AD30" i="40"/>
  <c r="AL30" i="40" s="1"/>
  <c r="AT30" i="40" s="1"/>
  <c r="AD28" i="40"/>
  <c r="AV28" i="40"/>
  <c r="G58" i="40"/>
  <c r="AV31" i="40" l="1"/>
  <c r="AL28" i="40"/>
  <c r="AT28" i="40" s="1"/>
  <c r="AD58" i="40"/>
  <c r="AF12" i="40" s="1"/>
  <c r="AL29" i="40"/>
  <c r="AT29" i="40" s="1"/>
  <c r="AX29" i="40" s="1"/>
  <c r="U29" i="40" s="1"/>
  <c r="W29" i="40" s="1"/>
  <c r="Y29" i="40" s="1"/>
  <c r="AX31" i="40"/>
  <c r="U31" i="40" s="1"/>
  <c r="W31" i="40" s="1"/>
  <c r="Y31" i="40" s="1"/>
  <c r="AX35" i="40"/>
  <c r="U35" i="40" s="1"/>
  <c r="W35" i="40" s="1"/>
  <c r="Y35" i="40" s="1"/>
  <c r="AV30" i="40"/>
  <c r="AX30" i="40" s="1"/>
  <c r="U30" i="40" s="1"/>
  <c r="W30" i="40" s="1"/>
  <c r="Y30" i="40" s="1"/>
  <c r="AV34" i="40"/>
  <c r="AX34" i="40" s="1"/>
  <c r="U34" i="40" s="1"/>
  <c r="W34" i="40" s="1"/>
  <c r="Y34" i="40" s="1"/>
  <c r="AV33" i="40"/>
  <c r="AX33" i="40" s="1"/>
  <c r="U33" i="40" s="1"/>
  <c r="W33" i="40" s="1"/>
  <c r="Y33" i="40" s="1"/>
  <c r="AX40" i="40"/>
  <c r="U40" i="40" s="1"/>
  <c r="W40" i="40" s="1"/>
  <c r="Y40" i="40" s="1"/>
  <c r="AV44" i="40"/>
  <c r="AX44" i="40" s="1"/>
  <c r="U44" i="40" s="1"/>
  <c r="W44" i="40" s="1"/>
  <c r="Y44" i="40" s="1"/>
  <c r="AV37" i="40"/>
  <c r="AX37" i="40" s="1"/>
  <c r="U37" i="40" s="1"/>
  <c r="W37" i="40" s="1"/>
  <c r="Y37" i="40" s="1"/>
  <c r="AV38" i="40"/>
  <c r="AX38" i="40" s="1"/>
  <c r="U38" i="40" s="1"/>
  <c r="W38" i="40" s="1"/>
  <c r="Y38" i="40" s="1"/>
  <c r="AL42" i="40"/>
  <c r="AT42" i="40" s="1"/>
  <c r="AX42" i="40" s="1"/>
  <c r="U42" i="40" s="1"/>
  <c r="W42" i="40" s="1"/>
  <c r="Y42" i="40" s="1"/>
  <c r="AV43" i="40"/>
  <c r="AX43" i="40" s="1"/>
  <c r="U43" i="40" s="1"/>
  <c r="W43" i="40" s="1"/>
  <c r="Y43" i="40" s="1"/>
  <c r="S58" i="40"/>
  <c r="G15" i="32" s="1"/>
  <c r="AV32" i="40"/>
  <c r="AV36" i="40"/>
  <c r="AX36" i="40" s="1"/>
  <c r="U36" i="40" s="1"/>
  <c r="W36" i="40" s="1"/>
  <c r="Y36" i="40" s="1"/>
  <c r="AV39" i="40"/>
  <c r="AX39" i="40" s="1"/>
  <c r="U39" i="40" s="1"/>
  <c r="W39" i="40" s="1"/>
  <c r="Y39" i="40" s="1"/>
  <c r="AV41" i="40"/>
  <c r="AX41" i="40" s="1"/>
  <c r="U41" i="40" s="1"/>
  <c r="W41" i="40" s="1"/>
  <c r="Y41" i="40" s="1"/>
  <c r="AV45" i="40"/>
  <c r="AX45" i="40" s="1"/>
  <c r="U45" i="40" s="1"/>
  <c r="W45" i="40" s="1"/>
  <c r="Y45" i="40" s="1"/>
  <c r="AV46" i="40"/>
  <c r="AX46" i="40" s="1"/>
  <c r="U46" i="40" s="1"/>
  <c r="W46" i="40" s="1"/>
  <c r="Y46" i="40" s="1"/>
  <c r="AV58" i="40" l="1"/>
  <c r="AX32" i="40"/>
  <c r="U32" i="40" s="1"/>
  <c r="W32" i="40" s="1"/>
  <c r="Y32" i="40" s="1"/>
  <c r="AX28" i="40"/>
  <c r="AT58" i="40"/>
  <c r="AL58" i="40"/>
  <c r="U28" i="40" l="1"/>
  <c r="AX58" i="40"/>
  <c r="U58" i="40" l="1"/>
  <c r="I15" i="32" s="1"/>
  <c r="W28" i="40"/>
  <c r="Y28" i="40" l="1"/>
  <c r="Y58" i="40" s="1"/>
  <c r="M15" i="32" s="1"/>
  <c r="S13" i="23" s="1"/>
  <c r="U13" i="23" s="1"/>
  <c r="W58" i="40"/>
  <c r="K15" i="32" s="1"/>
  <c r="AF41" i="30" l="1"/>
  <c r="AF42" i="30" s="1"/>
  <c r="AF15" i="43"/>
  <c r="AF28" i="43" s="1"/>
  <c r="AL41" i="30" l="1"/>
  <c r="AT41" i="30" s="1"/>
  <c r="AX41" i="30" s="1"/>
  <c r="AF43" i="30"/>
  <c r="AL42" i="30"/>
  <c r="AT42" i="30" s="1"/>
  <c r="AX42" i="30" s="1"/>
  <c r="U42" i="30" s="1"/>
  <c r="W42" i="30" s="1"/>
  <c r="Y42" i="30" s="1"/>
  <c r="AL28" i="43"/>
  <c r="AF29" i="43"/>
  <c r="AF15" i="42"/>
  <c r="AF28" i="42" s="1"/>
  <c r="AF30" i="43" l="1"/>
  <c r="AL29" i="43"/>
  <c r="AT29" i="43" s="1"/>
  <c r="AX29" i="43" s="1"/>
  <c r="U29" i="43" s="1"/>
  <c r="W29" i="43" s="1"/>
  <c r="Y29" i="43" s="1"/>
  <c r="AT28" i="43"/>
  <c r="AF44" i="30"/>
  <c r="AL43" i="30"/>
  <c r="AL28" i="42"/>
  <c r="AF29" i="42"/>
  <c r="U41" i="30"/>
  <c r="AX28" i="43" l="1"/>
  <c r="AL29" i="42"/>
  <c r="AT29" i="42" s="1"/>
  <c r="AX29" i="42" s="1"/>
  <c r="U29" i="42" s="1"/>
  <c r="W29" i="42" s="1"/>
  <c r="Y29" i="42" s="1"/>
  <c r="AF30" i="42"/>
  <c r="AT28" i="42"/>
  <c r="W41" i="30"/>
  <c r="AT43" i="30"/>
  <c r="AF45" i="30"/>
  <c r="AL44" i="30"/>
  <c r="AT44" i="30" s="1"/>
  <c r="AX44" i="30" s="1"/>
  <c r="U44" i="30" s="1"/>
  <c r="W44" i="30" s="1"/>
  <c r="Y44" i="30" s="1"/>
  <c r="AL30" i="43"/>
  <c r="AF31" i="43"/>
  <c r="AF46" i="30" l="1"/>
  <c r="AL45" i="30"/>
  <c r="AF31" i="42"/>
  <c r="AL30" i="42"/>
  <c r="Y41" i="30"/>
  <c r="AL31" i="43"/>
  <c r="AT31" i="43" s="1"/>
  <c r="AX31" i="43" s="1"/>
  <c r="U31" i="43" s="1"/>
  <c r="W31" i="43" s="1"/>
  <c r="Y31" i="43" s="1"/>
  <c r="AF32" i="43"/>
  <c r="AT30" i="43"/>
  <c r="AX43" i="30"/>
  <c r="AX28" i="42"/>
  <c r="U28" i="43"/>
  <c r="U43" i="30" l="1"/>
  <c r="AF32" i="42"/>
  <c r="AL31" i="42"/>
  <c r="AT31" i="42" s="1"/>
  <c r="AX31" i="42" s="1"/>
  <c r="U31" i="42" s="1"/>
  <c r="W31" i="42" s="1"/>
  <c r="Y31" i="42" s="1"/>
  <c r="U28" i="42"/>
  <c r="AX30" i="43"/>
  <c r="AT45" i="30"/>
  <c r="W28" i="43"/>
  <c r="AF33" i="43"/>
  <c r="AL32" i="43"/>
  <c r="AT30" i="42"/>
  <c r="AF47" i="30"/>
  <c r="AL46" i="30"/>
  <c r="AT46" i="30" s="1"/>
  <c r="AX46" i="30" s="1"/>
  <c r="U46" i="30" s="1"/>
  <c r="W46" i="30" s="1"/>
  <c r="Y46" i="30" s="1"/>
  <c r="U30" i="43" l="1"/>
  <c r="AT32" i="43"/>
  <c r="AF34" i="43"/>
  <c r="AL33" i="43"/>
  <c r="AT33" i="43" s="1"/>
  <c r="AX33" i="43" s="1"/>
  <c r="U33" i="43" s="1"/>
  <c r="W33" i="43" s="1"/>
  <c r="Y33" i="43" s="1"/>
  <c r="AX45" i="30"/>
  <c r="AF33" i="42"/>
  <c r="AL32" i="42"/>
  <c r="AX30" i="42"/>
  <c r="Y28" i="43"/>
  <c r="W28" i="42"/>
  <c r="AF48" i="30"/>
  <c r="AL47" i="30"/>
  <c r="W43" i="30"/>
  <c r="Y28" i="42" l="1"/>
  <c r="U30" i="42"/>
  <c r="U45" i="30"/>
  <c r="AX32" i="43"/>
  <c r="Y43" i="30"/>
  <c r="AT47" i="30"/>
  <c r="AT32" i="42"/>
  <c r="AL48" i="30"/>
  <c r="AT48" i="30" s="1"/>
  <c r="AX48" i="30" s="1"/>
  <c r="U48" i="30" s="1"/>
  <c r="W48" i="30" s="1"/>
  <c r="Y48" i="30" s="1"/>
  <c r="AF49" i="30"/>
  <c r="AL33" i="42"/>
  <c r="AT33" i="42" s="1"/>
  <c r="AX33" i="42" s="1"/>
  <c r="U33" i="42" s="1"/>
  <c r="W33" i="42" s="1"/>
  <c r="Y33" i="42" s="1"/>
  <c r="AF34" i="42"/>
  <c r="AL34" i="43"/>
  <c r="AT34" i="43" s="1"/>
  <c r="AX34" i="43" s="1"/>
  <c r="U34" i="43" s="1"/>
  <c r="W34" i="43" s="1"/>
  <c r="Y34" i="43" s="1"/>
  <c r="AF35" i="43"/>
  <c r="W30" i="43"/>
  <c r="AF35" i="42" l="1"/>
  <c r="AL34" i="42"/>
  <c r="AT34" i="42" s="1"/>
  <c r="AX34" i="42" s="1"/>
  <c r="U34" i="42" s="1"/>
  <c r="W34" i="42" s="1"/>
  <c r="Y34" i="42" s="1"/>
  <c r="AX47" i="30"/>
  <c r="U32" i="43"/>
  <c r="W30" i="42"/>
  <c r="AX32" i="42"/>
  <c r="W45" i="30"/>
  <c r="Y30" i="43"/>
  <c r="AL35" i="43"/>
  <c r="AT35" i="43" s="1"/>
  <c r="AX35" i="43" s="1"/>
  <c r="U35" i="43" s="1"/>
  <c r="W35" i="43" s="1"/>
  <c r="Y35" i="43" s="1"/>
  <c r="AF36" i="43"/>
  <c r="AL49" i="30"/>
  <c r="AF50" i="30"/>
  <c r="AF51" i="30" l="1"/>
  <c r="AL50" i="30"/>
  <c r="AT50" i="30" s="1"/>
  <c r="AX50" i="30" s="1"/>
  <c r="U50" i="30" s="1"/>
  <c r="W50" i="30" s="1"/>
  <c r="Y50" i="30" s="1"/>
  <c r="AL36" i="43"/>
  <c r="AT36" i="43" s="1"/>
  <c r="AX36" i="43" s="1"/>
  <c r="U36" i="43" s="1"/>
  <c r="W36" i="43" s="1"/>
  <c r="Y36" i="43" s="1"/>
  <c r="AF37" i="43"/>
  <c r="Y30" i="42"/>
  <c r="U47" i="30"/>
  <c r="U32" i="42"/>
  <c r="AT49" i="30"/>
  <c r="Y45" i="30"/>
  <c r="W32" i="43"/>
  <c r="AL35" i="42"/>
  <c r="AF36" i="42"/>
  <c r="AT35" i="42" l="1"/>
  <c r="W47" i="30"/>
  <c r="W32" i="42"/>
  <c r="AF37" i="42"/>
  <c r="AL36" i="42"/>
  <c r="AT36" i="42" s="1"/>
  <c r="AX36" i="42" s="1"/>
  <c r="U36" i="42" s="1"/>
  <c r="W36" i="42" s="1"/>
  <c r="Y36" i="42" s="1"/>
  <c r="Y32" i="43"/>
  <c r="AX49" i="30"/>
  <c r="AF38" i="43"/>
  <c r="AL37" i="43"/>
  <c r="AT37" i="43" s="1"/>
  <c r="AX37" i="43" s="1"/>
  <c r="AL51" i="30"/>
  <c r="AT51" i="30" s="1"/>
  <c r="AX51" i="30" s="1"/>
  <c r="U51" i="30" s="1"/>
  <c r="W51" i="30" s="1"/>
  <c r="Y51" i="30" s="1"/>
  <c r="AF52" i="30"/>
  <c r="AL52" i="30" l="1"/>
  <c r="AT52" i="30" s="1"/>
  <c r="AX52" i="30" s="1"/>
  <c r="U52" i="30" s="1"/>
  <c r="W52" i="30" s="1"/>
  <c r="Y52" i="30" s="1"/>
  <c r="AF53" i="30"/>
  <c r="U37" i="43"/>
  <c r="AL38" i="43"/>
  <c r="AT38" i="43" s="1"/>
  <c r="AX38" i="43" s="1"/>
  <c r="U38" i="43" s="1"/>
  <c r="W38" i="43" s="1"/>
  <c r="Y38" i="43" s="1"/>
  <c r="AF39" i="43"/>
  <c r="Y32" i="42"/>
  <c r="Y47" i="30"/>
  <c r="U49" i="30"/>
  <c r="AF38" i="42"/>
  <c r="AL37" i="42"/>
  <c r="AT37" i="42" s="1"/>
  <c r="AX37" i="42" s="1"/>
  <c r="U37" i="42" s="1"/>
  <c r="W37" i="42" s="1"/>
  <c r="Y37" i="42" s="1"/>
  <c r="AX35" i="42"/>
  <c r="U35" i="42" l="1"/>
  <c r="W37" i="43"/>
  <c r="W49" i="30"/>
  <c r="AF39" i="42"/>
  <c r="AL38" i="42"/>
  <c r="AT38" i="42" s="1"/>
  <c r="AL39" i="43"/>
  <c r="AT39" i="43" s="1"/>
  <c r="AX39" i="43" s="1"/>
  <c r="U39" i="43" s="1"/>
  <c r="W39" i="43" s="1"/>
  <c r="Y39" i="43" s="1"/>
  <c r="AF40" i="43"/>
  <c r="AF54" i="30"/>
  <c r="AL53" i="30"/>
  <c r="AT53" i="30" s="1"/>
  <c r="AX53" i="30" s="1"/>
  <c r="U53" i="30" s="1"/>
  <c r="W53" i="30" s="1"/>
  <c r="Y53" i="30" s="1"/>
  <c r="AL54" i="30" l="1"/>
  <c r="AT54" i="30" s="1"/>
  <c r="AX54" i="30" s="1"/>
  <c r="U54" i="30" s="1"/>
  <c r="W54" i="30" s="1"/>
  <c r="Y54" i="30" s="1"/>
  <c r="AF55" i="30"/>
  <c r="AF40" i="42"/>
  <c r="AL39" i="42"/>
  <c r="AT39" i="42" s="1"/>
  <c r="AX39" i="42" s="1"/>
  <c r="U39" i="42" s="1"/>
  <c r="W39" i="42" s="1"/>
  <c r="Y39" i="42" s="1"/>
  <c r="Y37" i="43"/>
  <c r="AF41" i="43"/>
  <c r="AL40" i="43"/>
  <c r="AT40" i="43" s="1"/>
  <c r="AX40" i="43" s="1"/>
  <c r="U40" i="43" s="1"/>
  <c r="W40" i="43" s="1"/>
  <c r="Y40" i="43" s="1"/>
  <c r="Y49" i="30"/>
  <c r="AX38" i="42"/>
  <c r="W35" i="42"/>
  <c r="U38" i="42" l="1"/>
  <c r="AL41" i="43"/>
  <c r="AT41" i="43" s="1"/>
  <c r="AX41" i="43" s="1"/>
  <c r="U41" i="43" s="1"/>
  <c r="W41" i="43" s="1"/>
  <c r="Y41" i="43" s="1"/>
  <c r="AF42" i="43"/>
  <c r="AF41" i="42"/>
  <c r="AL40" i="42"/>
  <c r="AT40" i="42" s="1"/>
  <c r="AX40" i="42" s="1"/>
  <c r="U40" i="42" s="1"/>
  <c r="W40" i="42" s="1"/>
  <c r="Y40" i="42" s="1"/>
  <c r="AF56" i="30"/>
  <c r="AL55" i="30"/>
  <c r="AT55" i="30" s="1"/>
  <c r="AX55" i="30" s="1"/>
  <c r="U55" i="30" s="1"/>
  <c r="W55" i="30" s="1"/>
  <c r="Y55" i="30" s="1"/>
  <c r="Y35" i="42"/>
  <c r="AF57" i="30" l="1"/>
  <c r="AL56" i="30"/>
  <c r="AT56" i="30" s="1"/>
  <c r="AX56" i="30" s="1"/>
  <c r="U56" i="30" s="1"/>
  <c r="W56" i="30" s="1"/>
  <c r="Y56" i="30" s="1"/>
  <c r="AF43" i="43"/>
  <c r="AL42" i="43"/>
  <c r="AT42" i="43" s="1"/>
  <c r="AX42" i="43" s="1"/>
  <c r="U42" i="43" s="1"/>
  <c r="W42" i="43" s="1"/>
  <c r="Y42" i="43" s="1"/>
  <c r="AL41" i="42"/>
  <c r="AT41" i="42" s="1"/>
  <c r="AX41" i="42" s="1"/>
  <c r="U41" i="42" s="1"/>
  <c r="W41" i="42" s="1"/>
  <c r="Y41" i="42" s="1"/>
  <c r="AF42" i="42"/>
  <c r="W38" i="42"/>
  <c r="Y38" i="42" l="1"/>
  <c r="AF44" i="43"/>
  <c r="AL43" i="43"/>
  <c r="AT43" i="43" s="1"/>
  <c r="AX43" i="43" s="1"/>
  <c r="U43" i="43" s="1"/>
  <c r="W43" i="43" s="1"/>
  <c r="Y43" i="43" s="1"/>
  <c r="AL42" i="42"/>
  <c r="AT42" i="42" s="1"/>
  <c r="AX42" i="42" s="1"/>
  <c r="U42" i="42" s="1"/>
  <c r="W42" i="42" s="1"/>
  <c r="Y42" i="42" s="1"/>
  <c r="AF43" i="42"/>
  <c r="AF58" i="30"/>
  <c r="AL57" i="30"/>
  <c r="AT57" i="30" s="1"/>
  <c r="AX57" i="30" s="1"/>
  <c r="U57" i="30" s="1"/>
  <c r="W57" i="30" s="1"/>
  <c r="Y57" i="30" s="1"/>
  <c r="AF59" i="30" l="1"/>
  <c r="AL58" i="30"/>
  <c r="AT58" i="30" s="1"/>
  <c r="AX58" i="30" s="1"/>
  <c r="U58" i="30" s="1"/>
  <c r="W58" i="30" s="1"/>
  <c r="Y58" i="30" s="1"/>
  <c r="AF45" i="43"/>
  <c r="AL44" i="43"/>
  <c r="AT44" i="43" s="1"/>
  <c r="AX44" i="43" s="1"/>
  <c r="U44" i="43" s="1"/>
  <c r="W44" i="43" s="1"/>
  <c r="Y44" i="43" s="1"/>
  <c r="AL43" i="42"/>
  <c r="AT43" i="42" s="1"/>
  <c r="AX43" i="42" s="1"/>
  <c r="U43" i="42" s="1"/>
  <c r="W43" i="42" s="1"/>
  <c r="Y43" i="42" s="1"/>
  <c r="AF44" i="42"/>
  <c r="AF46" i="43" l="1"/>
  <c r="AL45" i="43"/>
  <c r="AT45" i="43" s="1"/>
  <c r="AX45" i="43" s="1"/>
  <c r="U45" i="43" s="1"/>
  <c r="W45" i="43" s="1"/>
  <c r="Y45" i="43" s="1"/>
  <c r="AF45" i="42"/>
  <c r="AL44" i="42"/>
  <c r="AT44" i="42" s="1"/>
  <c r="AX44" i="42" s="1"/>
  <c r="U44" i="42" s="1"/>
  <c r="W44" i="42" s="1"/>
  <c r="Y44" i="42" s="1"/>
  <c r="AL59" i="30"/>
  <c r="AT59" i="30" s="1"/>
  <c r="AX59" i="30" s="1"/>
  <c r="U59" i="30" s="1"/>
  <c r="W59" i="30" s="1"/>
  <c r="Y59" i="30" s="1"/>
  <c r="AF60" i="30"/>
  <c r="AF46" i="42" l="1"/>
  <c r="AL45" i="42"/>
  <c r="AT45" i="42" s="1"/>
  <c r="AX45" i="42" s="1"/>
  <c r="U45" i="42" s="1"/>
  <c r="W45" i="42" s="1"/>
  <c r="Y45" i="42" s="1"/>
  <c r="AF61" i="30"/>
  <c r="AL60" i="30"/>
  <c r="AT60" i="30" s="1"/>
  <c r="AX60" i="30" s="1"/>
  <c r="U60" i="30" s="1"/>
  <c r="W60" i="30" s="1"/>
  <c r="Y60" i="30" s="1"/>
  <c r="AF47" i="43"/>
  <c r="AL46" i="43"/>
  <c r="AT46" i="43" s="1"/>
  <c r="AX46" i="43" s="1"/>
  <c r="U46" i="43" s="1"/>
  <c r="W46" i="43" s="1"/>
  <c r="Y46" i="43" s="1"/>
  <c r="AF62" i="30" l="1"/>
  <c r="AL61" i="30"/>
  <c r="AT61" i="30" s="1"/>
  <c r="AX61" i="30" s="1"/>
  <c r="U61" i="30" s="1"/>
  <c r="W61" i="30" s="1"/>
  <c r="Y61" i="30" s="1"/>
  <c r="AL47" i="43"/>
  <c r="AF58" i="43"/>
  <c r="AL46" i="42"/>
  <c r="AT46" i="42" s="1"/>
  <c r="AX46" i="42" s="1"/>
  <c r="U46" i="42" s="1"/>
  <c r="W46" i="42" s="1"/>
  <c r="Y46" i="42" s="1"/>
  <c r="AF47" i="42"/>
  <c r="AT47" i="43" l="1"/>
  <c r="AL58" i="43"/>
  <c r="AL47" i="42"/>
  <c r="AF58" i="42"/>
  <c r="AF63" i="30"/>
  <c r="AL62" i="30"/>
  <c r="AT62" i="30" s="1"/>
  <c r="AX62" i="30" s="1"/>
  <c r="U62" i="30" s="1"/>
  <c r="W62" i="30" s="1"/>
  <c r="Y62" i="30" s="1"/>
  <c r="AT47" i="42" l="1"/>
  <c r="AL58" i="42"/>
  <c r="AF64" i="30"/>
  <c r="AL63" i="30"/>
  <c r="AT63" i="30" s="1"/>
  <c r="AX63" i="30" s="1"/>
  <c r="U63" i="30" s="1"/>
  <c r="W63" i="30" s="1"/>
  <c r="Y63" i="30" s="1"/>
  <c r="AX47" i="43"/>
  <c r="AT58" i="43"/>
  <c r="AF65" i="30" l="1"/>
  <c r="AL64" i="30"/>
  <c r="AT64" i="30" s="1"/>
  <c r="AX64" i="30" s="1"/>
  <c r="U64" i="30" s="1"/>
  <c r="W64" i="30" s="1"/>
  <c r="Y64" i="30" s="1"/>
  <c r="U47" i="43"/>
  <c r="AX58" i="43"/>
  <c r="AX47" i="42"/>
  <c r="AT58" i="42"/>
  <c r="W47" i="43" l="1"/>
  <c r="U58" i="43"/>
  <c r="I18" i="32" s="1"/>
  <c r="U47" i="42"/>
  <c r="AX58" i="42"/>
  <c r="AF66" i="30"/>
  <c r="AL65" i="30"/>
  <c r="AT65" i="30" s="1"/>
  <c r="AX65" i="30" s="1"/>
  <c r="U65" i="30" s="1"/>
  <c r="W65" i="30" s="1"/>
  <c r="Y65" i="30" s="1"/>
  <c r="W47" i="42" l="1"/>
  <c r="U58" i="42"/>
  <c r="I16" i="32" s="1"/>
  <c r="AF67" i="30"/>
  <c r="AL66" i="30"/>
  <c r="AT66" i="30" s="1"/>
  <c r="AX66" i="30" s="1"/>
  <c r="U66" i="30" s="1"/>
  <c r="W66" i="30" s="1"/>
  <c r="Y66" i="30" s="1"/>
  <c r="Y47" i="43"/>
  <c r="Y58" i="43" s="1"/>
  <c r="M18" i="32" s="1"/>
  <c r="S17" i="23" s="1"/>
  <c r="U17" i="23" s="1"/>
  <c r="W58" i="43"/>
  <c r="K18" i="32" s="1"/>
  <c r="AF68" i="30" l="1"/>
  <c r="AL67" i="30"/>
  <c r="AT67" i="30" s="1"/>
  <c r="AX67" i="30" s="1"/>
  <c r="U67" i="30" s="1"/>
  <c r="W67" i="30" s="1"/>
  <c r="Y67" i="30" s="1"/>
  <c r="Y47" i="42"/>
  <c r="W58" i="42"/>
  <c r="K16" i="32" s="1"/>
  <c r="Y58" i="42" l="1"/>
  <c r="M16" i="32" s="1"/>
  <c r="S15" i="23" s="1"/>
  <c r="U15" i="23" s="1"/>
  <c r="AF69" i="30"/>
  <c r="AL68" i="30"/>
  <c r="AT68" i="30" s="1"/>
  <c r="AX68" i="30" s="1"/>
  <c r="U68" i="30" s="1"/>
  <c r="W68" i="30" s="1"/>
  <c r="Y68" i="30" s="1"/>
  <c r="AF70" i="30" l="1"/>
  <c r="AL69" i="30"/>
  <c r="AT69" i="30" s="1"/>
  <c r="AX69" i="30" s="1"/>
  <c r="U69" i="30" s="1"/>
  <c r="W69" i="30" s="1"/>
  <c r="Y69" i="30" s="1"/>
  <c r="AF71" i="30" l="1"/>
  <c r="AL70" i="30"/>
  <c r="AT70" i="30" s="1"/>
  <c r="AX70" i="30" s="1"/>
  <c r="U70" i="30" s="1"/>
  <c r="W70" i="30" s="1"/>
  <c r="Y70" i="30" s="1"/>
  <c r="AL71" i="30" l="1"/>
  <c r="AF73" i="30"/>
  <c r="AT71" i="30" l="1"/>
  <c r="AL73" i="30"/>
  <c r="AX71" i="30" l="1"/>
  <c r="AT73" i="30"/>
  <c r="U71" i="30" l="1"/>
  <c r="AX73" i="30"/>
  <c r="W71" i="30" l="1"/>
  <c r="U73" i="30"/>
  <c r="I32" i="32" l="1"/>
  <c r="Y71" i="30"/>
  <c r="Y73" i="30" s="1"/>
  <c r="W73" i="30"/>
  <c r="K32" i="32" l="1"/>
  <c r="M32" i="32"/>
  <c r="S30" i="23" s="1"/>
  <c r="U30" i="23" s="1"/>
  <c r="S32" i="66" l="1"/>
  <c r="S33" i="66"/>
  <c r="S34" i="66"/>
  <c r="S35" i="66"/>
  <c r="S36" i="66"/>
  <c r="S37" i="66"/>
  <c r="S38" i="66"/>
  <c r="S39" i="66"/>
  <c r="S40" i="66"/>
  <c r="S41" i="66"/>
  <c r="S42" i="66"/>
  <c r="S43" i="66"/>
  <c r="S44" i="66"/>
  <c r="S45" i="66"/>
  <c r="S46" i="66"/>
  <c r="S47" i="66"/>
  <c r="S48" i="66"/>
  <c r="S49" i="66"/>
  <c r="S50" i="66"/>
  <c r="S51" i="66"/>
  <c r="S52" i="66"/>
  <c r="S53" i="66"/>
  <c r="S54" i="66"/>
  <c r="S55" i="66"/>
  <c r="S56" i="66"/>
  <c r="S57" i="66"/>
  <c r="AF11" i="66"/>
  <c r="S29" i="66"/>
  <c r="S28" i="66"/>
  <c r="S31" i="66" l="1"/>
  <c r="S30" i="66"/>
  <c r="AF11" i="67"/>
  <c r="S28" i="67"/>
  <c r="S29" i="67"/>
  <c r="S30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8" i="67"/>
  <c r="S49" i="67"/>
  <c r="S50" i="67"/>
  <c r="S51" i="67"/>
  <c r="S52" i="67"/>
  <c r="S53" i="67"/>
  <c r="S54" i="67"/>
  <c r="S55" i="67"/>
  <c r="S56" i="67"/>
  <c r="S57" i="67"/>
  <c r="AL30" i="66"/>
  <c r="AL31" i="66"/>
  <c r="AL32" i="66"/>
  <c r="AL33" i="66"/>
  <c r="AL34" i="66"/>
  <c r="AL35" i="66"/>
  <c r="AL36" i="66"/>
  <c r="AL37" i="66"/>
  <c r="AL38" i="66"/>
  <c r="AL39" i="66"/>
  <c r="AL40" i="66"/>
  <c r="AL41" i="66"/>
  <c r="AL42" i="66"/>
  <c r="AL43" i="66"/>
  <c r="AL44" i="66"/>
  <c r="AL45" i="66"/>
  <c r="AL46" i="66"/>
  <c r="AL47" i="66"/>
  <c r="AL48" i="66"/>
  <c r="AL49" i="66"/>
  <c r="AL50" i="66"/>
  <c r="AL51" i="66"/>
  <c r="AL52" i="66"/>
  <c r="AL53" i="66"/>
  <c r="AL54" i="66"/>
  <c r="AL55" i="66"/>
  <c r="AL56" i="66"/>
  <c r="AL57" i="66"/>
  <c r="S59" i="66"/>
  <c r="G20" i="32" s="1"/>
  <c r="BD11" i="66"/>
  <c r="AL28" i="66"/>
  <c r="AF12" i="66"/>
  <c r="AL29" i="66"/>
  <c r="S59" i="67" l="1"/>
  <c r="G53" i="32" s="1"/>
  <c r="BD11" i="67"/>
  <c r="AL28" i="67"/>
  <c r="AF12" i="67"/>
  <c r="AL29" i="67"/>
  <c r="AL30" i="67"/>
  <c r="AL31" i="67"/>
  <c r="AL32" i="67"/>
  <c r="AL33" i="67"/>
  <c r="AL34" i="67"/>
  <c r="AL35" i="67"/>
  <c r="AL36" i="67"/>
  <c r="AL37" i="67"/>
  <c r="AL38" i="67"/>
  <c r="AL39" i="67"/>
  <c r="AL40" i="67"/>
  <c r="AL41" i="67"/>
  <c r="AL42" i="67"/>
  <c r="AL43" i="67"/>
  <c r="AL44" i="67"/>
  <c r="AL45" i="67"/>
  <c r="AL46" i="67"/>
  <c r="AL47" i="67"/>
  <c r="AL48" i="67"/>
  <c r="AL49" i="67"/>
  <c r="AL50" i="67"/>
  <c r="AL51" i="67"/>
  <c r="AL52" i="67"/>
  <c r="AL53" i="67"/>
  <c r="AL54" i="67"/>
  <c r="AL55" i="67"/>
  <c r="AL56" i="67"/>
  <c r="AL57" i="67"/>
  <c r="BF30" i="66"/>
  <c r="AT30" i="66" s="1"/>
  <c r="AX30" i="66" s="1"/>
  <c r="U30" i="66" s="1"/>
  <c r="W30" i="66" s="1"/>
  <c r="Y30" i="66" s="1"/>
  <c r="BF32" i="66"/>
  <c r="AT32" i="66" s="1"/>
  <c r="AX32" i="66" s="1"/>
  <c r="U32" i="66" s="1"/>
  <c r="W32" i="66" s="1"/>
  <c r="Y32" i="66" s="1"/>
  <c r="BF31" i="66"/>
  <c r="AT31" i="66" s="1"/>
  <c r="AX31" i="66" s="1"/>
  <c r="U31" i="66" s="1"/>
  <c r="W31" i="66" s="1"/>
  <c r="Y31" i="66" s="1"/>
  <c r="BF33" i="66"/>
  <c r="AT33" i="66" s="1"/>
  <c r="AX33" i="66" s="1"/>
  <c r="U33" i="66" s="1"/>
  <c r="W33" i="66" s="1"/>
  <c r="Y33" i="66" s="1"/>
  <c r="BF34" i="66"/>
  <c r="AT34" i="66" s="1"/>
  <c r="AX34" i="66" s="1"/>
  <c r="U34" i="66" s="1"/>
  <c r="W34" i="66" s="1"/>
  <c r="Y34" i="66" s="1"/>
  <c r="BF35" i="66"/>
  <c r="AT35" i="66" s="1"/>
  <c r="AX35" i="66" s="1"/>
  <c r="U35" i="66" s="1"/>
  <c r="W35" i="66" s="1"/>
  <c r="Y35" i="66" s="1"/>
  <c r="BF36" i="66"/>
  <c r="AT36" i="66" s="1"/>
  <c r="AX36" i="66" s="1"/>
  <c r="U36" i="66" s="1"/>
  <c r="W36" i="66" s="1"/>
  <c r="Y36" i="66" s="1"/>
  <c r="BF37" i="66"/>
  <c r="AT37" i="66" s="1"/>
  <c r="AX37" i="66" s="1"/>
  <c r="U37" i="66" s="1"/>
  <c r="W37" i="66" s="1"/>
  <c r="Y37" i="66" s="1"/>
  <c r="BF38" i="66"/>
  <c r="AT38" i="66" s="1"/>
  <c r="AX38" i="66" s="1"/>
  <c r="U38" i="66" s="1"/>
  <c r="W38" i="66" s="1"/>
  <c r="Y38" i="66" s="1"/>
  <c r="BF39" i="66"/>
  <c r="AT39" i="66" s="1"/>
  <c r="AX39" i="66" s="1"/>
  <c r="U39" i="66" s="1"/>
  <c r="W39" i="66" s="1"/>
  <c r="Y39" i="66" s="1"/>
  <c r="BF40" i="66"/>
  <c r="AT40" i="66" s="1"/>
  <c r="AX40" i="66" s="1"/>
  <c r="U40" i="66" s="1"/>
  <c r="W40" i="66" s="1"/>
  <c r="Y40" i="66" s="1"/>
  <c r="BF41" i="66"/>
  <c r="AT41" i="66" s="1"/>
  <c r="AX41" i="66" s="1"/>
  <c r="U41" i="66" s="1"/>
  <c r="W41" i="66" s="1"/>
  <c r="Y41" i="66" s="1"/>
  <c r="BF42" i="66"/>
  <c r="AT42" i="66" s="1"/>
  <c r="AX42" i="66" s="1"/>
  <c r="U42" i="66" s="1"/>
  <c r="W42" i="66" s="1"/>
  <c r="Y42" i="66" s="1"/>
  <c r="BF43" i="66"/>
  <c r="AT43" i="66" s="1"/>
  <c r="AX43" i="66" s="1"/>
  <c r="U43" i="66" s="1"/>
  <c r="W43" i="66" s="1"/>
  <c r="Y43" i="66" s="1"/>
  <c r="BF44" i="66"/>
  <c r="AT44" i="66" s="1"/>
  <c r="AX44" i="66" s="1"/>
  <c r="U44" i="66" s="1"/>
  <c r="W44" i="66" s="1"/>
  <c r="Y44" i="66" s="1"/>
  <c r="BF45" i="66"/>
  <c r="AT45" i="66" s="1"/>
  <c r="AX45" i="66" s="1"/>
  <c r="U45" i="66" s="1"/>
  <c r="W45" i="66" s="1"/>
  <c r="Y45" i="66" s="1"/>
  <c r="BF46" i="66"/>
  <c r="AT46" i="66" s="1"/>
  <c r="AX46" i="66" s="1"/>
  <c r="U46" i="66" s="1"/>
  <c r="W46" i="66" s="1"/>
  <c r="Y46" i="66" s="1"/>
  <c r="BF47" i="66"/>
  <c r="AT47" i="66" s="1"/>
  <c r="AX47" i="66" s="1"/>
  <c r="U47" i="66" s="1"/>
  <c r="W47" i="66" s="1"/>
  <c r="Y47" i="66" s="1"/>
  <c r="BF48" i="66"/>
  <c r="AT48" i="66" s="1"/>
  <c r="AX48" i="66" s="1"/>
  <c r="U48" i="66" s="1"/>
  <c r="W48" i="66" s="1"/>
  <c r="Y48" i="66" s="1"/>
  <c r="BF49" i="66"/>
  <c r="AT49" i="66" s="1"/>
  <c r="AX49" i="66" s="1"/>
  <c r="U49" i="66" s="1"/>
  <c r="W49" i="66" s="1"/>
  <c r="Y49" i="66" s="1"/>
  <c r="BF50" i="66"/>
  <c r="AT50" i="66" s="1"/>
  <c r="AX50" i="66" s="1"/>
  <c r="U50" i="66" s="1"/>
  <c r="W50" i="66" s="1"/>
  <c r="Y50" i="66" s="1"/>
  <c r="BF51" i="66"/>
  <c r="AT51" i="66" s="1"/>
  <c r="AX51" i="66" s="1"/>
  <c r="U51" i="66" s="1"/>
  <c r="W51" i="66" s="1"/>
  <c r="Y51" i="66" s="1"/>
  <c r="BF52" i="66"/>
  <c r="AT52" i="66" s="1"/>
  <c r="AX52" i="66" s="1"/>
  <c r="U52" i="66" s="1"/>
  <c r="W52" i="66" s="1"/>
  <c r="Y52" i="66" s="1"/>
  <c r="BF53" i="66"/>
  <c r="AT53" i="66" s="1"/>
  <c r="AX53" i="66" s="1"/>
  <c r="U53" i="66" s="1"/>
  <c r="W53" i="66" s="1"/>
  <c r="Y53" i="66" s="1"/>
  <c r="BF54" i="66"/>
  <c r="AT54" i="66" s="1"/>
  <c r="AX54" i="66" s="1"/>
  <c r="U54" i="66" s="1"/>
  <c r="W54" i="66" s="1"/>
  <c r="Y54" i="66" s="1"/>
  <c r="BF55" i="66"/>
  <c r="AT55" i="66" s="1"/>
  <c r="AX55" i="66" s="1"/>
  <c r="U55" i="66" s="1"/>
  <c r="W55" i="66" s="1"/>
  <c r="Y55" i="66" s="1"/>
  <c r="BF56" i="66"/>
  <c r="AT56" i="66" s="1"/>
  <c r="AX56" i="66" s="1"/>
  <c r="U56" i="66" s="1"/>
  <c r="W56" i="66" s="1"/>
  <c r="Y56" i="66" s="1"/>
  <c r="BF57" i="66"/>
  <c r="AT57" i="66" s="1"/>
  <c r="AX57" i="66" s="1"/>
  <c r="U57" i="66" s="1"/>
  <c r="W57" i="66" s="1"/>
  <c r="Y57" i="66" s="1"/>
  <c r="BF28" i="66"/>
  <c r="AT28" i="66" s="1"/>
  <c r="BF29" i="66"/>
  <c r="AT29" i="66" s="1"/>
  <c r="AX29" i="66" s="1"/>
  <c r="U29" i="66" s="1"/>
  <c r="W29" i="66" s="1"/>
  <c r="Y29" i="66" s="1"/>
  <c r="AL59" i="66"/>
  <c r="BF28" i="67" l="1"/>
  <c r="BF29" i="67"/>
  <c r="AT29" i="67" s="1"/>
  <c r="AX29" i="67" s="1"/>
  <c r="U29" i="67" s="1"/>
  <c r="W29" i="67" s="1"/>
  <c r="Y29" i="67" s="1"/>
  <c r="BF30" i="67"/>
  <c r="AT30" i="67" s="1"/>
  <c r="AX30" i="67" s="1"/>
  <c r="U30" i="67" s="1"/>
  <c r="W30" i="67" s="1"/>
  <c r="Y30" i="67" s="1"/>
  <c r="BF31" i="67"/>
  <c r="AT31" i="67" s="1"/>
  <c r="AX31" i="67" s="1"/>
  <c r="U31" i="67" s="1"/>
  <c r="W31" i="67" s="1"/>
  <c r="Y31" i="67" s="1"/>
  <c r="BF32" i="67"/>
  <c r="AT32" i="67" s="1"/>
  <c r="AX32" i="67" s="1"/>
  <c r="U32" i="67" s="1"/>
  <c r="W32" i="67" s="1"/>
  <c r="Y32" i="67" s="1"/>
  <c r="BF33" i="67"/>
  <c r="AT33" i="67" s="1"/>
  <c r="AX33" i="67" s="1"/>
  <c r="U33" i="67" s="1"/>
  <c r="W33" i="67" s="1"/>
  <c r="Y33" i="67" s="1"/>
  <c r="BF34" i="67"/>
  <c r="AT34" i="67" s="1"/>
  <c r="AX34" i="67" s="1"/>
  <c r="U34" i="67" s="1"/>
  <c r="W34" i="67" s="1"/>
  <c r="Y34" i="67" s="1"/>
  <c r="BF35" i="67"/>
  <c r="AT35" i="67" s="1"/>
  <c r="AX35" i="67" s="1"/>
  <c r="U35" i="67" s="1"/>
  <c r="W35" i="67" s="1"/>
  <c r="Y35" i="67" s="1"/>
  <c r="BF36" i="67"/>
  <c r="AT36" i="67" s="1"/>
  <c r="AX36" i="67" s="1"/>
  <c r="U36" i="67" s="1"/>
  <c r="W36" i="67" s="1"/>
  <c r="Y36" i="67" s="1"/>
  <c r="BF37" i="67"/>
  <c r="AT37" i="67" s="1"/>
  <c r="AX37" i="67" s="1"/>
  <c r="U37" i="67" s="1"/>
  <c r="W37" i="67" s="1"/>
  <c r="Y37" i="67" s="1"/>
  <c r="BF38" i="67"/>
  <c r="AT38" i="67" s="1"/>
  <c r="AX38" i="67" s="1"/>
  <c r="U38" i="67" s="1"/>
  <c r="W38" i="67" s="1"/>
  <c r="Y38" i="67" s="1"/>
  <c r="BF39" i="67"/>
  <c r="AT39" i="67" s="1"/>
  <c r="AX39" i="67" s="1"/>
  <c r="U39" i="67" s="1"/>
  <c r="W39" i="67" s="1"/>
  <c r="Y39" i="67" s="1"/>
  <c r="BF40" i="67"/>
  <c r="AT40" i="67" s="1"/>
  <c r="AX40" i="67" s="1"/>
  <c r="U40" i="67" s="1"/>
  <c r="W40" i="67" s="1"/>
  <c r="Y40" i="67" s="1"/>
  <c r="BF41" i="67"/>
  <c r="AT41" i="67" s="1"/>
  <c r="AX41" i="67" s="1"/>
  <c r="U41" i="67" s="1"/>
  <c r="W41" i="67" s="1"/>
  <c r="Y41" i="67" s="1"/>
  <c r="BF42" i="67"/>
  <c r="AT42" i="67" s="1"/>
  <c r="AX42" i="67" s="1"/>
  <c r="U42" i="67" s="1"/>
  <c r="W42" i="67" s="1"/>
  <c r="Y42" i="67" s="1"/>
  <c r="BF43" i="67"/>
  <c r="AT43" i="67" s="1"/>
  <c r="AX43" i="67" s="1"/>
  <c r="U43" i="67" s="1"/>
  <c r="W43" i="67" s="1"/>
  <c r="Y43" i="67" s="1"/>
  <c r="BF44" i="67"/>
  <c r="AT44" i="67" s="1"/>
  <c r="AX44" i="67" s="1"/>
  <c r="U44" i="67" s="1"/>
  <c r="W44" i="67" s="1"/>
  <c r="Y44" i="67" s="1"/>
  <c r="BF45" i="67"/>
  <c r="AT45" i="67" s="1"/>
  <c r="AX45" i="67" s="1"/>
  <c r="U45" i="67" s="1"/>
  <c r="W45" i="67" s="1"/>
  <c r="Y45" i="67" s="1"/>
  <c r="BF46" i="67"/>
  <c r="AT46" i="67" s="1"/>
  <c r="AX46" i="67" s="1"/>
  <c r="U46" i="67" s="1"/>
  <c r="W46" i="67" s="1"/>
  <c r="Y46" i="67" s="1"/>
  <c r="BF47" i="67"/>
  <c r="AT47" i="67" s="1"/>
  <c r="AX47" i="67" s="1"/>
  <c r="U47" i="67" s="1"/>
  <c r="W47" i="67" s="1"/>
  <c r="Y47" i="67" s="1"/>
  <c r="BF48" i="67"/>
  <c r="AT48" i="67" s="1"/>
  <c r="AX48" i="67" s="1"/>
  <c r="U48" i="67" s="1"/>
  <c r="W48" i="67" s="1"/>
  <c r="Y48" i="67" s="1"/>
  <c r="BF49" i="67"/>
  <c r="BF50" i="67"/>
  <c r="AT50" i="67" s="1"/>
  <c r="AX50" i="67" s="1"/>
  <c r="U50" i="67" s="1"/>
  <c r="W50" i="67" s="1"/>
  <c r="Y50" i="67" s="1"/>
  <c r="BF51" i="67"/>
  <c r="AT51" i="67" s="1"/>
  <c r="AX51" i="67" s="1"/>
  <c r="U51" i="67" s="1"/>
  <c r="W51" i="67" s="1"/>
  <c r="Y51" i="67" s="1"/>
  <c r="BF52" i="67"/>
  <c r="AT52" i="67" s="1"/>
  <c r="AX52" i="67" s="1"/>
  <c r="U52" i="67" s="1"/>
  <c r="W52" i="67" s="1"/>
  <c r="Y52" i="67" s="1"/>
  <c r="BF53" i="67"/>
  <c r="BF54" i="67"/>
  <c r="AT54" i="67" s="1"/>
  <c r="AX54" i="67" s="1"/>
  <c r="U54" i="67" s="1"/>
  <c r="W54" i="67" s="1"/>
  <c r="Y54" i="67" s="1"/>
  <c r="BF55" i="67"/>
  <c r="AT55" i="67" s="1"/>
  <c r="AX55" i="67" s="1"/>
  <c r="U55" i="67" s="1"/>
  <c r="W55" i="67" s="1"/>
  <c r="Y55" i="67" s="1"/>
  <c r="BF56" i="67"/>
  <c r="AT56" i="67" s="1"/>
  <c r="AX56" i="67" s="1"/>
  <c r="U56" i="67" s="1"/>
  <c r="W56" i="67" s="1"/>
  <c r="Y56" i="67" s="1"/>
  <c r="BF57" i="67"/>
  <c r="AT57" i="67" s="1"/>
  <c r="AX57" i="67" s="1"/>
  <c r="U57" i="67" s="1"/>
  <c r="W57" i="67" s="1"/>
  <c r="Y57" i="67" s="1"/>
  <c r="AT53" i="67"/>
  <c r="AX53" i="67" s="1"/>
  <c r="U53" i="67" s="1"/>
  <c r="W53" i="67" s="1"/>
  <c r="Y53" i="67" s="1"/>
  <c r="AT49" i="67"/>
  <c r="AX49" i="67" s="1"/>
  <c r="U49" i="67" s="1"/>
  <c r="W49" i="67" s="1"/>
  <c r="Y49" i="67" s="1"/>
  <c r="AT28" i="67"/>
  <c r="AL59" i="67"/>
  <c r="BF59" i="66"/>
  <c r="AX28" i="66"/>
  <c r="AX28" i="67" l="1"/>
  <c r="AT59" i="67"/>
  <c r="BF59" i="67"/>
  <c r="AT59" i="66"/>
  <c r="U28" i="66"/>
  <c r="AX59" i="66"/>
  <c r="U28" i="67" l="1"/>
  <c r="AX59" i="67"/>
  <c r="U59" i="66"/>
  <c r="I20" i="32" s="1"/>
  <c r="W28" i="66"/>
  <c r="U59" i="67" l="1"/>
  <c r="I53" i="32" s="1"/>
  <c r="W28" i="67"/>
  <c r="Y28" i="66"/>
  <c r="Y59" i="66" s="1"/>
  <c r="M20" i="32" s="1"/>
  <c r="S19" i="23" s="1"/>
  <c r="U19" i="23" s="1"/>
  <c r="W59" i="66"/>
  <c r="K20" i="32" s="1"/>
  <c r="Y28" i="67" l="1"/>
  <c r="Y59" i="67" s="1"/>
  <c r="M53" i="32" s="1"/>
  <c r="S43" i="23" s="1"/>
  <c r="U43" i="23" s="1"/>
  <c r="W59" i="67"/>
  <c r="K53" i="32" s="1"/>
  <c r="I28" i="61" l="1"/>
  <c r="I28" i="62"/>
  <c r="I29" i="61" l="1"/>
  <c r="S28" i="61"/>
  <c r="I28" i="69"/>
  <c r="S28" i="62"/>
  <c r="I29" i="62"/>
  <c r="I28" i="63"/>
  <c r="I28" i="65" l="1"/>
  <c r="S29" i="62"/>
  <c r="W29" i="62" s="1"/>
  <c r="Y29" i="62" s="1"/>
  <c r="I30" i="62"/>
  <c r="W28" i="62"/>
  <c r="W28" i="61"/>
  <c r="S28" i="63"/>
  <c r="I29" i="63"/>
  <c r="I29" i="69"/>
  <c r="S28" i="69"/>
  <c r="I30" i="61"/>
  <c r="S29" i="61"/>
  <c r="W29" i="61" s="1"/>
  <c r="Y29" i="61" s="1"/>
  <c r="W28" i="63" l="1"/>
  <c r="Y28" i="62"/>
  <c r="I30" i="69"/>
  <c r="S29" i="69"/>
  <c r="W29" i="69" s="1"/>
  <c r="Y29" i="69" s="1"/>
  <c r="S30" i="62"/>
  <c r="I31" i="62"/>
  <c r="I29" i="65"/>
  <c r="S28" i="65"/>
  <c r="W28" i="69"/>
  <c r="I31" i="61"/>
  <c r="S30" i="61"/>
  <c r="W30" i="61" s="1"/>
  <c r="Y30" i="61" s="1"/>
  <c r="Y28" i="61"/>
  <c r="S29" i="63"/>
  <c r="W29" i="63" s="1"/>
  <c r="Y29" i="63" s="1"/>
  <c r="I30" i="63"/>
  <c r="W28" i="65" l="1"/>
  <c r="I32" i="61"/>
  <c r="S31" i="61"/>
  <c r="W31" i="61" s="1"/>
  <c r="I30" i="65"/>
  <c r="S29" i="65"/>
  <c r="W29" i="65" s="1"/>
  <c r="Y29" i="65" s="1"/>
  <c r="S31" i="62"/>
  <c r="W31" i="62" s="1"/>
  <c r="Y31" i="62" s="1"/>
  <c r="I32" i="62"/>
  <c r="S30" i="69"/>
  <c r="W30" i="69" s="1"/>
  <c r="Y30" i="69" s="1"/>
  <c r="I31" i="69"/>
  <c r="Y28" i="63"/>
  <c r="S30" i="63"/>
  <c r="W30" i="63" s="1"/>
  <c r="Y30" i="63" s="1"/>
  <c r="I31" i="63"/>
  <c r="Y28" i="69"/>
  <c r="W30" i="62"/>
  <c r="Y30" i="62" l="1"/>
  <c r="I32" i="63"/>
  <c r="S31" i="63"/>
  <c r="W31" i="63" s="1"/>
  <c r="Y31" i="63" s="1"/>
  <c r="S31" i="69"/>
  <c r="W31" i="69" s="1"/>
  <c r="I32" i="69"/>
  <c r="I31" i="65"/>
  <c r="S30" i="65"/>
  <c r="W30" i="65" s="1"/>
  <c r="Y30" i="65" s="1"/>
  <c r="Y31" i="61"/>
  <c r="S32" i="62"/>
  <c r="I33" i="62"/>
  <c r="S32" i="61"/>
  <c r="I33" i="61"/>
  <c r="Y28" i="65"/>
  <c r="S33" i="61" l="1"/>
  <c r="W33" i="61" s="1"/>
  <c r="Y33" i="61" s="1"/>
  <c r="I34" i="61"/>
  <c r="I34" i="62"/>
  <c r="S33" i="62"/>
  <c r="W33" i="62" s="1"/>
  <c r="Y33" i="62" s="1"/>
  <c r="S31" i="65"/>
  <c r="I32" i="65"/>
  <c r="W32" i="62"/>
  <c r="S32" i="63"/>
  <c r="I33" i="63"/>
  <c r="W32" i="61"/>
  <c r="S32" i="69"/>
  <c r="I33" i="69"/>
  <c r="Y31" i="69"/>
  <c r="I34" i="69" l="1"/>
  <c r="S33" i="69"/>
  <c r="W33" i="69" s="1"/>
  <c r="Y33" i="69" s="1"/>
  <c r="W32" i="63"/>
  <c r="S32" i="65"/>
  <c r="W32" i="65" s="1"/>
  <c r="Y32" i="65" s="1"/>
  <c r="I33" i="65"/>
  <c r="W31" i="65"/>
  <c r="I35" i="61"/>
  <c r="S34" i="61"/>
  <c r="Y32" i="61"/>
  <c r="W32" i="69"/>
  <c r="S33" i="63"/>
  <c r="W33" i="63" s="1"/>
  <c r="Y33" i="63" s="1"/>
  <c r="I34" i="63"/>
  <c r="Y32" i="62"/>
  <c r="S34" i="62"/>
  <c r="I35" i="62"/>
  <c r="W34" i="62" l="1"/>
  <c r="Y31" i="65"/>
  <c r="Y32" i="63"/>
  <c r="W34" i="61"/>
  <c r="I34" i="65"/>
  <c r="S33" i="65"/>
  <c r="Y32" i="69"/>
  <c r="I36" i="61"/>
  <c r="S35" i="61"/>
  <c r="W35" i="61" s="1"/>
  <c r="Y35" i="61" s="1"/>
  <c r="S34" i="69"/>
  <c r="I35" i="69"/>
  <c r="S35" i="62"/>
  <c r="W35" i="62" s="1"/>
  <c r="Y35" i="62" s="1"/>
  <c r="I36" i="62"/>
  <c r="S34" i="63"/>
  <c r="I35" i="63"/>
  <c r="I36" i="69" l="1"/>
  <c r="S35" i="69"/>
  <c r="W35" i="69" s="1"/>
  <c r="Y35" i="69" s="1"/>
  <c r="S36" i="62"/>
  <c r="W36" i="62" s="1"/>
  <c r="Y36" i="62" s="1"/>
  <c r="I37" i="62"/>
  <c r="W34" i="69"/>
  <c r="Y34" i="61"/>
  <c r="W33" i="65"/>
  <c r="W34" i="63"/>
  <c r="S35" i="63"/>
  <c r="W35" i="63" s="1"/>
  <c r="Y35" i="63" s="1"/>
  <c r="I36" i="63"/>
  <c r="I37" i="61"/>
  <c r="S36" i="61"/>
  <c r="W36" i="61" s="1"/>
  <c r="Y36" i="61" s="1"/>
  <c r="I35" i="65"/>
  <c r="S34" i="65"/>
  <c r="W34" i="65" s="1"/>
  <c r="Y34" i="65" s="1"/>
  <c r="Y34" i="62"/>
  <c r="I36" i="65" l="1"/>
  <c r="S35" i="65"/>
  <c r="W35" i="65" s="1"/>
  <c r="Y35" i="65" s="1"/>
  <c r="I37" i="63"/>
  <c r="S36" i="63"/>
  <c r="W36" i="63" s="1"/>
  <c r="Y36" i="63" s="1"/>
  <c r="S37" i="62"/>
  <c r="I70" i="62"/>
  <c r="S37" i="61"/>
  <c r="I70" i="61"/>
  <c r="Y33" i="65"/>
  <c r="Y34" i="63"/>
  <c r="Y34" i="69"/>
  <c r="S36" i="69"/>
  <c r="W36" i="69" s="1"/>
  <c r="Y36" i="69" s="1"/>
  <c r="I37" i="69"/>
  <c r="W37" i="61" l="1"/>
  <c r="S70" i="61"/>
  <c r="G37" i="32" s="1"/>
  <c r="S37" i="63"/>
  <c r="I70" i="63"/>
  <c r="W37" i="62"/>
  <c r="S70" i="62"/>
  <c r="G24" i="32" s="1"/>
  <c r="I38" i="69"/>
  <c r="S37" i="69"/>
  <c r="W37" i="69" s="1"/>
  <c r="S36" i="65"/>
  <c r="W36" i="65" s="1"/>
  <c r="I37" i="65"/>
  <c r="Y37" i="69" l="1"/>
  <c r="I39" i="69"/>
  <c r="S38" i="69"/>
  <c r="W38" i="69" s="1"/>
  <c r="Y38" i="69" s="1"/>
  <c r="W37" i="63"/>
  <c r="S70" i="63"/>
  <c r="G25" i="32" s="1"/>
  <c r="I75" i="65"/>
  <c r="S37" i="65"/>
  <c r="Y36" i="65"/>
  <c r="Y37" i="62"/>
  <c r="Y70" i="62" s="1"/>
  <c r="M24" i="32" s="1"/>
  <c r="S25" i="23" s="1"/>
  <c r="U25" i="23" s="1"/>
  <c r="W70" i="62"/>
  <c r="K24" i="32" s="1"/>
  <c r="Y37" i="61"/>
  <c r="Y70" i="61" s="1"/>
  <c r="M37" i="32" s="1"/>
  <c r="S33" i="23" s="1"/>
  <c r="U33" i="23" s="1"/>
  <c r="W70" i="61"/>
  <c r="K37" i="32" s="1"/>
  <c r="W37" i="65" l="1"/>
  <c r="S75" i="65"/>
  <c r="G19" i="32" s="1"/>
  <c r="I40" i="69"/>
  <c r="S39" i="69"/>
  <c r="W39" i="69" s="1"/>
  <c r="Y39" i="69" s="1"/>
  <c r="Y37" i="63"/>
  <c r="Y70" i="63" s="1"/>
  <c r="M25" i="32" s="1"/>
  <c r="S26" i="23" s="1"/>
  <c r="U26" i="23" s="1"/>
  <c r="W70" i="63"/>
  <c r="K25" i="32" s="1"/>
  <c r="S40" i="69" l="1"/>
  <c r="W40" i="69" s="1"/>
  <c r="Y40" i="69" s="1"/>
  <c r="I41" i="69"/>
  <c r="Y37" i="65"/>
  <c r="Y75" i="65" s="1"/>
  <c r="M19" i="32" s="1"/>
  <c r="S18" i="23" s="1"/>
  <c r="U18" i="23" s="1"/>
  <c r="W75" i="65"/>
  <c r="K19" i="32" s="1"/>
  <c r="S41" i="69" l="1"/>
  <c r="W41" i="69" s="1"/>
  <c r="Y41" i="69" s="1"/>
  <c r="I42" i="69"/>
  <c r="S42" i="69" l="1"/>
  <c r="W42" i="69" s="1"/>
  <c r="Y42" i="69" s="1"/>
  <c r="I43" i="69"/>
  <c r="I44" i="69" l="1"/>
  <c r="I45" i="69" s="1"/>
  <c r="I46" i="69" s="1"/>
  <c r="I47" i="69" s="1"/>
  <c r="I48" i="69" s="1"/>
  <c r="I49" i="69" s="1"/>
  <c r="I50" i="69" s="1"/>
  <c r="I51" i="69" s="1"/>
  <c r="I52" i="69" s="1"/>
  <c r="I53" i="69" s="1"/>
  <c r="S43" i="69"/>
  <c r="W43" i="69" s="1"/>
  <c r="Y43" i="69" s="1"/>
  <c r="S44" i="69" l="1"/>
  <c r="W44" i="69" s="1"/>
  <c r="Y44" i="69" s="1"/>
  <c r="S45" i="69" l="1"/>
  <c r="W45" i="69" s="1"/>
  <c r="Y45" i="69" s="1"/>
  <c r="S49" i="69" l="1"/>
  <c r="W49" i="69" s="1"/>
  <c r="Y49" i="69" s="1"/>
  <c r="S46" i="69"/>
  <c r="W46" i="69" s="1"/>
  <c r="Y46" i="69" s="1"/>
  <c r="S47" i="69" l="1"/>
  <c r="W47" i="69" s="1"/>
  <c r="Y47" i="69" s="1"/>
  <c r="S48" i="69"/>
  <c r="W48" i="69" s="1"/>
  <c r="Y48" i="69" s="1"/>
  <c r="S50" i="69"/>
  <c r="W50" i="69" s="1"/>
  <c r="Y50" i="69" s="1"/>
  <c r="S53" i="69"/>
  <c r="S51" i="69" l="1"/>
  <c r="W51" i="69" s="1"/>
  <c r="Y51" i="69" s="1"/>
  <c r="W53" i="69"/>
  <c r="S52" i="69" l="1"/>
  <c r="I64" i="69"/>
  <c r="Y53" i="69"/>
  <c r="W52" i="69" l="1"/>
  <c r="S64" i="69"/>
  <c r="G13" i="32" s="1"/>
  <c r="Y52" i="69" l="1"/>
  <c r="Y64" i="69" s="1"/>
  <c r="M13" i="32" s="1"/>
  <c r="S51" i="23" s="1"/>
  <c r="U51" i="23" s="1"/>
  <c r="U52" i="23" s="1"/>
  <c r="W64" i="69"/>
  <c r="K13" i="32" s="1"/>
  <c r="AD46" i="31" l="1"/>
  <c r="AD53" i="31"/>
  <c r="AD61" i="31"/>
  <c r="AD67" i="31"/>
  <c r="AD46" i="57"/>
  <c r="AD49" i="58"/>
  <c r="AD42" i="58"/>
  <c r="AD53" i="58"/>
  <c r="AD65" i="58"/>
  <c r="AL46" i="57" l="1"/>
  <c r="AT46" i="57" s="1"/>
  <c r="AV46" i="57"/>
  <c r="S45" i="60"/>
  <c r="W45" i="60" s="1"/>
  <c r="Y45" i="60" s="1"/>
  <c r="AL67" i="31"/>
  <c r="AT67" i="31" s="1"/>
  <c r="AV67" i="31"/>
  <c r="AL61" i="31"/>
  <c r="AT61" i="31" s="1"/>
  <c r="AV61" i="31"/>
  <c r="AL53" i="31"/>
  <c r="AT53" i="31" s="1"/>
  <c r="AV53" i="31"/>
  <c r="AL46" i="31"/>
  <c r="AT46" i="31" s="1"/>
  <c r="AV46" i="31"/>
  <c r="AD40" i="31"/>
  <c r="AD61" i="58"/>
  <c r="AD41" i="58"/>
  <c r="AD66" i="31"/>
  <c r="AD58" i="31"/>
  <c r="AD51" i="31"/>
  <c r="AD45" i="31"/>
  <c r="S53" i="60"/>
  <c r="W53" i="60" s="1"/>
  <c r="Y53" i="60" s="1"/>
  <c r="S53" i="58"/>
  <c r="AL65" i="58"/>
  <c r="AT65" i="58" s="1"/>
  <c r="AV65" i="58"/>
  <c r="AF12" i="58"/>
  <c r="AL53" i="58"/>
  <c r="AT53" i="58" s="1"/>
  <c r="AV53" i="58"/>
  <c r="AL49" i="58"/>
  <c r="AT49" i="58" s="1"/>
  <c r="AV49" i="58"/>
  <c r="AD54" i="57"/>
  <c r="AD63" i="31"/>
  <c r="AD57" i="31"/>
  <c r="AD50" i="31"/>
  <c r="AD42" i="31"/>
  <c r="S51" i="31"/>
  <c r="S62" i="60"/>
  <c r="W62" i="60" s="1"/>
  <c r="Y62" i="60" s="1"/>
  <c r="S46" i="60"/>
  <c r="W46" i="60" s="1"/>
  <c r="Y46" i="60" s="1"/>
  <c r="AL42" i="58"/>
  <c r="AT42" i="58" s="1"/>
  <c r="AV42" i="58"/>
  <c r="AD50" i="58"/>
  <c r="AD69" i="31"/>
  <c r="AD62" i="31"/>
  <c r="AD55" i="31"/>
  <c r="AD47" i="31"/>
  <c r="AD41" i="31"/>
  <c r="S63" i="31"/>
  <c r="AD58" i="58"/>
  <c r="AD40" i="57"/>
  <c r="AD47" i="57"/>
  <c r="AD55" i="57"/>
  <c r="AD63" i="57"/>
  <c r="AD42" i="57"/>
  <c r="AD50" i="57"/>
  <c r="AD58" i="57"/>
  <c r="AD66" i="57"/>
  <c r="AD43" i="57"/>
  <c r="AD51" i="57"/>
  <c r="AD59" i="57"/>
  <c r="AD67" i="57"/>
  <c r="S54" i="57"/>
  <c r="AD39" i="58"/>
  <c r="AD46" i="58"/>
  <c r="AD54" i="58"/>
  <c r="AD62" i="58"/>
  <c r="AD66" i="58"/>
  <c r="AD57" i="58"/>
  <c r="AD45" i="58"/>
  <c r="AD62" i="57"/>
  <c r="S45" i="58"/>
  <c r="S46" i="58"/>
  <c r="S62" i="58"/>
  <c r="AD70" i="31"/>
  <c r="AD65" i="31"/>
  <c r="AD59" i="31"/>
  <c r="AD54" i="31"/>
  <c r="AD49" i="31"/>
  <c r="AD43" i="31"/>
  <c r="S67" i="31"/>
  <c r="AD68" i="58"/>
  <c r="AD64" i="58"/>
  <c r="AD60" i="58"/>
  <c r="AD56" i="58"/>
  <c r="AD52" i="58"/>
  <c r="AD48" i="58"/>
  <c r="AD44" i="58"/>
  <c r="AD40" i="58"/>
  <c r="AD69" i="57"/>
  <c r="AD65" i="57"/>
  <c r="AD61" i="57"/>
  <c r="AD57" i="57"/>
  <c r="AD53" i="57"/>
  <c r="AD49" i="57"/>
  <c r="AD45" i="57"/>
  <c r="AD41" i="57"/>
  <c r="AD68" i="31"/>
  <c r="AD64" i="31"/>
  <c r="AD60" i="31"/>
  <c r="AD56" i="31"/>
  <c r="AD52" i="31"/>
  <c r="AD48" i="31"/>
  <c r="AD44" i="31"/>
  <c r="S46" i="57"/>
  <c r="S40" i="31"/>
  <c r="AD67" i="58"/>
  <c r="AD63" i="58"/>
  <c r="AD59" i="58"/>
  <c r="AD55" i="58"/>
  <c r="AD51" i="58"/>
  <c r="AD47" i="58"/>
  <c r="AD43" i="58"/>
  <c r="AD68" i="57"/>
  <c r="AD64" i="57"/>
  <c r="AD60" i="57"/>
  <c r="AD56" i="57"/>
  <c r="AD52" i="57"/>
  <c r="AD48" i="57"/>
  <c r="AD44" i="57"/>
  <c r="AR11" i="31"/>
  <c r="BK11" i="31" s="1"/>
  <c r="AX42" i="58" l="1"/>
  <c r="U42" i="58" s="1"/>
  <c r="S56" i="31"/>
  <c r="S49" i="31"/>
  <c r="S65" i="31"/>
  <c r="S48" i="31"/>
  <c r="AX46" i="57"/>
  <c r="U46" i="57" s="1"/>
  <c r="W46" i="57" s="1"/>
  <c r="Y46" i="57" s="1"/>
  <c r="K70" i="58"/>
  <c r="S47" i="31"/>
  <c r="I72" i="31"/>
  <c r="K72" i="31"/>
  <c r="AX49" i="58"/>
  <c r="U49" i="58" s="1"/>
  <c r="AX46" i="31"/>
  <c r="U46" i="31" s="1"/>
  <c r="AX61" i="31"/>
  <c r="U61" i="31" s="1"/>
  <c r="S49" i="60"/>
  <c r="W49" i="60" s="1"/>
  <c r="Y49" i="60" s="1"/>
  <c r="S57" i="31"/>
  <c r="AL44" i="57"/>
  <c r="AT44" i="57" s="1"/>
  <c r="AV44" i="57"/>
  <c r="AL60" i="57"/>
  <c r="AT60" i="57" s="1"/>
  <c r="AV60" i="57"/>
  <c r="AL51" i="58"/>
  <c r="AT51" i="58" s="1"/>
  <c r="AV51" i="58"/>
  <c r="AL67" i="58"/>
  <c r="AT67" i="58" s="1"/>
  <c r="AV67" i="58"/>
  <c r="S58" i="60"/>
  <c r="W58" i="60" s="1"/>
  <c r="Y58" i="60" s="1"/>
  <c r="S46" i="31"/>
  <c r="S62" i="31"/>
  <c r="AL48" i="31"/>
  <c r="AT48" i="31" s="1"/>
  <c r="AV48" i="31"/>
  <c r="AL64" i="31"/>
  <c r="AT64" i="31" s="1"/>
  <c r="AV64" i="31"/>
  <c r="AL49" i="57"/>
  <c r="AT49" i="57" s="1"/>
  <c r="AV49" i="57"/>
  <c r="AL65" i="57"/>
  <c r="AT65" i="57" s="1"/>
  <c r="AV65" i="57"/>
  <c r="AL40" i="58"/>
  <c r="AT40" i="58" s="1"/>
  <c r="AV40" i="58"/>
  <c r="AL56" i="58"/>
  <c r="AT56" i="58" s="1"/>
  <c r="AV56" i="58"/>
  <c r="S68" i="60"/>
  <c r="W68" i="60" s="1"/>
  <c r="Y68" i="60" s="1"/>
  <c r="S52" i="60"/>
  <c r="W52" i="60" s="1"/>
  <c r="Y52" i="60" s="1"/>
  <c r="S53" i="57"/>
  <c r="S67" i="60"/>
  <c r="W67" i="60" s="1"/>
  <c r="Y67" i="60" s="1"/>
  <c r="S51" i="60"/>
  <c r="W51" i="60" s="1"/>
  <c r="Y51" i="60" s="1"/>
  <c r="S44" i="31"/>
  <c r="AL43" i="31"/>
  <c r="AT43" i="31" s="1"/>
  <c r="AV43" i="31"/>
  <c r="AL65" i="31"/>
  <c r="AT65" i="31" s="1"/>
  <c r="AV65" i="31"/>
  <c r="AL62" i="57"/>
  <c r="AT62" i="57" s="1"/>
  <c r="AV62" i="57"/>
  <c r="AL45" i="58"/>
  <c r="AT45" i="58" s="1"/>
  <c r="AV45" i="58"/>
  <c r="AL54" i="58"/>
  <c r="AT54" i="58" s="1"/>
  <c r="AV54" i="58"/>
  <c r="S69" i="57"/>
  <c r="S50" i="57"/>
  <c r="AL67" i="57"/>
  <c r="AT67" i="57" s="1"/>
  <c r="AV67" i="57"/>
  <c r="AL66" i="57"/>
  <c r="AT66" i="57" s="1"/>
  <c r="AV66" i="57"/>
  <c r="AL63" i="57"/>
  <c r="AT63" i="57" s="1"/>
  <c r="AV63" i="57"/>
  <c r="AL40" i="57"/>
  <c r="AT40" i="57" s="1"/>
  <c r="AV40" i="57"/>
  <c r="S59" i="31"/>
  <c r="AL62" i="31"/>
  <c r="AT62" i="31" s="1"/>
  <c r="AV62" i="31"/>
  <c r="AL42" i="31"/>
  <c r="AT42" i="31" s="1"/>
  <c r="AV42" i="31"/>
  <c r="AX65" i="58"/>
  <c r="U65" i="58" s="1"/>
  <c r="AL45" i="31"/>
  <c r="AT45" i="31" s="1"/>
  <c r="AV45" i="31"/>
  <c r="AL61" i="58"/>
  <c r="AT61" i="58" s="1"/>
  <c r="AV61" i="58"/>
  <c r="G72" i="31"/>
  <c r="S57" i="60"/>
  <c r="W57" i="60" s="1"/>
  <c r="Y57" i="60" s="1"/>
  <c r="S57" i="58"/>
  <c r="S45" i="31"/>
  <c r="S61" i="31"/>
  <c r="AL48" i="57"/>
  <c r="AT48" i="57" s="1"/>
  <c r="AV48" i="57"/>
  <c r="AL64" i="57"/>
  <c r="AT64" i="57" s="1"/>
  <c r="AV64" i="57"/>
  <c r="AL55" i="58"/>
  <c r="AT55" i="58" s="1"/>
  <c r="AV55" i="58"/>
  <c r="S66" i="60"/>
  <c r="W66" i="60" s="1"/>
  <c r="Y66" i="60" s="1"/>
  <c r="S66" i="58"/>
  <c r="S66" i="31"/>
  <c r="AL52" i="31"/>
  <c r="AT52" i="31" s="1"/>
  <c r="AV52" i="31"/>
  <c r="AL68" i="31"/>
  <c r="AT68" i="31" s="1"/>
  <c r="AV68" i="31"/>
  <c r="AL53" i="57"/>
  <c r="AT53" i="57" s="1"/>
  <c r="AV53" i="57"/>
  <c r="AL69" i="57"/>
  <c r="AV69" i="57"/>
  <c r="AL44" i="58"/>
  <c r="AT44" i="58" s="1"/>
  <c r="AV44" i="58"/>
  <c r="AL60" i="58"/>
  <c r="AT60" i="58" s="1"/>
  <c r="AV60" i="58"/>
  <c r="S64" i="60"/>
  <c r="W64" i="60" s="1"/>
  <c r="Y64" i="60" s="1"/>
  <c r="S64" i="58"/>
  <c r="S65" i="57"/>
  <c r="S48" i="60"/>
  <c r="W48" i="60" s="1"/>
  <c r="Y48" i="60" s="1"/>
  <c r="S48" i="58"/>
  <c r="S63" i="60"/>
  <c r="W63" i="60" s="1"/>
  <c r="Y63" i="60" s="1"/>
  <c r="S63" i="58"/>
  <c r="S47" i="60"/>
  <c r="W47" i="60" s="1"/>
  <c r="Y47" i="60" s="1"/>
  <c r="S47" i="58"/>
  <c r="S48" i="57"/>
  <c r="S52" i="31"/>
  <c r="AL49" i="31"/>
  <c r="AT49" i="31" s="1"/>
  <c r="AV49" i="31"/>
  <c r="AL70" i="31"/>
  <c r="AT70" i="31" s="1"/>
  <c r="AV70" i="31"/>
  <c r="AL57" i="58"/>
  <c r="AT57" i="58" s="1"/>
  <c r="AV57" i="58"/>
  <c r="AL46" i="58"/>
  <c r="AT46" i="58" s="1"/>
  <c r="AV46" i="58"/>
  <c r="S59" i="57"/>
  <c r="S63" i="57"/>
  <c r="S67" i="57"/>
  <c r="AL59" i="57"/>
  <c r="AT59" i="57" s="1"/>
  <c r="AV59" i="57"/>
  <c r="AL58" i="57"/>
  <c r="AT58" i="57" s="1"/>
  <c r="AV58" i="57"/>
  <c r="AL55" i="57"/>
  <c r="AT55" i="57" s="1"/>
  <c r="AV55" i="57"/>
  <c r="AL58" i="58"/>
  <c r="AT58" i="58" s="1"/>
  <c r="AV58" i="58"/>
  <c r="AL41" i="31"/>
  <c r="AT41" i="31" s="1"/>
  <c r="AV41" i="31"/>
  <c r="AL69" i="31"/>
  <c r="AT69" i="31" s="1"/>
  <c r="AV69" i="31"/>
  <c r="AL50" i="58"/>
  <c r="AT50" i="58" s="1"/>
  <c r="AV50" i="58"/>
  <c r="AL50" i="31"/>
  <c r="AT50" i="31" s="1"/>
  <c r="AV50" i="31"/>
  <c r="S43" i="31"/>
  <c r="AL51" i="31"/>
  <c r="AT51" i="31" s="1"/>
  <c r="AV51" i="31"/>
  <c r="O72" i="31"/>
  <c r="S65" i="60"/>
  <c r="W65" i="60" s="1"/>
  <c r="Y65" i="60" s="1"/>
  <c r="S65" i="58"/>
  <c r="S66" i="57"/>
  <c r="AL52" i="57"/>
  <c r="AT52" i="57" s="1"/>
  <c r="AV52" i="57"/>
  <c r="AL68" i="57"/>
  <c r="AT68" i="57" s="1"/>
  <c r="AV68" i="57"/>
  <c r="AL43" i="58"/>
  <c r="AT43" i="58" s="1"/>
  <c r="AV43" i="58"/>
  <c r="AL59" i="58"/>
  <c r="AT59" i="58" s="1"/>
  <c r="AV59" i="58"/>
  <c r="S42" i="60"/>
  <c r="W42" i="60" s="1"/>
  <c r="Y42" i="60" s="1"/>
  <c r="S42" i="58"/>
  <c r="W42" i="58" s="1"/>
  <c r="Y42" i="58" s="1"/>
  <c r="S64" i="57"/>
  <c r="S54" i="31"/>
  <c r="S70" i="31"/>
  <c r="AL56" i="31"/>
  <c r="AT56" i="31" s="1"/>
  <c r="AV56" i="31"/>
  <c r="AL41" i="57"/>
  <c r="AT41" i="57" s="1"/>
  <c r="AV41" i="57"/>
  <c r="AL57" i="57"/>
  <c r="AT57" i="57" s="1"/>
  <c r="AV57" i="57"/>
  <c r="AL48" i="58"/>
  <c r="AT48" i="58" s="1"/>
  <c r="AV48" i="58"/>
  <c r="AL64" i="58"/>
  <c r="AT64" i="58" s="1"/>
  <c r="AV64" i="58"/>
  <c r="S60" i="60"/>
  <c r="W60" i="60" s="1"/>
  <c r="Y60" i="60" s="1"/>
  <c r="S60" i="58"/>
  <c r="S61" i="57"/>
  <c r="S44" i="60"/>
  <c r="W44" i="60" s="1"/>
  <c r="Y44" i="60" s="1"/>
  <c r="S44" i="58"/>
  <c r="S45" i="57"/>
  <c r="S59" i="60"/>
  <c r="W59" i="60" s="1"/>
  <c r="Y59" i="60" s="1"/>
  <c r="S59" i="58"/>
  <c r="S60" i="57"/>
  <c r="S43" i="60"/>
  <c r="W43" i="60" s="1"/>
  <c r="Y43" i="60" s="1"/>
  <c r="S44" i="57"/>
  <c r="S43" i="58"/>
  <c r="S60" i="31"/>
  <c r="AL54" i="31"/>
  <c r="AT54" i="31" s="1"/>
  <c r="AV54" i="31"/>
  <c r="AL66" i="58"/>
  <c r="AT66" i="58" s="1"/>
  <c r="AV66" i="58"/>
  <c r="G70" i="58"/>
  <c r="AD38" i="58"/>
  <c r="K71" i="57"/>
  <c r="S58" i="57"/>
  <c r="S43" i="57"/>
  <c r="AL51" i="57"/>
  <c r="AT51" i="57" s="1"/>
  <c r="AV51" i="57"/>
  <c r="AL50" i="57"/>
  <c r="AT50" i="57" s="1"/>
  <c r="AV50" i="57"/>
  <c r="AL47" i="57"/>
  <c r="AT47" i="57" s="1"/>
  <c r="AV47" i="57"/>
  <c r="S61" i="60"/>
  <c r="W61" i="60" s="1"/>
  <c r="Y61" i="60" s="1"/>
  <c r="S61" i="58"/>
  <c r="S62" i="57"/>
  <c r="S41" i="31"/>
  <c r="AL47" i="31"/>
  <c r="AT47" i="31" s="1"/>
  <c r="AV47" i="31"/>
  <c r="AL57" i="31"/>
  <c r="AT57" i="31" s="1"/>
  <c r="AV57" i="31"/>
  <c r="S55" i="31"/>
  <c r="AL58" i="31"/>
  <c r="AT58" i="31" s="1"/>
  <c r="AV58" i="31"/>
  <c r="S54" i="60"/>
  <c r="W54" i="60" s="1"/>
  <c r="Y54" i="60" s="1"/>
  <c r="S54" i="58"/>
  <c r="S55" i="57"/>
  <c r="S49" i="58"/>
  <c r="S41" i="60"/>
  <c r="W41" i="60" s="1"/>
  <c r="Y41" i="60" s="1"/>
  <c r="S42" i="57"/>
  <c r="S41" i="58"/>
  <c r="S53" i="31"/>
  <c r="S69" i="31"/>
  <c r="AL56" i="57"/>
  <c r="AT56" i="57" s="1"/>
  <c r="AV56" i="57"/>
  <c r="AL47" i="58"/>
  <c r="AT47" i="58" s="1"/>
  <c r="AV47" i="58"/>
  <c r="AL63" i="58"/>
  <c r="AT63" i="58" s="1"/>
  <c r="AV63" i="58"/>
  <c r="S58" i="58"/>
  <c r="S50" i="60"/>
  <c r="W50" i="60" s="1"/>
  <c r="Y50" i="60" s="1"/>
  <c r="S50" i="58"/>
  <c r="S51" i="57"/>
  <c r="S68" i="57"/>
  <c r="S42" i="31"/>
  <c r="S58" i="31"/>
  <c r="AL44" i="31"/>
  <c r="AT44" i="31" s="1"/>
  <c r="AV44" i="31"/>
  <c r="AL60" i="31"/>
  <c r="AT60" i="31" s="1"/>
  <c r="AV60" i="31"/>
  <c r="AL45" i="57"/>
  <c r="AT45" i="57" s="1"/>
  <c r="AV45" i="57"/>
  <c r="AL61" i="57"/>
  <c r="AT61" i="57" s="1"/>
  <c r="AV61" i="57"/>
  <c r="AL52" i="58"/>
  <c r="AT52" i="58" s="1"/>
  <c r="AV52" i="58"/>
  <c r="AL68" i="58"/>
  <c r="AT68" i="58" s="1"/>
  <c r="AV68" i="58"/>
  <c r="S68" i="58"/>
  <c r="S52" i="58"/>
  <c r="S67" i="58"/>
  <c r="S51" i="58"/>
  <c r="S56" i="60"/>
  <c r="W56" i="60" s="1"/>
  <c r="Y56" i="60" s="1"/>
  <c r="S56" i="58"/>
  <c r="S57" i="57"/>
  <c r="S40" i="60"/>
  <c r="W40" i="60" s="1"/>
  <c r="Y40" i="60" s="1"/>
  <c r="S40" i="58"/>
  <c r="S41" i="57"/>
  <c r="S55" i="60"/>
  <c r="W55" i="60" s="1"/>
  <c r="Y55" i="60" s="1"/>
  <c r="S55" i="58"/>
  <c r="S56" i="57"/>
  <c r="S39" i="58"/>
  <c r="S40" i="57"/>
  <c r="S68" i="31"/>
  <c r="AL59" i="31"/>
  <c r="AT59" i="31" s="1"/>
  <c r="AV59" i="31"/>
  <c r="AL62" i="58"/>
  <c r="AT62" i="58" s="1"/>
  <c r="AV62" i="58"/>
  <c r="AL39" i="58"/>
  <c r="AT39" i="58" s="1"/>
  <c r="AV39" i="58"/>
  <c r="S47" i="57"/>
  <c r="S52" i="57"/>
  <c r="I71" i="57"/>
  <c r="S39" i="57"/>
  <c r="AL43" i="57"/>
  <c r="AT43" i="57" s="1"/>
  <c r="AV43" i="57"/>
  <c r="AL42" i="57"/>
  <c r="AT42" i="57" s="1"/>
  <c r="AV42" i="57"/>
  <c r="AD39" i="57"/>
  <c r="G71" i="57"/>
  <c r="AL55" i="31"/>
  <c r="AT55" i="31" s="1"/>
  <c r="AV55" i="31"/>
  <c r="S38" i="58"/>
  <c r="AL63" i="31"/>
  <c r="AT63" i="31" s="1"/>
  <c r="AV63" i="31"/>
  <c r="AL54" i="57"/>
  <c r="AT54" i="57" s="1"/>
  <c r="AV54" i="57"/>
  <c r="AX53" i="58"/>
  <c r="U53" i="58" s="1"/>
  <c r="W53" i="58" s="1"/>
  <c r="Y53" i="58" s="1"/>
  <c r="S64" i="31"/>
  <c r="AL66" i="31"/>
  <c r="AT66" i="31" s="1"/>
  <c r="AV66" i="31"/>
  <c r="AL41" i="58"/>
  <c r="AT41" i="58" s="1"/>
  <c r="AV41" i="58"/>
  <c r="AD72" i="31"/>
  <c r="AR12" i="31" s="1"/>
  <c r="AL40" i="31"/>
  <c r="AV40" i="31"/>
  <c r="AX53" i="31"/>
  <c r="U53" i="31" s="1"/>
  <c r="AX67" i="31"/>
  <c r="U67" i="31" s="1"/>
  <c r="W67" i="31" s="1"/>
  <c r="Y67" i="31" s="1"/>
  <c r="Q71" i="57"/>
  <c r="S50" i="31"/>
  <c r="AR11" i="57"/>
  <c r="BK11" i="57" s="1"/>
  <c r="W49" i="58" l="1"/>
  <c r="Y49" i="58" s="1"/>
  <c r="AX51" i="31"/>
  <c r="U51" i="31" s="1"/>
  <c r="W51" i="31" s="1"/>
  <c r="Y51" i="31" s="1"/>
  <c r="AX57" i="58"/>
  <c r="U57" i="58" s="1"/>
  <c r="W57" i="58" s="1"/>
  <c r="Y57" i="58" s="1"/>
  <c r="AX42" i="31"/>
  <c r="U42" i="31" s="1"/>
  <c r="AX49" i="31"/>
  <c r="U49" i="31" s="1"/>
  <c r="W49" i="31" s="1"/>
  <c r="Y49" i="31" s="1"/>
  <c r="AX46" i="58"/>
  <c r="U46" i="58" s="1"/>
  <c r="W46" i="58" s="1"/>
  <c r="Y46" i="58" s="1"/>
  <c r="AX62" i="31"/>
  <c r="U62" i="31" s="1"/>
  <c r="W62" i="31" s="1"/>
  <c r="Y62" i="31" s="1"/>
  <c r="W61" i="31"/>
  <c r="Y61" i="31" s="1"/>
  <c r="AX44" i="58"/>
  <c r="U44" i="58" s="1"/>
  <c r="W44" i="58" s="1"/>
  <c r="Y44" i="58" s="1"/>
  <c r="AX53" i="57"/>
  <c r="U53" i="57" s="1"/>
  <c r="W53" i="57" s="1"/>
  <c r="Y53" i="57" s="1"/>
  <c r="AX52" i="31"/>
  <c r="U52" i="31" s="1"/>
  <c r="W52" i="31" s="1"/>
  <c r="Y52" i="31" s="1"/>
  <c r="AX60" i="58"/>
  <c r="U60" i="58" s="1"/>
  <c r="W60" i="58" s="1"/>
  <c r="Y60" i="58" s="1"/>
  <c r="AX68" i="31"/>
  <c r="U68" i="31" s="1"/>
  <c r="W68" i="31" s="1"/>
  <c r="Y68" i="31" s="1"/>
  <c r="AX47" i="31"/>
  <c r="U47" i="31" s="1"/>
  <c r="W47" i="31" s="1"/>
  <c r="Y47" i="31" s="1"/>
  <c r="AX50" i="57"/>
  <c r="U50" i="57" s="1"/>
  <c r="W50" i="57" s="1"/>
  <c r="Y50" i="57" s="1"/>
  <c r="AX59" i="58"/>
  <c r="U59" i="58" s="1"/>
  <c r="W59" i="58" s="1"/>
  <c r="Y59" i="58" s="1"/>
  <c r="AX68" i="57"/>
  <c r="U68" i="57" s="1"/>
  <c r="W68" i="57" s="1"/>
  <c r="Y68" i="57" s="1"/>
  <c r="AX45" i="58"/>
  <c r="U45" i="58" s="1"/>
  <c r="W45" i="58" s="1"/>
  <c r="Y45" i="58" s="1"/>
  <c r="AX40" i="58"/>
  <c r="U40" i="58" s="1"/>
  <c r="W40" i="58" s="1"/>
  <c r="Y40" i="58" s="1"/>
  <c r="AX49" i="57"/>
  <c r="U49" i="57" s="1"/>
  <c r="AX48" i="31"/>
  <c r="U48" i="31" s="1"/>
  <c r="W48" i="31" s="1"/>
  <c r="Y48" i="31" s="1"/>
  <c r="W46" i="31"/>
  <c r="Y46" i="31" s="1"/>
  <c r="AX66" i="31"/>
  <c r="U66" i="31" s="1"/>
  <c r="W66" i="31" s="1"/>
  <c r="Y66" i="31" s="1"/>
  <c r="AX54" i="57"/>
  <c r="U54" i="57" s="1"/>
  <c r="AX62" i="58"/>
  <c r="U62" i="58" s="1"/>
  <c r="W62" i="58" s="1"/>
  <c r="Y62" i="58" s="1"/>
  <c r="AX57" i="31"/>
  <c r="U57" i="31" s="1"/>
  <c r="W57" i="31" s="1"/>
  <c r="Y57" i="31" s="1"/>
  <c r="S49" i="57"/>
  <c r="S71" i="57" s="1"/>
  <c r="G36" i="32" s="1"/>
  <c r="W53" i="31"/>
  <c r="Y53" i="31" s="1"/>
  <c r="AX64" i="58"/>
  <c r="U64" i="58" s="1"/>
  <c r="W64" i="58" s="1"/>
  <c r="Y64" i="58" s="1"/>
  <c r="AX57" i="57"/>
  <c r="U57" i="57" s="1"/>
  <c r="W57" i="57" s="1"/>
  <c r="Y57" i="57" s="1"/>
  <c r="AX56" i="31"/>
  <c r="U56" i="31" s="1"/>
  <c r="W56" i="31" s="1"/>
  <c r="Y56" i="31" s="1"/>
  <c r="AX41" i="58"/>
  <c r="U41" i="58" s="1"/>
  <c r="W41" i="58" s="1"/>
  <c r="Y41" i="58" s="1"/>
  <c r="AX43" i="57"/>
  <c r="U43" i="57" s="1"/>
  <c r="AX52" i="58"/>
  <c r="U52" i="58" s="1"/>
  <c r="W52" i="58" s="1"/>
  <c r="Y52" i="58" s="1"/>
  <c r="AX45" i="57"/>
  <c r="U45" i="57" s="1"/>
  <c r="AX44" i="31"/>
  <c r="U44" i="31" s="1"/>
  <c r="W44" i="31" s="1"/>
  <c r="Y44" i="31" s="1"/>
  <c r="AX47" i="58"/>
  <c r="U47" i="58" s="1"/>
  <c r="W47" i="58" s="1"/>
  <c r="Y47" i="58" s="1"/>
  <c r="AX41" i="57"/>
  <c r="U41" i="57" s="1"/>
  <c r="W41" i="57" s="1"/>
  <c r="Y41" i="57" s="1"/>
  <c r="AX50" i="31"/>
  <c r="U50" i="31" s="1"/>
  <c r="W50" i="31" s="1"/>
  <c r="Y50" i="31" s="1"/>
  <c r="AX69" i="31"/>
  <c r="U69" i="31" s="1"/>
  <c r="W69" i="31" s="1"/>
  <c r="Y69" i="31" s="1"/>
  <c r="AX58" i="58"/>
  <c r="U58" i="58" s="1"/>
  <c r="W58" i="58" s="1"/>
  <c r="Y58" i="58" s="1"/>
  <c r="AX58" i="57"/>
  <c r="U58" i="57" s="1"/>
  <c r="W58" i="57" s="1"/>
  <c r="Y58" i="57" s="1"/>
  <c r="AX55" i="31"/>
  <c r="U55" i="31" s="1"/>
  <c r="W55" i="31" s="1"/>
  <c r="Y55" i="31" s="1"/>
  <c r="AX61" i="57"/>
  <c r="U61" i="57" s="1"/>
  <c r="W61" i="57" s="1"/>
  <c r="Y61" i="57" s="1"/>
  <c r="AX60" i="31"/>
  <c r="U60" i="31" s="1"/>
  <c r="W60" i="31" s="1"/>
  <c r="Y60" i="31" s="1"/>
  <c r="AX63" i="58"/>
  <c r="U63" i="58" s="1"/>
  <c r="W63" i="58" s="1"/>
  <c r="Y63" i="58" s="1"/>
  <c r="AX56" i="57"/>
  <c r="U56" i="57" s="1"/>
  <c r="AX54" i="31"/>
  <c r="U54" i="31" s="1"/>
  <c r="W54" i="31" s="1"/>
  <c r="Y54" i="31" s="1"/>
  <c r="AX50" i="58"/>
  <c r="U50" i="58" s="1"/>
  <c r="W50" i="58" s="1"/>
  <c r="Y50" i="58" s="1"/>
  <c r="AX41" i="31"/>
  <c r="U41" i="31" s="1"/>
  <c r="W41" i="31" s="1"/>
  <c r="Y41" i="31" s="1"/>
  <c r="AX55" i="57"/>
  <c r="U55" i="57" s="1"/>
  <c r="AX59" i="57"/>
  <c r="U59" i="57" s="1"/>
  <c r="W59" i="57" s="1"/>
  <c r="AX51" i="58"/>
  <c r="U51" i="58" s="1"/>
  <c r="W51" i="58" s="1"/>
  <c r="Y51" i="58" s="1"/>
  <c r="AX39" i="58"/>
  <c r="U39" i="58" s="1"/>
  <c r="W39" i="58" s="1"/>
  <c r="Y39" i="58" s="1"/>
  <c r="AX47" i="57"/>
  <c r="U47" i="57" s="1"/>
  <c r="AX43" i="58"/>
  <c r="U43" i="58" s="1"/>
  <c r="W43" i="58" s="1"/>
  <c r="Y43" i="58" s="1"/>
  <c r="S70" i="58"/>
  <c r="G49" i="32" s="1"/>
  <c r="AL39" i="57"/>
  <c r="AT39" i="57" s="1"/>
  <c r="AD71" i="57"/>
  <c r="AR12" i="57" s="1"/>
  <c r="AV39" i="57"/>
  <c r="AV71" i="57" s="1"/>
  <c r="S72" i="31"/>
  <c r="G35" i="32" s="1"/>
  <c r="AV38" i="58"/>
  <c r="AV70" i="58" s="1"/>
  <c r="AL38" i="58"/>
  <c r="AD70" i="58"/>
  <c r="AR12" i="58" s="1"/>
  <c r="O71" i="57"/>
  <c r="AX70" i="31"/>
  <c r="U70" i="31" s="1"/>
  <c r="W70" i="31" s="1"/>
  <c r="Y70" i="31" s="1"/>
  <c r="AX64" i="57"/>
  <c r="U64" i="57" s="1"/>
  <c r="AX61" i="58"/>
  <c r="U61" i="58" s="1"/>
  <c r="W61" i="58" s="1"/>
  <c r="Y61" i="58" s="1"/>
  <c r="W65" i="58"/>
  <c r="Y65" i="58" s="1"/>
  <c r="AX63" i="57"/>
  <c r="U63" i="57" s="1"/>
  <c r="AX67" i="57"/>
  <c r="U67" i="57" s="1"/>
  <c r="AX65" i="31"/>
  <c r="U65" i="31" s="1"/>
  <c r="W65" i="31" s="1"/>
  <c r="Y65" i="31" s="1"/>
  <c r="O70" i="59"/>
  <c r="S68" i="59"/>
  <c r="AX44" i="57"/>
  <c r="U44" i="57" s="1"/>
  <c r="W44" i="57" s="1"/>
  <c r="AV72" i="31"/>
  <c r="Q72" i="31"/>
  <c r="W42" i="31"/>
  <c r="Y42" i="31" s="1"/>
  <c r="AX67" i="58"/>
  <c r="U67" i="58" s="1"/>
  <c r="W67" i="58" s="1"/>
  <c r="Y67" i="58" s="1"/>
  <c r="AX60" i="57"/>
  <c r="U60" i="57" s="1"/>
  <c r="O70" i="60"/>
  <c r="S39" i="60"/>
  <c r="AT40" i="31"/>
  <c r="AT72" i="31" s="1"/>
  <c r="AL72" i="31"/>
  <c r="AX63" i="31"/>
  <c r="U63" i="31" s="1"/>
  <c r="W63" i="31" s="1"/>
  <c r="Y63" i="31" s="1"/>
  <c r="AX42" i="57"/>
  <c r="U42" i="57" s="1"/>
  <c r="AX59" i="31"/>
  <c r="U59" i="31" s="1"/>
  <c r="W59" i="31" s="1"/>
  <c r="Y59" i="31" s="1"/>
  <c r="O70" i="58"/>
  <c r="AX68" i="58"/>
  <c r="U68" i="58" s="1"/>
  <c r="W68" i="58" s="1"/>
  <c r="Y68" i="58" s="1"/>
  <c r="AX58" i="31"/>
  <c r="U58" i="31" s="1"/>
  <c r="W58" i="31" s="1"/>
  <c r="Y58" i="31" s="1"/>
  <c r="AX51" i="57"/>
  <c r="U51" i="57" s="1"/>
  <c r="W51" i="57" s="1"/>
  <c r="AX66" i="58"/>
  <c r="U66" i="58" s="1"/>
  <c r="W66" i="58" s="1"/>
  <c r="Y66" i="58" s="1"/>
  <c r="AX48" i="58"/>
  <c r="U48" i="58" s="1"/>
  <c r="W48" i="58" s="1"/>
  <c r="Y48" i="58" s="1"/>
  <c r="AX52" i="57"/>
  <c r="U52" i="57" s="1"/>
  <c r="W52" i="57" s="1"/>
  <c r="AL71" i="57"/>
  <c r="AT69" i="57"/>
  <c r="AX69" i="57" s="1"/>
  <c r="U69" i="57" s="1"/>
  <c r="W69" i="57" s="1"/>
  <c r="AX55" i="58"/>
  <c r="U55" i="58" s="1"/>
  <c r="W55" i="58" s="1"/>
  <c r="Y55" i="58" s="1"/>
  <c r="AX48" i="57"/>
  <c r="U48" i="57" s="1"/>
  <c r="AX45" i="31"/>
  <c r="U45" i="31" s="1"/>
  <c r="W45" i="31" s="1"/>
  <c r="Y45" i="31" s="1"/>
  <c r="AX40" i="57"/>
  <c r="U40" i="57" s="1"/>
  <c r="AX66" i="57"/>
  <c r="U66" i="57" s="1"/>
  <c r="W66" i="57" s="1"/>
  <c r="AX54" i="58"/>
  <c r="U54" i="58" s="1"/>
  <c r="W54" i="58" s="1"/>
  <c r="Y54" i="58" s="1"/>
  <c r="AX62" i="57"/>
  <c r="U62" i="57" s="1"/>
  <c r="W62" i="57" s="1"/>
  <c r="AX43" i="31"/>
  <c r="U43" i="31" s="1"/>
  <c r="W43" i="31" s="1"/>
  <c r="Y43" i="31" s="1"/>
  <c r="AX56" i="58"/>
  <c r="U56" i="58" s="1"/>
  <c r="W56" i="58" s="1"/>
  <c r="Y56" i="58" s="1"/>
  <c r="AX65" i="57"/>
  <c r="U65" i="57" s="1"/>
  <c r="W65" i="57" s="1"/>
  <c r="AX64" i="31"/>
  <c r="U64" i="31" s="1"/>
  <c r="W64" i="31" s="1"/>
  <c r="Y64" i="31" s="1"/>
  <c r="W49" i="57" l="1"/>
  <c r="Y49" i="57" s="1"/>
  <c r="W55" i="57"/>
  <c r="Y55" i="57" s="1"/>
  <c r="W42" i="57"/>
  <c r="Y42" i="57" s="1"/>
  <c r="W64" i="57"/>
  <c r="Y64" i="57" s="1"/>
  <c r="Y52" i="57"/>
  <c r="Y66" i="57"/>
  <c r="Y44" i="57"/>
  <c r="W45" i="57"/>
  <c r="Y45" i="57" s="1"/>
  <c r="W40" i="57"/>
  <c r="Y40" i="57" s="1"/>
  <c r="W63" i="57"/>
  <c r="Y63" i="57" s="1"/>
  <c r="W48" i="57"/>
  <c r="Y48" i="57" s="1"/>
  <c r="W60" i="57"/>
  <c r="Y60" i="57" s="1"/>
  <c r="Y62" i="57"/>
  <c r="Y69" i="57"/>
  <c r="Y65" i="57"/>
  <c r="Y51" i="57"/>
  <c r="Y59" i="57"/>
  <c r="W54" i="57"/>
  <c r="Y54" i="57" s="1"/>
  <c r="W43" i="57"/>
  <c r="Y43" i="57" s="1"/>
  <c r="W47" i="57"/>
  <c r="Y47" i="57" s="1"/>
  <c r="W56" i="57"/>
  <c r="Y56" i="57" s="1"/>
  <c r="W67" i="57"/>
  <c r="Y67" i="57" s="1"/>
  <c r="AL70" i="58"/>
  <c r="AT38" i="58"/>
  <c r="AT71" i="57"/>
  <c r="AX39" i="57"/>
  <c r="W39" i="60"/>
  <c r="S70" i="60"/>
  <c r="G29" i="32" s="1"/>
  <c r="AX40" i="31"/>
  <c r="S70" i="59"/>
  <c r="G50" i="32" s="1"/>
  <c r="W68" i="59"/>
  <c r="AT70" i="58" l="1"/>
  <c r="AX38" i="58"/>
  <c r="W70" i="59"/>
  <c r="K50" i="32" s="1"/>
  <c r="Y68" i="59"/>
  <c r="Y70" i="59" s="1"/>
  <c r="M50" i="32" s="1"/>
  <c r="S41" i="23" s="1"/>
  <c r="U41" i="23" s="1"/>
  <c r="Y39" i="60"/>
  <c r="Y70" i="60" s="1"/>
  <c r="M29" i="32" s="1"/>
  <c r="S28" i="23" s="1"/>
  <c r="U28" i="23" s="1"/>
  <c r="W70" i="60"/>
  <c r="K29" i="32" s="1"/>
  <c r="U39" i="57"/>
  <c r="W39" i="57" s="1"/>
  <c r="W71" i="57" s="1"/>
  <c r="AX71" i="57"/>
  <c r="U40" i="31"/>
  <c r="AX72" i="31"/>
  <c r="U71" i="57" l="1"/>
  <c r="I36" i="32" s="1"/>
  <c r="U38" i="58"/>
  <c r="AX70" i="58"/>
  <c r="W40" i="31"/>
  <c r="U72" i="31"/>
  <c r="I35" i="32" s="1"/>
  <c r="U70" i="58" l="1"/>
  <c r="I49" i="32" s="1"/>
  <c r="W38" i="58"/>
  <c r="Y39" i="57"/>
  <c r="Y71" i="57" s="1"/>
  <c r="M36" i="32" s="1"/>
  <c r="S32" i="23" s="1"/>
  <c r="U32" i="23" s="1"/>
  <c r="K36" i="32"/>
  <c r="Y40" i="31"/>
  <c r="Y72" i="31" s="1"/>
  <c r="M35" i="32" s="1"/>
  <c r="S31" i="23" s="1"/>
  <c r="U31" i="23" s="1"/>
  <c r="W72" i="31"/>
  <c r="K35" i="32" s="1"/>
  <c r="Y38" i="58" l="1"/>
  <c r="Y70" i="58" s="1"/>
  <c r="M49" i="32" s="1"/>
  <c r="S40" i="23" s="1"/>
  <c r="U40" i="23" s="1"/>
  <c r="W70" i="58"/>
  <c r="K49" i="32" s="1"/>
  <c r="BD11" i="75" l="1"/>
  <c r="BF38" i="75" l="1"/>
  <c r="AT38" i="75" s="1"/>
  <c r="AX38" i="75" s="1"/>
  <c r="U38" i="75" s="1"/>
  <c r="W38" i="75" s="1"/>
  <c r="Y38" i="75" s="1"/>
  <c r="BF39" i="75"/>
  <c r="AT39" i="75" s="1"/>
  <c r="AX39" i="75" s="1"/>
  <c r="U39" i="75" s="1"/>
  <c r="W39" i="75" s="1"/>
  <c r="Y39" i="75" s="1"/>
  <c r="BF40" i="75"/>
  <c r="AT40" i="75" s="1"/>
  <c r="AX40" i="75" s="1"/>
  <c r="U40" i="75" s="1"/>
  <c r="W40" i="75" s="1"/>
  <c r="Y40" i="75" s="1"/>
  <c r="BF41" i="75"/>
  <c r="AT41" i="75" s="1"/>
  <c r="AX41" i="75" s="1"/>
  <c r="U41" i="75" s="1"/>
  <c r="W41" i="75" s="1"/>
  <c r="Y41" i="75" s="1"/>
  <c r="BF42" i="75"/>
  <c r="AT42" i="75" s="1"/>
  <c r="AX42" i="75" s="1"/>
  <c r="U42" i="75" s="1"/>
  <c r="W42" i="75" s="1"/>
  <c r="Y42" i="75" s="1"/>
  <c r="BF43" i="75"/>
  <c r="AT43" i="75" s="1"/>
  <c r="AX43" i="75" s="1"/>
  <c r="U43" i="75" s="1"/>
  <c r="W43" i="75" s="1"/>
  <c r="Y43" i="75" s="1"/>
  <c r="BF44" i="75"/>
  <c r="AT44" i="75" s="1"/>
  <c r="AX44" i="75" s="1"/>
  <c r="U44" i="75" s="1"/>
  <c r="W44" i="75" s="1"/>
  <c r="Y44" i="75" s="1"/>
  <c r="BF45" i="75"/>
  <c r="AT45" i="75" s="1"/>
  <c r="AX45" i="75" s="1"/>
  <c r="U45" i="75" s="1"/>
  <c r="W45" i="75" s="1"/>
  <c r="Y45" i="75" s="1"/>
  <c r="BF46" i="75"/>
  <c r="AT46" i="75" s="1"/>
  <c r="AX46" i="75" s="1"/>
  <c r="U46" i="75" s="1"/>
  <c r="W46" i="75" s="1"/>
  <c r="Y46" i="75" s="1"/>
  <c r="BF47" i="75"/>
  <c r="AT47" i="75" s="1"/>
  <c r="AX47" i="75" s="1"/>
  <c r="U47" i="75" s="1"/>
  <c r="W47" i="75" s="1"/>
  <c r="Y47" i="75" s="1"/>
  <c r="BF48" i="75"/>
  <c r="AT48" i="75" s="1"/>
  <c r="AX48" i="75" s="1"/>
  <c r="U48" i="75" s="1"/>
  <c r="W48" i="75" s="1"/>
  <c r="Y48" i="75" s="1"/>
  <c r="BF49" i="75"/>
  <c r="AT49" i="75" s="1"/>
  <c r="AX49" i="75" s="1"/>
  <c r="U49" i="75" s="1"/>
  <c r="W49" i="75" s="1"/>
  <c r="Y49" i="75" s="1"/>
  <c r="BF50" i="75"/>
  <c r="AT50" i="75" s="1"/>
  <c r="AX50" i="75" s="1"/>
  <c r="U50" i="75" s="1"/>
  <c r="W50" i="75" s="1"/>
  <c r="Y50" i="75" s="1"/>
  <c r="BF51" i="75"/>
  <c r="AT51" i="75" s="1"/>
  <c r="AX51" i="75" s="1"/>
  <c r="U51" i="75" s="1"/>
  <c r="W51" i="75" s="1"/>
  <c r="Y51" i="75" s="1"/>
  <c r="BF52" i="75"/>
  <c r="AT52" i="75" s="1"/>
  <c r="AX52" i="75" s="1"/>
  <c r="U52" i="75" s="1"/>
  <c r="W52" i="75" s="1"/>
  <c r="Y52" i="75" s="1"/>
  <c r="BF53" i="75"/>
  <c r="AT53" i="75" s="1"/>
  <c r="AX53" i="75" s="1"/>
  <c r="U53" i="75" s="1"/>
  <c r="W53" i="75" s="1"/>
  <c r="Y53" i="75" s="1"/>
  <c r="BF54" i="75"/>
  <c r="AT54" i="75" s="1"/>
  <c r="AX54" i="75" s="1"/>
  <c r="BF55" i="75"/>
  <c r="AT55" i="75" s="1"/>
  <c r="AX55" i="75" s="1"/>
  <c r="BF56" i="75"/>
  <c r="AT56" i="75" s="1"/>
  <c r="AX56" i="75" s="1"/>
  <c r="U56" i="75" s="1"/>
  <c r="W56" i="75" s="1"/>
  <c r="Y56" i="75" s="1"/>
  <c r="BF57" i="75"/>
  <c r="AT57" i="75" s="1"/>
  <c r="AX57" i="75" s="1"/>
  <c r="U57" i="75" s="1"/>
  <c r="W57" i="75" s="1"/>
  <c r="Y57" i="75" s="1"/>
  <c r="U54" i="75"/>
  <c r="W54" i="75" s="1"/>
  <c r="Y54" i="75" s="1"/>
  <c r="U55" i="75"/>
  <c r="W55" i="75" s="1"/>
  <c r="Y55" i="75" s="1"/>
  <c r="BF28" i="75"/>
  <c r="BF29" i="75"/>
  <c r="AT29" i="75" s="1"/>
  <c r="AX29" i="75" s="1"/>
  <c r="BF30" i="75"/>
  <c r="AT30" i="75" s="1"/>
  <c r="AX30" i="75" s="1"/>
  <c r="U30" i="75" s="1"/>
  <c r="W30" i="75" s="1"/>
  <c r="Y30" i="75" s="1"/>
  <c r="BF31" i="75"/>
  <c r="AT31" i="75" s="1"/>
  <c r="AX31" i="75" s="1"/>
  <c r="U31" i="75" s="1"/>
  <c r="W31" i="75" s="1"/>
  <c r="Y31" i="75" s="1"/>
  <c r="BF32" i="75"/>
  <c r="AT32" i="75" s="1"/>
  <c r="AX32" i="75" s="1"/>
  <c r="U32" i="75" s="1"/>
  <c r="W32" i="75" s="1"/>
  <c r="Y32" i="75" s="1"/>
  <c r="BF33" i="75"/>
  <c r="AT33" i="75" s="1"/>
  <c r="AX33" i="75" s="1"/>
  <c r="U33" i="75" s="1"/>
  <c r="W33" i="75" s="1"/>
  <c r="Y33" i="75" s="1"/>
  <c r="BF34" i="75"/>
  <c r="AT34" i="75" s="1"/>
  <c r="AX34" i="75" s="1"/>
  <c r="U34" i="75" s="1"/>
  <c r="W34" i="75" s="1"/>
  <c r="Y34" i="75" s="1"/>
  <c r="BF35" i="75"/>
  <c r="AT35" i="75" s="1"/>
  <c r="AX35" i="75" s="1"/>
  <c r="U35" i="75" s="1"/>
  <c r="W35" i="75" s="1"/>
  <c r="Y35" i="75" s="1"/>
  <c r="BF36" i="75"/>
  <c r="AT36" i="75" s="1"/>
  <c r="AX36" i="75" s="1"/>
  <c r="U36" i="75" s="1"/>
  <c r="W36" i="75" s="1"/>
  <c r="Y36" i="75" s="1"/>
  <c r="BF37" i="75"/>
  <c r="AT37" i="75" s="1"/>
  <c r="AX37" i="75" s="1"/>
  <c r="U37" i="75" s="1"/>
  <c r="W37" i="75" s="1"/>
  <c r="Y37" i="75" s="1"/>
  <c r="BF59" i="75" l="1"/>
  <c r="U29" i="75"/>
  <c r="W29" i="75" s="1"/>
  <c r="Y29" i="75" s="1"/>
  <c r="AT28" i="75"/>
  <c r="AT59" i="75" s="1"/>
  <c r="AX28" i="75" l="1"/>
  <c r="AX59" i="75" l="1"/>
  <c r="U28" i="75"/>
  <c r="U59" i="75" l="1"/>
  <c r="W28" i="75"/>
  <c r="Y28" i="75" l="1"/>
  <c r="Y59" i="75" s="1"/>
  <c r="W59" i="75"/>
  <c r="I11" i="32"/>
  <c r="M11" i="32" l="1"/>
  <c r="S76" i="23" s="1"/>
  <c r="U76" i="23" s="1"/>
  <c r="U78" i="23" s="1"/>
  <c r="K11" i="32"/>
  <c r="C28" i="76"/>
  <c r="C29" i="76" s="1"/>
  <c r="C30" i="76" s="1"/>
  <c r="C31" i="76" s="1"/>
  <c r="C32" i="76" s="1"/>
  <c r="C33" i="76" s="1"/>
  <c r="C34" i="76" s="1"/>
  <c r="C35" i="76" s="1"/>
  <c r="C36" i="76" s="1"/>
  <c r="C37" i="76" s="1"/>
  <c r="C38" i="76" s="1"/>
  <c r="C39" i="76" s="1"/>
  <c r="C40" i="76" s="1"/>
  <c r="C41" i="76" s="1"/>
  <c r="C42" i="76" s="1"/>
  <c r="C43" i="76" s="1"/>
  <c r="C44" i="76" s="1"/>
  <c r="C45" i="76" s="1"/>
  <c r="C46" i="76" s="1"/>
  <c r="C47" i="76" s="1"/>
  <c r="C48" i="76" s="1"/>
  <c r="C49" i="76" s="1"/>
  <c r="C50" i="76" s="1"/>
  <c r="C51" i="76" s="1"/>
  <c r="C52" i="76" s="1"/>
  <c r="C53" i="76" s="1"/>
  <c r="C54" i="76" s="1"/>
  <c r="C55" i="76" s="1"/>
  <c r="C56" i="76" s="1"/>
  <c r="C57" i="76" s="1"/>
  <c r="C58" i="76" s="1"/>
  <c r="AB28" i="76" l="1"/>
  <c r="AZ28" i="76"/>
  <c r="AZ29" i="76" s="1"/>
  <c r="AZ30" i="76" s="1"/>
  <c r="AZ31" i="76" s="1"/>
  <c r="AZ32" i="76" s="1"/>
  <c r="AZ33" i="76" s="1"/>
  <c r="AZ34" i="76" s="1"/>
  <c r="AZ35" i="76" s="1"/>
  <c r="AZ36" i="76" s="1"/>
  <c r="AZ37" i="76" s="1"/>
  <c r="AZ38" i="76" s="1"/>
  <c r="AZ39" i="76" s="1"/>
  <c r="AZ40" i="76" s="1"/>
  <c r="AZ41" i="76" s="1"/>
  <c r="AZ42" i="76" s="1"/>
  <c r="AZ43" i="76" s="1"/>
  <c r="AZ44" i="76" s="1"/>
  <c r="AZ45" i="76" s="1"/>
  <c r="AZ46" i="76" s="1"/>
  <c r="AZ47" i="76" s="1"/>
  <c r="AZ48" i="76" s="1"/>
  <c r="AZ49" i="76" s="1"/>
  <c r="AZ50" i="76" s="1"/>
  <c r="AZ51" i="76" s="1"/>
  <c r="AZ52" i="76" s="1"/>
  <c r="AZ53" i="76" s="1"/>
  <c r="AZ54" i="76" s="1"/>
  <c r="AZ55" i="76" s="1"/>
  <c r="AZ56" i="76" s="1"/>
  <c r="AZ57" i="76" s="1"/>
  <c r="AZ58" i="76" s="1"/>
  <c r="AB29" i="76" l="1"/>
  <c r="AN29" i="76" s="1"/>
  <c r="AP28" i="76" l="1"/>
  <c r="AB30" i="76"/>
  <c r="AN30" i="76" s="1"/>
  <c r="AP29" i="76" l="1"/>
  <c r="AV29" i="76" s="1"/>
  <c r="AX29" i="76" s="1"/>
  <c r="U29" i="76" s="1"/>
  <c r="W29" i="76" s="1"/>
  <c r="Y29" i="76" s="1"/>
  <c r="AP30" i="76"/>
  <c r="AV30" i="76" s="1"/>
  <c r="AX30" i="76" s="1"/>
  <c r="U30" i="76" s="1"/>
  <c r="W30" i="76" s="1"/>
  <c r="Y30" i="76" s="1"/>
  <c r="AB31" i="76"/>
  <c r="AN31" i="76" s="1"/>
  <c r="AV28" i="76"/>
  <c r="AX28" i="76" l="1"/>
  <c r="AP31" i="76"/>
  <c r="AV31" i="76" s="1"/>
  <c r="AX31" i="76" s="1"/>
  <c r="U31" i="76" s="1"/>
  <c r="W31" i="76" s="1"/>
  <c r="Y31" i="76" s="1"/>
  <c r="AB32" i="76"/>
  <c r="AN32" i="76" s="1"/>
  <c r="AB33" i="76" l="1"/>
  <c r="AN33" i="76" s="1"/>
  <c r="AP32" i="76"/>
  <c r="AV32" i="76" s="1"/>
  <c r="AX32" i="76" s="1"/>
  <c r="U32" i="76" s="1"/>
  <c r="W32" i="76" s="1"/>
  <c r="Y32" i="76" s="1"/>
  <c r="U28" i="76"/>
  <c r="W28" i="76" l="1"/>
  <c r="AB34" i="76"/>
  <c r="AN34" i="76" s="1"/>
  <c r="AB35" i="76" l="1"/>
  <c r="AN35" i="76" s="1"/>
  <c r="AP34" i="76"/>
  <c r="AV34" i="76" s="1"/>
  <c r="AX34" i="76" s="1"/>
  <c r="U34" i="76" s="1"/>
  <c r="W34" i="76" s="1"/>
  <c r="Y34" i="76" s="1"/>
  <c r="AP33" i="76"/>
  <c r="Y28" i="76"/>
  <c r="AV33" i="76" l="1"/>
  <c r="AP35" i="76"/>
  <c r="AV35" i="76" s="1"/>
  <c r="AX35" i="76" s="1"/>
  <c r="U35" i="76" s="1"/>
  <c r="W35" i="76" s="1"/>
  <c r="Y35" i="76" s="1"/>
  <c r="AB36" i="76"/>
  <c r="AN36" i="76" s="1"/>
  <c r="AP36" i="76" l="1"/>
  <c r="AV36" i="76" s="1"/>
  <c r="AX36" i="76" s="1"/>
  <c r="U36" i="76" s="1"/>
  <c r="W36" i="76" s="1"/>
  <c r="Y36" i="76" s="1"/>
  <c r="AB37" i="76"/>
  <c r="AN37" i="76" s="1"/>
  <c r="AX33" i="76"/>
  <c r="AB38" i="76" l="1"/>
  <c r="AN38" i="76" s="1"/>
  <c r="AP37" i="76"/>
  <c r="AV37" i="76" s="1"/>
  <c r="U33" i="76"/>
  <c r="W33" i="76" l="1"/>
  <c r="AX37" i="76"/>
  <c r="AB39" i="76"/>
  <c r="AN39" i="76" s="1"/>
  <c r="AP38" i="76"/>
  <c r="AV38" i="76" s="1"/>
  <c r="AX38" i="76" s="1"/>
  <c r="U38" i="76" s="1"/>
  <c r="W38" i="76" s="1"/>
  <c r="Y38" i="76" s="1"/>
  <c r="U37" i="76" l="1"/>
  <c r="AP39" i="76"/>
  <c r="AV39" i="76" s="1"/>
  <c r="AX39" i="76" s="1"/>
  <c r="U39" i="76" s="1"/>
  <c r="W39" i="76" s="1"/>
  <c r="Y39" i="76" s="1"/>
  <c r="AB40" i="76"/>
  <c r="AN40" i="76" s="1"/>
  <c r="Y33" i="76"/>
  <c r="AP40" i="76" l="1"/>
  <c r="AV40" i="76" s="1"/>
  <c r="AX40" i="76" s="1"/>
  <c r="U40" i="76" s="1"/>
  <c r="W40" i="76" s="1"/>
  <c r="Y40" i="76" s="1"/>
  <c r="AB41" i="76"/>
  <c r="AN41" i="76" s="1"/>
  <c r="W37" i="76"/>
  <c r="Y37" i="76" l="1"/>
  <c r="AP41" i="76"/>
  <c r="AV41" i="76" s="1"/>
  <c r="AX41" i="76" s="1"/>
  <c r="U41" i="76" s="1"/>
  <c r="AB42" i="76"/>
  <c r="AN42" i="76" s="1"/>
  <c r="AB43" i="76" l="1"/>
  <c r="AN43" i="76" s="1"/>
  <c r="AP42" i="76"/>
  <c r="AV42" i="76" s="1"/>
  <c r="AX42" i="76" s="1"/>
  <c r="U42" i="76" s="1"/>
  <c r="W42" i="76" s="1"/>
  <c r="Y42" i="76" s="1"/>
  <c r="W41" i="76"/>
  <c r="Y41" i="76" l="1"/>
  <c r="AP43" i="76"/>
  <c r="AV43" i="76" s="1"/>
  <c r="AX43" i="76" s="1"/>
  <c r="U43" i="76" s="1"/>
  <c r="AB44" i="76"/>
  <c r="AN44" i="76" s="1"/>
  <c r="AB45" i="76" l="1"/>
  <c r="AN45" i="76" s="1"/>
  <c r="AP44" i="76"/>
  <c r="AV44" i="76" s="1"/>
  <c r="AX44" i="76" s="1"/>
  <c r="U44" i="76" s="1"/>
  <c r="W44" i="76" s="1"/>
  <c r="Y44" i="76" s="1"/>
  <c r="W43" i="76"/>
  <c r="Y43" i="76" l="1"/>
  <c r="AP45" i="76"/>
  <c r="AV45" i="76" s="1"/>
  <c r="AX45" i="76" s="1"/>
  <c r="U45" i="76" s="1"/>
  <c r="W45" i="76" s="1"/>
  <c r="Y45" i="76" s="1"/>
  <c r="AB46" i="76"/>
  <c r="AN46" i="76" s="1"/>
  <c r="AB47" i="76" l="1"/>
  <c r="AN47" i="76" s="1"/>
  <c r="AP46" i="76"/>
  <c r="AV46" i="76" s="1"/>
  <c r="AX46" i="76" s="1"/>
  <c r="U46" i="76" s="1"/>
  <c r="W46" i="76" s="1"/>
  <c r="Y46" i="76" s="1"/>
  <c r="AB48" i="76" l="1"/>
  <c r="AN48" i="76" s="1"/>
  <c r="AP47" i="76"/>
  <c r="AV47" i="76" s="1"/>
  <c r="AX47" i="76" s="1"/>
  <c r="U47" i="76" s="1"/>
  <c r="W47" i="76" s="1"/>
  <c r="Y47" i="76" s="1"/>
  <c r="AB49" i="76" l="1"/>
  <c r="AN49" i="76" s="1"/>
  <c r="AP48" i="76"/>
  <c r="AV48" i="76" s="1"/>
  <c r="AX48" i="76" s="1"/>
  <c r="U48" i="76" s="1"/>
  <c r="W48" i="76" s="1"/>
  <c r="Y48" i="76" s="1"/>
  <c r="AP49" i="76" l="1"/>
  <c r="AV49" i="76" s="1"/>
  <c r="AX49" i="76" s="1"/>
  <c r="U49" i="76" s="1"/>
  <c r="W49" i="76" s="1"/>
  <c r="Y49" i="76" s="1"/>
  <c r="AB50" i="76"/>
  <c r="AN50" i="76" s="1"/>
  <c r="AP50" i="76" l="1"/>
  <c r="AV50" i="76" s="1"/>
  <c r="AX50" i="76" s="1"/>
  <c r="U50" i="76" s="1"/>
  <c r="W50" i="76" s="1"/>
  <c r="Y50" i="76" s="1"/>
  <c r="AB51" i="76"/>
  <c r="AN51" i="76" s="1"/>
  <c r="AB52" i="76" l="1"/>
  <c r="AN52" i="76" s="1"/>
  <c r="AP51" i="76"/>
  <c r="AV51" i="76" s="1"/>
  <c r="AX51" i="76" s="1"/>
  <c r="U51" i="76" s="1"/>
  <c r="W51" i="76" s="1"/>
  <c r="Y51" i="76" s="1"/>
  <c r="AB53" i="76" l="1"/>
  <c r="AN53" i="76" s="1"/>
  <c r="AP52" i="76"/>
  <c r="AV52" i="76" s="1"/>
  <c r="AX52" i="76" s="1"/>
  <c r="U52" i="76" s="1"/>
  <c r="W52" i="76" s="1"/>
  <c r="Y52" i="76" s="1"/>
  <c r="AP53" i="76" l="1"/>
  <c r="AV53" i="76" s="1"/>
  <c r="AX53" i="76" s="1"/>
  <c r="U53" i="76" s="1"/>
  <c r="W53" i="76" s="1"/>
  <c r="Y53" i="76" s="1"/>
  <c r="AB54" i="76"/>
  <c r="AN54" i="76" s="1"/>
  <c r="AP54" i="76" l="1"/>
  <c r="AV54" i="76" s="1"/>
  <c r="AX54" i="76" s="1"/>
  <c r="U54" i="76" s="1"/>
  <c r="W54" i="76" s="1"/>
  <c r="Y54" i="76" s="1"/>
  <c r="AB55" i="76"/>
  <c r="AN55" i="76" s="1"/>
  <c r="AB56" i="76" l="1"/>
  <c r="AN56" i="76" s="1"/>
  <c r="AP55" i="76"/>
  <c r="AV55" i="76" s="1"/>
  <c r="AX55" i="76" s="1"/>
  <c r="U55" i="76" s="1"/>
  <c r="W55" i="76" s="1"/>
  <c r="Y55" i="76" s="1"/>
  <c r="AP56" i="76" l="1"/>
  <c r="AV56" i="76" s="1"/>
  <c r="AX56" i="76" s="1"/>
  <c r="U56" i="76" s="1"/>
  <c r="W56" i="76" s="1"/>
  <c r="Y56" i="76" s="1"/>
  <c r="AB57" i="76"/>
  <c r="AN57" i="76" s="1"/>
  <c r="AB58" i="76" l="1"/>
  <c r="AN58" i="76" s="1"/>
  <c r="AP58" i="76" l="1"/>
  <c r="AN61" i="76"/>
  <c r="AV58" i="76"/>
  <c r="AP57" i="76"/>
  <c r="AP61" i="76" s="1"/>
  <c r="AX58" i="76" l="1"/>
  <c r="AV57" i="76"/>
  <c r="AV61" i="76" s="1"/>
  <c r="U58" i="76" l="1"/>
  <c r="AX57" i="76"/>
  <c r="AX61" i="76" s="1"/>
  <c r="W58" i="76" l="1"/>
  <c r="U57" i="76"/>
  <c r="U61" i="76" s="1"/>
  <c r="I56" i="32" s="1"/>
  <c r="Y58" i="76" l="1"/>
  <c r="W57" i="76"/>
  <c r="W61" i="76" s="1"/>
  <c r="Y57" i="76" l="1"/>
  <c r="Y61" i="76" s="1"/>
  <c r="K56" i="32"/>
  <c r="M56" i="32" l="1"/>
  <c r="H21" i="23" l="1"/>
  <c r="J21" i="23" s="1"/>
  <c r="J47" i="23" s="1"/>
  <c r="J80" i="23" s="1"/>
  <c r="J84" i="23" s="1"/>
  <c r="S21" i="23"/>
  <c r="U21" i="23" s="1"/>
  <c r="U47" i="23" s="1"/>
  <c r="U80" i="23" s="1"/>
  <c r="U84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tc={E82FAD12-5124-4DAF-8268-8715912BAD71}</author>
    <author>tc={A71F7B08-88C6-410D-B7D9-9AF7BB02ABE3}</author>
  </authors>
  <commentList>
    <comment ref="AK16" authorId="0" shapeId="0" xr:uid="{E82FAD12-5124-4DAF-8268-8715912BAD71}">
      <text>
        <t>[Threaded comment]
Your version of Excel allows you to read this threaded comment; however, any edits to it will get removed if the file is opened in a newer version of Excel. Learn more: https://go.microsoft.com/fwlink/?linkid=870924
Comment:
    Victoria please don't use this column unless you first confirm which data this corresponds to.</t>
      </text>
    </comment>
    <comment ref="AF38" authorId="1" shapeId="0" xr:uid="{A71F7B08-88C6-410D-B7D9-9AF7BB02ABE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Based on 2020 $
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<sst xmlns="http://schemas.openxmlformats.org/spreadsheetml/2006/main" count="5947" uniqueCount="432">
  <si>
    <t>PACIFICORP</t>
  </si>
  <si>
    <t>EVALUATION OF RENEWABLE RESOURCE COST</t>
  </si>
  <si>
    <t>WORKPAPER INDEX</t>
  </si>
  <si>
    <t>SUMMARY</t>
  </si>
  <si>
    <t>TOTAL RESOURCE COST TO WASHINGTON REVENUE REQUIREMENT</t>
  </si>
  <si>
    <t>LEVELIZED RESOURCE COST SUMMARY</t>
  </si>
  <si>
    <t>INPUT DATA</t>
  </si>
  <si>
    <t>FORWARD PRICE CURVE</t>
  </si>
  <si>
    <t>RESOURCE COST CALCULATIONS</t>
  </si>
  <si>
    <t>DOLLARS PER REC / MWH</t>
  </si>
  <si>
    <t>TOTAL DOLLARS</t>
  </si>
  <si>
    <t>WIND</t>
  </si>
  <si>
    <t>Goodnoe Hills</t>
  </si>
  <si>
    <t>Leaning Juniper</t>
  </si>
  <si>
    <t>|</t>
  </si>
  <si>
    <t>Marengo I</t>
  </si>
  <si>
    <t>Marengo II</t>
  </si>
  <si>
    <t>Top of the World</t>
  </si>
  <si>
    <t>Subtotal Wind Resource Cost</t>
  </si>
  <si>
    <t>Prospect 2 (Upgrade 1999)</t>
  </si>
  <si>
    <t>Lemolo 1 (Upgrade 2003)</t>
  </si>
  <si>
    <t>Lemolo 2 (Upgrade 2009)</t>
  </si>
  <si>
    <t>Subtotal Hydro Resource Cost</t>
  </si>
  <si>
    <t>TOTAL RESOURCE COST</t>
  </si>
  <si>
    <t>WASHINGTON REVENUE REQUIREMENT</t>
  </si>
  <si>
    <t>Nominal Levelized Cost Over Renewable Resource Life</t>
  </si>
  <si>
    <t>Marengo</t>
  </si>
  <si>
    <t>Renewable Resource Cost ($000)</t>
  </si>
  <si>
    <t>Least-cost Substitute Resource Cost ($000)</t>
  </si>
  <si>
    <t>Cost Differential ($000)</t>
  </si>
  <si>
    <t>Cost Differential ($/MWh)</t>
  </si>
  <si>
    <t>NAMEPLATE CAPACITY (MW)</t>
  </si>
  <si>
    <t>CAPACITY FACTOR</t>
  </si>
  <si>
    <t>IN-SERVICE</t>
  </si>
  <si>
    <t>LIFE/TERM YEARS</t>
  </si>
  <si>
    <t>-</t>
  </si>
  <si>
    <t>Plant Details</t>
  </si>
  <si>
    <t>Capital Costs</t>
  </si>
  <si>
    <t>Fixed Costs</t>
  </si>
  <si>
    <t xml:space="preserve">   Variable Costs</t>
  </si>
  <si>
    <t xml:space="preserve">Fixed O&amp;M </t>
  </si>
  <si>
    <t>Description</t>
  </si>
  <si>
    <t>Capacity Factor</t>
  </si>
  <si>
    <t>Availability 
Factor</t>
  </si>
  <si>
    <t>In-Service Year</t>
  </si>
  <si>
    <t>Average Capacity (MW)</t>
  </si>
  <si>
    <t>Annual Heat Rate (BTU/kWh)</t>
  </si>
  <si>
    <t>Calculated (MWh/yr)</t>
  </si>
  <si>
    <t>Total Capital Cost 
($/kW)</t>
  </si>
  <si>
    <t>Payment Factor</t>
  </si>
  <si>
    <t>O&amp;M 
($/kW-Yr)</t>
  </si>
  <si>
    <t>Other 
($/kW-Yr)</t>
  </si>
  <si>
    <t>Total FOM + other fixed
($/kW-Yr)</t>
  </si>
  <si>
    <t>Variable O&amp;M input 
($/MWh)</t>
  </si>
  <si>
    <t>West Side</t>
  </si>
  <si>
    <t>CCCT (Wet "F" 2x1) *</t>
  </si>
  <si>
    <t>CCCT Duct Firing (Wet "F" 2x1)</t>
  </si>
  <si>
    <t>Yearly MWh weighted average</t>
  </si>
  <si>
    <t>SCCT Frame (2 Frame "F")</t>
  </si>
  <si>
    <t>Source: Tables 5.1-Table 5.4 2007 IRP Vol 1</t>
  </si>
  <si>
    <t>2007 IRP Vol 2 appendix A page 16</t>
  </si>
  <si>
    <t>Extrapolated</t>
  </si>
  <si>
    <t>Gas Price Forecasts</t>
  </si>
  <si>
    <t>Forecast</t>
  </si>
  <si>
    <t>As described in the Market Fundamental Forecast section, natural gas prices for the first six</t>
  </si>
  <si>
    <t>years are from the market on August 31, 2006 and for the next year are a blend of market prices</t>
  </si>
  <si>
    <t>and the gas prices used in MIDAS or PIRA. Starting in year seven, PIRA’s natural gas price</t>
  </si>
  <si>
    <t>forecast is used exclusively.</t>
  </si>
  <si>
    <t>Natural gas price assumptions in MIDAS are based on PIRA Energy’s July 25, 2006 short-term</t>
  </si>
  <si>
    <t>Monthly Forward Price Curve</t>
  </si>
  <si>
    <t>forecast, the August 3, 2006 probabilistic weighted long-term gas forecast, and the August 22,</t>
  </si>
  <si>
    <t>2006 long-term gas basis differentials. PIRA gas price projections are used in MIDAS through</t>
  </si>
  <si>
    <t>MidC</t>
  </si>
  <si>
    <t xml:space="preserve">2007 IRP Base Case Fuel Prices </t>
  </si>
  <si>
    <t xml:space="preserve">Fuel Price for Non-Eligible Resource </t>
  </si>
  <si>
    <t>2020. All prices are adjusted to be consistent with PacifiCorp's official inflation curve issued in</t>
  </si>
  <si>
    <t>Year</t>
  </si>
  <si>
    <t>HLH</t>
  </si>
  <si>
    <t>LLH</t>
  </si>
  <si>
    <t>Flat</t>
  </si>
  <si>
    <t>Cost</t>
  </si>
  <si>
    <t>Period</t>
  </si>
  <si>
    <t>HLH Hours</t>
  </si>
  <si>
    <t>LLH Hours</t>
  </si>
  <si>
    <t>HLH Ratio</t>
  </si>
  <si>
    <t>LLH Ratio</t>
  </si>
  <si>
    <t>2007 IRP Base Case Fuel Prices</t>
  </si>
  <si>
    <t>IRP West Gas</t>
  </si>
  <si>
    <t>June 2006. Gas prices beyond 2020 are escalated using PacifiCorp’s inflation curve, which was</t>
  </si>
  <si>
    <t>updated on June 6, 2006.</t>
  </si>
  <si>
    <t>IRP west side natural gas prices are an average of prices at the Sumas, Stanfield and Opal delivery</t>
  </si>
  <si>
    <t>points. Natural gas prices on the east side are based on the Opal delivery point prices. Figure</t>
  </si>
  <si>
    <t>A.2 shows the natural gas price forecasts used in the 2007 IRP.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</si>
  <si>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: Integration cost of $5.10 per MWh is from 2007 IRP Appendix J, Page 195. </t>
    </r>
  </si>
  <si>
    <t xml:space="preserve">    Includes cost associated with incremental Operational Reserve requirements and system balancing costs</t>
  </si>
  <si>
    <t>ELIGIBLE RESOURCE</t>
  </si>
  <si>
    <t>NON ELIGIBLE RESOURCE (CCCT)</t>
  </si>
  <si>
    <t>NON ELIGIBLE RESOURCE (SCCT)</t>
  </si>
  <si>
    <t>RESOURCE NAME</t>
  </si>
  <si>
    <t>NAMEPLATE (MW)</t>
  </si>
  <si>
    <t>FOM ($/KW-YR)</t>
  </si>
  <si>
    <t>FOM YEAR$</t>
  </si>
  <si>
    <t>CAPACITY CONTRIBUTION</t>
  </si>
  <si>
    <t>VOM ($/MWH)</t>
  </si>
  <si>
    <t>HEAT RATE (BTU/kWh)</t>
  </si>
  <si>
    <t>CAPITAL $/KW ($ 2006)</t>
  </si>
  <si>
    <t>2007 $</t>
  </si>
  <si>
    <t>CAPITAL COST $/kW-Yr</t>
  </si>
  <si>
    <t>CAPITAL RECOVERY FACTOR</t>
  </si>
  <si>
    <t>O&amp;M COST $/MWH</t>
  </si>
  <si>
    <t>EXPECTED CF</t>
  </si>
  <si>
    <t>TRANSMISSION COST</t>
  </si>
  <si>
    <t>DISCOUNT RATE</t>
  </si>
  <si>
    <t>per Table 7.29 of 2007 IRP Main document</t>
  </si>
  <si>
    <t>ELIGIBLE RESOURCE COST</t>
  </si>
  <si>
    <t>GENERATION</t>
  </si>
  <si>
    <t>CAPITAL COST</t>
  </si>
  <si>
    <t xml:space="preserve"> O&amp;M COST</t>
  </si>
  <si>
    <t>INTEGRATION COST</t>
  </si>
  <si>
    <t>PRODUCTION TAX CREDIT</t>
  </si>
  <si>
    <t>TOTAL NON_ELIGIBLE RESOURCE COST</t>
  </si>
  <si>
    <t>TOTAL INCREMENTAL COST</t>
  </si>
  <si>
    <t>CAPITAL</t>
  </si>
  <si>
    <t>FIXED O&amp;M</t>
  </si>
  <si>
    <t>VARIABLE O&amp;M</t>
  </si>
  <si>
    <t>CAPITAL COSTS</t>
  </si>
  <si>
    <t>FUEL COST</t>
  </si>
  <si>
    <t>NON ELIGIBLE RESOURCE CAPACITY COST</t>
  </si>
  <si>
    <t>NON ELIGIBLE RESOURCE ENERGY COST</t>
  </si>
  <si>
    <t>TOTAL NON ELIGIBLE RESOURCE COST</t>
  </si>
  <si>
    <t>YEAR</t>
  </si>
  <si>
    <t>INFLATION FORECAST</t>
  </si>
  <si>
    <t>(MWH)</t>
  </si>
  <si>
    <t>($/KW-YR)</t>
  </si>
  <si>
    <t>($/MWh)</t>
  </si>
  <si>
    <t>($/MWH)</t>
  </si>
  <si>
    <t>($ 000)</t>
  </si>
  <si>
    <t>($/MMBTU)</t>
  </si>
  <si>
    <t>2008 $</t>
  </si>
  <si>
    <t>2006 $</t>
  </si>
  <si>
    <t>2.2 - FORWARD PRICE CURVE</t>
  </si>
  <si>
    <t>SO2, NOx, Hg EMISSION COST</t>
  </si>
  <si>
    <r>
      <t>SO</t>
    </r>
    <r>
      <rPr>
        <vertAlign val="subscript"/>
        <sz val="8"/>
        <rFont val="Times New Roman"/>
        <family val="1"/>
      </rPr>
      <t>2</t>
    </r>
    <r>
      <rPr>
        <sz val="10"/>
        <rFont val="Times New Roman"/>
        <family val="1"/>
      </rPr>
      <t>, NOx, HG Emission Cost ($/MWh)</t>
    </r>
  </si>
  <si>
    <t xml:space="preserve">WASHINGTON JUNE, 1 2016 RENEWABLES REPORT </t>
  </si>
  <si>
    <t>Lemolo 1 Upgrade</t>
  </si>
  <si>
    <t>ENVIRONMENTAL ($/MWH)</t>
  </si>
  <si>
    <t>Lemolo 2 Upgrade</t>
  </si>
  <si>
    <t>Emissions</t>
  </si>
  <si>
    <t>Gas Transport Cost ($/MWh)</t>
  </si>
  <si>
    <t>SO2 
lbs/MMBtu</t>
  </si>
  <si>
    <t>NOx 
lbs/ MMBtu</t>
  </si>
  <si>
    <t>Hg 
lbs/TBtu</t>
  </si>
  <si>
    <t>CO2 
lbs/MMBtu</t>
  </si>
  <si>
    <t>CCCT (Wet "F" 2x1)</t>
  </si>
  <si>
    <t>2007 IRP Proxy Resource</t>
  </si>
  <si>
    <t>SO2, NOx, HG Emission Cost ($/MWh)</t>
  </si>
  <si>
    <t>2003 IRP Proxy Resource</t>
  </si>
  <si>
    <t>CCCT 2x1</t>
  </si>
  <si>
    <t>CCCT Duct Firing 2x1</t>
  </si>
  <si>
    <t>SCCT Frame</t>
  </si>
  <si>
    <t>$/ton</t>
  </si>
  <si>
    <t>$/MWh</t>
  </si>
  <si>
    <t>levelized in CY 2002 $</t>
  </si>
  <si>
    <t>2004 IRP Proxy Resource</t>
  </si>
  <si>
    <t>Fiscal Year Mid C Utah</t>
  </si>
  <si>
    <t>2003 IRP Appendic C</t>
  </si>
  <si>
    <t>Mid C</t>
  </si>
  <si>
    <t>Utah</t>
  </si>
  <si>
    <t>INFLATION</t>
  </si>
  <si>
    <t>Where price forecasts were not established by external sources, the simulations were performed</t>
  </si>
  <si>
    <t>with an inflation rate of 2.5%, consistent with the PacifiCorp Business Planning assumptions.</t>
  </si>
  <si>
    <t>2003 IRP</t>
  </si>
  <si>
    <t>$/MMBtu)</t>
  </si>
  <si>
    <t>Table c.12</t>
  </si>
  <si>
    <t>Stanfield</t>
  </si>
  <si>
    <t>Sumas</t>
  </si>
  <si>
    <t>2004 IRP</t>
  </si>
  <si>
    <t>Table C.1 – Inflation Table</t>
  </si>
  <si>
    <t>Calendar Year Annual Rate</t>
  </si>
  <si>
    <t>2004-2010</t>
  </si>
  <si>
    <t>2011-2020</t>
  </si>
  <si>
    <t>2020-2030</t>
  </si>
  <si>
    <t>2004 IRP Base Case Fuel Prices</t>
  </si>
  <si>
    <t>2008 IRP Base Case Fuel Prices</t>
  </si>
  <si>
    <t>2008 IRP</t>
  </si>
  <si>
    <t>August 01, 2002 dated OFPC</t>
  </si>
  <si>
    <t>June 2008 dated OFPC</t>
  </si>
  <si>
    <t>June 30, 2004 dated OFPC curve</t>
  </si>
  <si>
    <r>
      <t xml:space="preserve">2007 IRP Integration Cost </t>
    </r>
    <r>
      <rPr>
        <vertAlign val="superscript"/>
        <sz val="8"/>
        <color theme="1"/>
        <rFont val="Arial"/>
        <family val="2"/>
      </rPr>
      <t>1</t>
    </r>
  </si>
  <si>
    <t>West Gas Price</t>
  </si>
  <si>
    <t>Inflation Forecast</t>
  </si>
  <si>
    <t>2007 IRP</t>
  </si>
  <si>
    <t>CAPITAL $/KW ($ 2008)</t>
  </si>
  <si>
    <t>2010 $</t>
  </si>
  <si>
    <t>FUEL COST (incl Gas Transport)</t>
  </si>
  <si>
    <t>Progress 2 Upgrade</t>
  </si>
  <si>
    <t>1999 $</t>
  </si>
  <si>
    <t>CAPITAL $/KW ($ 2002)</t>
  </si>
  <si>
    <t>2003 $</t>
  </si>
  <si>
    <t>2005 $</t>
  </si>
  <si>
    <t>CAPITAL $/KW ($ 2004)</t>
  </si>
  <si>
    <t>JC Boyle (Upgrade 2005)</t>
  </si>
  <si>
    <t>JC BOYLE Upgrade</t>
  </si>
  <si>
    <t>Dunlap I</t>
  </si>
  <si>
    <t>Glenrock I</t>
  </si>
  <si>
    <t>INCREMENTAL HYDRO</t>
  </si>
  <si>
    <t>Note 1:  REC contract price</t>
  </si>
  <si>
    <t>Greenfield CCCT 2x1</t>
  </si>
  <si>
    <t>Source: Tables C.18, C.19, C20, 2003 IRP Appendix C</t>
  </si>
  <si>
    <t>Greenfield CCCT Duct Firing 2x1</t>
  </si>
  <si>
    <t>Source: 2004 IRP, Appendix C, Tables C.27, C28</t>
  </si>
  <si>
    <t>East Side</t>
  </si>
  <si>
    <t>Note 2: Weighted average cost of wind resources within the Washington Control Area</t>
  </si>
  <si>
    <t>Seven Mile Hill I</t>
  </si>
  <si>
    <t>SOLAR</t>
  </si>
  <si>
    <t>Pavant</t>
  </si>
  <si>
    <t>Enterprise</t>
  </si>
  <si>
    <t>Note1</t>
  </si>
  <si>
    <t>Subtotal Solar Resource Cost</t>
  </si>
  <si>
    <t>Adams Solar</t>
  </si>
  <si>
    <t>Bear Creek Solar</t>
  </si>
  <si>
    <t>Bly Solar</t>
  </si>
  <si>
    <t>Elbe Solar</t>
  </si>
  <si>
    <t>Campbell Hill</t>
  </si>
  <si>
    <t>2019 IRP Proxy Resource</t>
  </si>
  <si>
    <t>CCCT Dry "G/H", 1x1</t>
  </si>
  <si>
    <t>CCCT Dry "G/H", DF, 1x1</t>
  </si>
  <si>
    <t>SCCT Frame "F" x1 - West Side Option (1500')</t>
  </si>
  <si>
    <t>Repower</t>
  </si>
  <si>
    <t>Total Life</t>
  </si>
  <si>
    <t>2017 IRP Update</t>
  </si>
  <si>
    <t>CAPITAL $/KW (2016)</t>
  </si>
  <si>
    <t>CAPITAL $/KW ($ 2016)</t>
  </si>
  <si>
    <t>2017 IRP Base Case Fuel Prices</t>
  </si>
  <si>
    <t>2017 IRP Update Base Case Fule Prices</t>
  </si>
  <si>
    <t>44 year Nominal Levelized at 6.570%</t>
  </si>
  <si>
    <t xml:space="preserve">Source: 2017 IRP Volume I, Chapter 6,  Table 6.1 and 6.2 </t>
  </si>
  <si>
    <t>Proxy Resource (Willamette Valley) 2017 IRP Update</t>
  </si>
  <si>
    <t>2017 IRP Update Proxy Resource</t>
  </si>
  <si>
    <t xml:space="preserve">Source: 2019 IRP Volume I, Chapter 6,  Table 6.1 and 6.2 </t>
  </si>
  <si>
    <t>October 12, 2016 dated OFPC</t>
  </si>
  <si>
    <t>2018$</t>
  </si>
  <si>
    <t>2019 IRP Update</t>
  </si>
  <si>
    <t>CAPITAL $/KW (2018)</t>
  </si>
  <si>
    <t>CAPITAL $/KW ($ 2018)</t>
  </si>
  <si>
    <t>CCCT Dry "J/HA.02", 1x1</t>
  </si>
  <si>
    <t>CCCT Dry "J/HA.02", DF, 1x1</t>
  </si>
  <si>
    <t>2019 IRP Base Case Fuel Prices</t>
  </si>
  <si>
    <t>2019 IRP</t>
  </si>
  <si>
    <t>2019 IRP Base Case Fule Prices</t>
  </si>
  <si>
    <t>Granite Mountain East</t>
  </si>
  <si>
    <t>Granite Mountain West</t>
  </si>
  <si>
    <t>Ekola Flats Wind</t>
  </si>
  <si>
    <t>Foote Creek I (co-own w. EWEB, sold to BPA)</t>
  </si>
  <si>
    <t>Glenrock III</t>
  </si>
  <si>
    <t>High Plains</t>
  </si>
  <si>
    <t>Latigo Wind</t>
  </si>
  <si>
    <t>McFadden Ridge</t>
  </si>
  <si>
    <t>Mountain Wind 1</t>
  </si>
  <si>
    <t>Mountain Wind 2</t>
  </si>
  <si>
    <t>Pioneer Wind Park I LLC</t>
  </si>
  <si>
    <t xml:space="preserve">Wolverine Creek </t>
  </si>
  <si>
    <t>Cedar Springs Wind III</t>
  </si>
  <si>
    <t>Cedar Springs Wind II</t>
  </si>
  <si>
    <t>Paceholder</t>
  </si>
  <si>
    <t>Pavant Solar II LLC</t>
  </si>
  <si>
    <t>Sage Solar I, LLC</t>
  </si>
  <si>
    <t>Sage Solar II, LLC</t>
  </si>
  <si>
    <t>Sage Solar III, LLC</t>
  </si>
  <si>
    <t>Sweetwater Solar, LLC</t>
  </si>
  <si>
    <t>Bigfork</t>
  </si>
  <si>
    <t>43 year Nominal Levelized at 6.570%</t>
  </si>
  <si>
    <t>Resource</t>
  </si>
  <si>
    <t>Blundell</t>
  </si>
  <si>
    <t>Blundell II</t>
  </si>
  <si>
    <t>QF</t>
  </si>
  <si>
    <t>Resource Type</t>
  </si>
  <si>
    <t>Solar</t>
  </si>
  <si>
    <t>Geothermal</t>
  </si>
  <si>
    <t>Wind</t>
  </si>
  <si>
    <t>Incr Hydro</t>
  </si>
  <si>
    <t>Cedar Springs Wind I</t>
  </si>
  <si>
    <t>Repowered</t>
  </si>
  <si>
    <t>2018 $</t>
  </si>
  <si>
    <t>Wind integration ($/MWh)</t>
  </si>
  <si>
    <t>Solar Integration Fixed</t>
  </si>
  <si>
    <t>Solar Integration Tracking</t>
  </si>
  <si>
    <t>2017 IRP</t>
  </si>
  <si>
    <t>2016 $</t>
  </si>
  <si>
    <t>Rolling Hills</t>
  </si>
  <si>
    <t>TB Flats I</t>
  </si>
  <si>
    <t>TB Flats II</t>
  </si>
  <si>
    <t>IRP</t>
  </si>
  <si>
    <t>2007/2019</t>
  </si>
  <si>
    <t>2007/2017</t>
  </si>
  <si>
    <t>2008/2017</t>
  </si>
  <si>
    <r>
      <t>2017 &amp; 2019 IRP Flex Reserve Study (2018$)</t>
    </r>
    <r>
      <rPr>
        <vertAlign val="superscript"/>
        <sz val="6.8"/>
        <color theme="1"/>
        <rFont val="Arial"/>
        <family val="2"/>
      </rPr>
      <t>2</t>
    </r>
  </si>
  <si>
    <t>2: Used for resources acquisitions prior to 2014. 2014 Wind Integration Study published in 2015 IRP</t>
  </si>
  <si>
    <r>
      <t>2014 Wind Integration Study for 2015 IRP</t>
    </r>
    <r>
      <rPr>
        <vertAlign val="superscript"/>
        <sz val="6.8"/>
        <color theme="1"/>
        <rFont val="Arial"/>
        <family val="2"/>
      </rPr>
      <t>2</t>
    </r>
  </si>
  <si>
    <t>`</t>
  </si>
  <si>
    <t xml:space="preserve">Discount Rate - 2017 IRP Page 168 </t>
  </si>
  <si>
    <t>Discount Rate - 2015 IRP Page 141</t>
  </si>
  <si>
    <t>Discount Rate - 2019 IRP (post tax change)</t>
  </si>
  <si>
    <t>Cedar Springs III</t>
  </si>
  <si>
    <t>Mountain Wind</t>
  </si>
  <si>
    <t>Mountain Wind II</t>
  </si>
  <si>
    <t>2007 IRP Proxy</t>
  </si>
  <si>
    <t>2017 IRP Proxy</t>
  </si>
  <si>
    <t>2015 IRP</t>
  </si>
  <si>
    <t>Sage Solar I</t>
  </si>
  <si>
    <t>OFPC Analysis ----&gt;&gt;&gt;</t>
  </si>
  <si>
    <t>2019 IRP Proxy</t>
  </si>
  <si>
    <t>Sage Solar II</t>
  </si>
  <si>
    <t>Sage Solar III</t>
  </si>
  <si>
    <t>Top of World</t>
  </si>
  <si>
    <t>2008IRP</t>
  </si>
  <si>
    <t>Brownfield Site</t>
  </si>
  <si>
    <t>Proxy Resource (Dave Johnston) 2015 IRP</t>
  </si>
  <si>
    <t>CCCT Dry "J", Adv 1x1</t>
  </si>
  <si>
    <t>CCCT Dry "J", DF, Adv 1x1</t>
  </si>
  <si>
    <t xml:space="preserve">*: Proxy Plant is based on a CCCT Dry "J", Adv 1x1, from 2015 IRP </t>
  </si>
  <si>
    <t xml:space="preserve">Source: 2015 IRP Volume I, Chapter 6,  Table 6.1 and 6.2 </t>
  </si>
  <si>
    <t>n/a</t>
  </si>
  <si>
    <t>Sweetwater PPA</t>
  </si>
  <si>
    <t>Latigo</t>
  </si>
  <si>
    <t>2014 $</t>
  </si>
  <si>
    <t>Gas Transport</t>
  </si>
  <si>
    <t>Pavant Solar II</t>
  </si>
  <si>
    <t>Wind Capacity Contribution_East</t>
  </si>
  <si>
    <t>Appendix N page 316 Table N.1</t>
  </si>
  <si>
    <t>Wind Capacity Contribution_West</t>
  </si>
  <si>
    <t>Solar Fixed Capacity Contribution_East</t>
  </si>
  <si>
    <t>Solar Fixed Capacity Contribution_West</t>
  </si>
  <si>
    <t>Solar Tracking Capacity Contribution_East</t>
  </si>
  <si>
    <t>Solar Tracking Capacity Contribution_West</t>
  </si>
  <si>
    <t>2017 IRP / 2019 IRP</t>
  </si>
  <si>
    <t>2007 IRP Main document</t>
  </si>
  <si>
    <t xml:space="preserve">per Table 7.29 of </t>
  </si>
  <si>
    <t>Pioneer Wind Park I QF</t>
  </si>
  <si>
    <t xml:space="preserve">3: Integration cost based on 2017 IRP Appendix F, Table F.2 of $1.11 Wind, $0.85 per Solar  </t>
  </si>
  <si>
    <t>Seven Mile Hill II</t>
  </si>
  <si>
    <t>42 year Nominal Levelized at 6.570%</t>
  </si>
  <si>
    <t>41 year Nominal Levelized at 6.570%</t>
  </si>
  <si>
    <t>z</t>
  </si>
  <si>
    <t>Dunlap</t>
  </si>
  <si>
    <t>Total Plant Life after repowering</t>
  </si>
  <si>
    <t>Cedar Springs II</t>
  </si>
  <si>
    <t>Wolverine Creek</t>
  </si>
  <si>
    <t>Rock River</t>
  </si>
  <si>
    <t>GOETHERMAL</t>
  </si>
  <si>
    <t>Subtotal Geothermal Resource Cost</t>
  </si>
  <si>
    <t>2.1 - PROXY RESOURCE ATTRIBUTES</t>
  </si>
  <si>
    <t>PROXY RESOURCE ATTRIBUTES</t>
  </si>
  <si>
    <t>(a) Annual Forward Price Curve</t>
  </si>
  <si>
    <t>(b) Inflation Forecast</t>
  </si>
  <si>
    <t>(d) Integration Costs</t>
  </si>
  <si>
    <t>(c) Discount Rate</t>
  </si>
  <si>
    <t>Marengo I - Repowered</t>
  </si>
  <si>
    <t>Marengo II - Repowered</t>
  </si>
  <si>
    <t>McFadden Ridge - Repowered</t>
  </si>
  <si>
    <t>2.2(b)</t>
  </si>
  <si>
    <t>2.2(a)</t>
  </si>
  <si>
    <t>2.2(c)</t>
  </si>
  <si>
    <t>2.2(d)</t>
  </si>
  <si>
    <t>Big Fork</t>
  </si>
  <si>
    <t>Capital Recovery Factor</t>
  </si>
  <si>
    <t>Reference Columns CC and CD for 2003 and 2004 IRP Inflation Values</t>
  </si>
  <si>
    <t>Note:</t>
  </si>
  <si>
    <t>PTC Revenue Req.</t>
  </si>
  <si>
    <t>PTC Forecast</t>
  </si>
  <si>
    <t>(e) PTC Calc</t>
  </si>
  <si>
    <t xml:space="preserve">2018 Tax Law Change - effective tax rate </t>
  </si>
  <si>
    <t>.</t>
  </si>
  <si>
    <t>2005-2007</t>
  </si>
  <si>
    <t>2.2e)</t>
  </si>
  <si>
    <t xml:space="preserve">PTC </t>
  </si>
  <si>
    <t>REC Purchase</t>
  </si>
  <si>
    <t>2021 IRP</t>
  </si>
  <si>
    <t>2023 IRP</t>
  </si>
  <si>
    <t>Foote Creek II</t>
  </si>
  <si>
    <t>Foote Creek III</t>
  </si>
  <si>
    <t>Foote Creek IV</t>
  </si>
  <si>
    <t>Cedar Creek Wind (PPA)</t>
  </si>
  <si>
    <t>Foote Creek I</t>
  </si>
  <si>
    <t>Owned</t>
  </si>
  <si>
    <t>Proxy Resource  2023 IRP</t>
  </si>
  <si>
    <t>Proxy Resource 2021 IRP</t>
  </si>
  <si>
    <t>2021 IRP Proxy Resource</t>
  </si>
  <si>
    <t>2023 IRP Proxy Resource</t>
  </si>
  <si>
    <t>Proxy Resource 2019 IRP</t>
  </si>
  <si>
    <t>2021 IRP / 2023IRP</t>
  </si>
  <si>
    <t>Solar integration ($/MWh)</t>
  </si>
  <si>
    <t>2023 IRP Flex Reserve Study (2022$)</t>
  </si>
  <si>
    <r>
      <t>2021 IRP Flex Reserve Study (2020$)</t>
    </r>
    <r>
      <rPr>
        <vertAlign val="superscript"/>
        <sz val="6.8"/>
        <color theme="1"/>
        <rFont val="Arial"/>
        <family val="2"/>
      </rPr>
      <t>2</t>
    </r>
  </si>
  <si>
    <t xml:space="preserve">WASHINGTON JUNE, 1 2024 RENEWABLES REPORT </t>
  </si>
  <si>
    <t>2021 IRP Base Case Fuel Prices</t>
  </si>
  <si>
    <t>2023 IRP Base Case Fuel Prices</t>
  </si>
  <si>
    <t>September 2022 dated OFPC</t>
  </si>
  <si>
    <t>2020$</t>
  </si>
  <si>
    <t>2021 IRP Proxy</t>
  </si>
  <si>
    <t>2023 RECs / MWH</t>
  </si>
  <si>
    <t>Source: 2023 IRP Volume I, Chapter 7,  Table 7.1 and 7.2</t>
  </si>
  <si>
    <t>Discout Rate - 2021 IRP (Page 226 / PDF Page 249)</t>
  </si>
  <si>
    <t>Discout Rate - 2023 IRP (Page 228 / PDF Page 246)</t>
  </si>
  <si>
    <t>March 2021 dated OFPC</t>
  </si>
  <si>
    <t>2022$</t>
  </si>
  <si>
    <t>CAPITAL $/KW ($ 2022)</t>
  </si>
  <si>
    <t>CAPITAL $/KW ($ 2020)</t>
  </si>
  <si>
    <t>Source: 2021 IRP Volume I, Chapter 7,  Table 7.1 and 7.2</t>
  </si>
  <si>
    <t>2023 IRP Proxy</t>
  </si>
  <si>
    <t>Rock River - Repower</t>
  </si>
  <si>
    <t>Cedar Creek (PPA)</t>
  </si>
  <si>
    <t>Foot Creek II</t>
  </si>
  <si>
    <t>Foot Creek III</t>
  </si>
  <si>
    <t>Foot Creek IV</t>
  </si>
  <si>
    <t>Rock River I - Repower</t>
  </si>
  <si>
    <t>Rolling Hills - Repower</t>
  </si>
  <si>
    <t>Seven Mile Hill I - Repower</t>
  </si>
  <si>
    <t>Seven Mile Hill II - Repower</t>
  </si>
  <si>
    <t>Glenrock I - Repower</t>
  </si>
  <si>
    <t>Glenrock III - Repower</t>
  </si>
  <si>
    <t>High Plains - Repower</t>
  </si>
  <si>
    <t>Goodnoe Hills - Repower</t>
  </si>
  <si>
    <t>Leaning Juniper - Repower</t>
  </si>
  <si>
    <t>Dunlap I - Repower</t>
  </si>
  <si>
    <t>CALENDAR YEAR 2023 - TOTAL RESOURCE COST TO WASHINGTON REVENUE REQUIREMENT</t>
  </si>
  <si>
    <r>
      <t xml:space="preserve">CALENDAR YEAR </t>
    </r>
    <r>
      <rPr>
        <b/>
        <sz val="8"/>
        <rFont val="Arial"/>
        <family val="2"/>
      </rPr>
      <t>2024</t>
    </r>
    <r>
      <rPr>
        <b/>
        <sz val="8"/>
        <color theme="1"/>
        <rFont val="Arial"/>
        <family val="2"/>
      </rPr>
      <t xml:space="preserve"> - TOTAL RESOURCE COST TO WASHINGTON REVENUE REQUIREMENT</t>
    </r>
  </si>
  <si>
    <t>2024 RECs / MWH</t>
  </si>
  <si>
    <t>Foote Creek I - Repower</t>
  </si>
  <si>
    <t>Foot Creek I - Repower</t>
  </si>
  <si>
    <t>Rock River I (PPA)</t>
  </si>
  <si>
    <t>Cedar Springs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</si>
</sst>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_-* #,##0\ &quot;F&quot;_-;\-* #,##0\ &quot;F&quot;_-;_-* &quot;-&quot;\ &quot;F&quot;_-;_-@_-"/>
    <numFmt numFmtId="166" formatCode="&quot;$&quot;###0;[Red]\(&quot;$&quot;###0\)"/>
    <numFmt numFmtId="167" formatCode="&quot;$&quot;#,##0\ ;\(&quot;$&quot;#,##0\)"/>
    <numFmt numFmtId="168" formatCode="mmmm\ d\,\ yyyy"/>
    <numFmt numFmtId="169" formatCode="0.0"/>
    <numFmt numFmtId="170" formatCode="#,##0.000;[Red]\-#,##0.000"/>
    <numFmt numFmtId="171" formatCode="_(* #,##0_);[Red]_(* \(#,##0\);_(* &quot;-&quot;_);_(@_)"/>
    <numFmt numFmtId="172" formatCode="#,##0.0_);\(#,##0.0\);\-\ ;"/>
    <numFmt numFmtId="173" formatCode="#,##0.0000"/>
    <numFmt numFmtId="174" formatCode="General_)"/>
    <numFmt numFmtId="175" formatCode="_(&quot;$&quot;\ #,##0.00_);_(&quot;$&quot;\ \(#,##0.00\);_(&quot;$&quot;* &quot;-&quot;??_);_(@_)"/>
    <numFmt numFmtId="176" formatCode="_(&quot;$&quot;\ #,##0_);_(&quot;$&quot;\ \(#,##0\);_(&quot;$&quot;* &quot;-&quot;??_);_(@_)"/>
    <numFmt numFmtId="177" formatCode="_(* #,##0.00_);_(* \(#,##0.00\);_(* &quot;-&quot;_);_(@_)"/>
    <numFmt numFmtId="178" formatCode="0.0000"/>
    <numFmt numFmtId="179" formatCode="_(* #,##0_);_(* \(#,##0\);_(* &quot;-&quot;??_);_(@_)"/>
    <numFmt numFmtId="180" formatCode="&quot;$&quot;#,##0.00"/>
    <numFmt numFmtId="181" formatCode="_(&quot;$&quot;* #,##0.00_);_(&quot;$&quot;* \(#,##0.00\);_(* &quot;-&quot;??_);_(@_)"/>
    <numFmt numFmtId="182" formatCode="_(&quot;$&quot;* #,##0_);_(&quot;$&quot;* \(#,##0\);_(&quot;$&quot;* &quot;-&quot;??_);_(@_)"/>
    <numFmt numFmtId="183" formatCode="_(* #,##0.000_);_(* \(#,##0.000\);_(* &quot;-&quot;??_);_(@_)"/>
    <numFmt numFmtId="184" formatCode="0.0%"/>
    <numFmt numFmtId="185" formatCode="_(* #,##0.0_);_(* \(#,##0.0\);_(* &quot;-&quot;??_);_(@_)"/>
    <numFmt numFmtId="186" formatCode="0&quot;$&quot;"/>
    <numFmt numFmtId="187" formatCode="_(* #,##0.0000_);_(* \(#,##0.0000\);_(* &quot;-&quot;??_);_(@_)"/>
    <numFmt numFmtId="188" formatCode="_(&quot;$&quot;\ #,##0.00;_(&quot;$&quot;\ \(#,##0.00\);_(&quot;$&quot;\ &quot;-&quot;??_);_(@_)"/>
    <numFmt numFmtId="189" formatCode="_(&quot;$&quot;\ #,##0;_(&quot;$&quot;\ \(#,##0\);_(&quot;$&quot;\ &quot;-&quot;??_);_(@_)"/>
    <numFmt numFmtId="190" formatCode="#,##0.0"/>
    <numFmt numFmtId="191" formatCode="0.000"/>
    <numFmt numFmtId="192" formatCode="mmm\ yyyy&quot;   &quot;"/>
    <numFmt numFmtId="193" formatCode="0.000%"/>
    <numFmt numFmtId="194" formatCode="0.00_)"/>
    <numFmt numFmtId="195" formatCode="0.000000"/>
    <numFmt numFmtId="196" formatCode="_-* #,##0_-;\-* #,##0_-;_-* &quot;-&quot;_-;_-@_-"/>
    <numFmt numFmtId="197" formatCode="_-* #,##0.00_-;\-* #,##0.00_-;_-* &quot;-&quot;??_-;_-@_-"/>
    <numFmt numFmtId="198" formatCode="_-&quot;$&quot;* #,##0_-;\-&quot;$&quot;* #,##0_-;_-&quot;$&quot;* &quot;-&quot;_-;_-@_-"/>
    <numFmt numFmtId="199" formatCode="_-&quot;$&quot;* #,##0.00_-;\-&quot;$&quot;* #,##0.00_-;_-&quot;$&quot;* &quot;-&quot;??_-;_-@_-"/>
    <numFmt numFmtId="200" formatCode="_*\ #,##0;_(* \(#,##0\);_(* &quot;-&quot;\);_(@_)"/>
    <numFmt numFmtId="201" formatCode="_(&quot;$&quot;\ #,##0_);_(&quot;$&quot;\ \(#,##0\);_(&quot;$&quot;\ &quot;-&quot;??_);_(@_)"/>
    <numFmt numFmtId="202" formatCode="_*\ #,##0.0;_(* \(#,##0.0\);_(* &quot;-&quot;\);_(@_)"/>
    <numFmt numFmtId="203" formatCode="&quot;@&quot;\ 0.00%\ &quot;MTR&quot;"/>
    <numFmt numFmtId="204" formatCode="#,##0.000"/>
    <numFmt numFmtId="205" formatCode="&quot;$&quot;#,##0.000_);[Red]\(&quot;$&quot;#,##0.000\)"/>
  </numFmts>
  <fonts count="101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0"/>
      <color indexed="8"/>
      <name val="Helv"/>
    </font>
    <font>
      <sz val="12"/>
      <name val="Times New Roman"/>
      <family val="1"/>
    </font>
    <font>
      <sz val="10"/>
      <color indexed="24"/>
      <name val="Courier New"/>
      <family val="3"/>
    </font>
    <font>
      <sz val="10"/>
      <name val="Helv"/>
    </font>
    <font>
      <sz val="8"/>
      <name val="Helv"/>
    </font>
    <font>
      <b/>
      <sz val="16"/>
      <name val="Times New Roman"/>
      <family val="1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sz val="8"/>
      <name val="Times New Roman"/>
      <family val="1"/>
    </font>
    <font>
      <b/>
      <sz val="8"/>
      <name val="Arial"/>
      <family val="2"/>
    </font>
    <font>
      <sz val="11"/>
      <color indexed="8"/>
      <name val="TimesNewRomanPS"/>
    </font>
    <font>
      <sz val="10"/>
      <name val="Geneva"/>
      <family val="2"/>
    </font>
    <font>
      <sz val="10"/>
      <color indexed="11"/>
      <name val="Geneva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name val="Arial MT"/>
    </font>
    <font>
      <sz val="10"/>
      <name val="LinePrinter"/>
    </font>
    <font>
      <sz val="10"/>
      <color indexed="8"/>
      <name val="Arial"/>
      <family val="2"/>
    </font>
    <font>
      <sz val="8"/>
      <color indexed="12"/>
      <name val="Arial"/>
      <family val="2"/>
    </font>
    <font>
      <sz val="6"/>
      <color rgb="FF2C62A4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rgb="FF0000FF"/>
      <name val="Times New Roman"/>
      <family val="1"/>
    </font>
    <font>
      <sz val="9"/>
      <color rgb="FF0000FF"/>
      <name val="Times New Roman"/>
      <family val="1"/>
    </font>
    <font>
      <sz val="9"/>
      <name val="Times New Roman"/>
      <family val="1"/>
    </font>
    <font>
      <b/>
      <sz val="8"/>
      <color indexed="8"/>
      <name val="Arial"/>
      <family val="2"/>
    </font>
    <font>
      <vertAlign val="superscript"/>
      <sz val="8"/>
      <color theme="1"/>
      <name val="Arial"/>
      <family val="2"/>
    </font>
    <font>
      <i/>
      <sz val="8"/>
      <color theme="1"/>
      <name val="Arial"/>
      <family val="2"/>
    </font>
    <font>
      <sz val="8"/>
      <name val="Arial monospaced for SAP"/>
      <family val="3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Arial"/>
      <family val="2"/>
    </font>
    <font>
      <sz val="6"/>
      <name val="Calibri"/>
      <family val="2"/>
      <scheme val="minor"/>
    </font>
    <font>
      <sz val="8"/>
      <color rgb="FF00B0F0"/>
      <name val="Arial"/>
      <family val="2"/>
    </font>
    <font>
      <sz val="9"/>
      <color rgb="FF0070C0"/>
      <name val="Calibri"/>
      <family val="2"/>
      <scheme val="minor"/>
    </font>
    <font>
      <sz val="7"/>
      <color rgb="FF2C62A4"/>
      <name val="Arial"/>
      <family val="2"/>
    </font>
    <font>
      <vertAlign val="subscript"/>
      <sz val="8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indexed="8"/>
      <name val="Arial"/>
      <family val="2"/>
    </font>
    <font>
      <i/>
      <sz val="9"/>
      <name val="Calibri"/>
      <family val="2"/>
      <scheme val="minor"/>
    </font>
    <font>
      <b/>
      <sz val="6"/>
      <color rgb="FF2C62A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Tms Rmn"/>
    </font>
    <font>
      <b/>
      <sz val="11"/>
      <color indexed="9"/>
      <name val="Calibri"/>
      <family val="2"/>
    </font>
    <font>
      <sz val="12"/>
      <color theme="1"/>
      <name val="Times New Roman"/>
      <family val="2"/>
    </font>
    <font>
      <sz val="12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i/>
      <sz val="10"/>
      <name val="Arial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8"/>
      <name val="Arial"/>
      <family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name val="Calibri"/>
      <family val="2"/>
      <scheme val="minor"/>
    </font>
    <font>
      <i/>
      <sz val="9"/>
      <name val="Calibri"/>
      <family val="2"/>
    </font>
    <font>
      <sz val="9"/>
      <name val="Calibri"/>
      <family val="2"/>
    </font>
    <font>
      <b/>
      <sz val="8"/>
      <color rgb="FF000000"/>
      <name val="Arial"/>
      <family val="2"/>
    </font>
    <font>
      <sz val="8"/>
      <name val="Calibri"/>
      <family val="2"/>
    </font>
    <font>
      <b/>
      <sz val="8"/>
      <name val="Calibri"/>
      <family val="2"/>
    </font>
    <font>
      <b/>
      <sz val="9"/>
      <name val="Calibri"/>
      <family val="2"/>
    </font>
    <font>
      <sz val="6"/>
      <name val="Calibri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u/>
      <sz val="8"/>
      <color theme="10"/>
      <name val="Arial"/>
      <family val="2"/>
    </font>
    <font>
      <b/>
      <sz val="8"/>
      <color rgb="FFFF0000"/>
      <name val="Arial"/>
      <family val="2"/>
    </font>
    <font>
      <vertAlign val="superscript"/>
      <sz val="6.8"/>
      <color theme="1"/>
      <name val="Arial"/>
      <family val="2"/>
    </font>
    <font>
      <b/>
      <sz val="16"/>
      <color theme="1"/>
      <name val="Arial"/>
      <family val="2"/>
    </font>
    <font>
      <sz val="10"/>
      <color indexed="12"/>
      <name val="Times New Roman"/>
      <family val="1"/>
    </font>
    <font>
      <b/>
      <sz val="9"/>
      <color theme="1"/>
      <name val="Calibri"/>
      <family val="2"/>
      <scheme val="minor"/>
    </font>
    <font>
      <b/>
      <sz val="10"/>
      <color theme="1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solid">
        <fgColor indexed="55"/>
        <bgColor indexed="64"/>
      </patternFill>
    </fill>
    <fill>
      <patternFill patternType="mediumGray">
        <fgColor indexed="22"/>
      </patternFill>
    </fill>
    <fill>
      <patternFill patternType="lightGray"/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D8DBE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gray125">
        <fgColor indexed="8"/>
      </patternFill>
    </fill>
    <fill>
      <patternFill patternType="solid">
        <fgColor indexed="1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18">
    <xf numFmtId="0" fontId="0" fillId="0" borderId="0"/>
    <xf numFmtId="0" fontId="7" fillId="3" borderId="9" applyNumberFormat="0" applyBorder="0" applyAlignment="0" applyProtection="0"/>
    <xf numFmtId="164" fontId="7" fillId="3" borderId="9" applyNumberFormat="0" applyBorder="0" applyAlignment="0" applyProtection="0"/>
    <xf numFmtId="0" fontId="8" fillId="4" borderId="0" applyNumberFormat="0" applyBorder="0" applyAlignment="0" applyProtection="0"/>
    <xf numFmtId="164" fontId="8" fillId="4" borderId="0" applyNumberFormat="0" applyBorder="0" applyAlignment="0" applyProtection="0"/>
    <xf numFmtId="0" fontId="9" fillId="0" borderId="0"/>
    <xf numFmtId="164" fontId="9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" fontId="11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3" fillId="0" borderId="0" applyFont="0" applyFill="0" applyBorder="0" applyAlignment="0" applyProtection="0"/>
    <xf numFmtId="0" fontId="14" fillId="0" borderId="0"/>
    <xf numFmtId="164" fontId="14" fillId="0" borderId="0"/>
    <xf numFmtId="0" fontId="14" fillId="0" borderId="0"/>
    <xf numFmtId="164" fontId="14" fillId="0" borderId="0"/>
    <xf numFmtId="37" fontId="10" fillId="0" borderId="0" applyFill="0" applyBorder="0" applyAlignment="0" applyProtection="0"/>
    <xf numFmtId="0" fontId="14" fillId="0" borderId="0"/>
    <xf numFmtId="164" fontId="14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5" fillId="0" borderId="0" applyFont="0" applyFill="0" applyBorder="0" applyProtection="0">
      <alignment horizontal="right"/>
    </xf>
    <xf numFmtId="5" fontId="14" fillId="0" borderId="0"/>
    <xf numFmtId="167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4" fillId="0" borderId="0"/>
    <xf numFmtId="164" fontId="1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8" fontId="10" fillId="0" borderId="0" applyFill="0" applyBorder="0" applyAlignment="0" applyProtection="0"/>
    <xf numFmtId="2" fontId="13" fillId="0" borderId="0" applyFont="0" applyFill="0" applyBorder="0" applyAlignment="0" applyProtection="0"/>
    <xf numFmtId="38" fontId="6" fillId="5" borderId="0" applyNumberFormat="0" applyBorder="0" applyAlignment="0" applyProtection="0"/>
    <xf numFmtId="0" fontId="16" fillId="0" borderId="0"/>
    <xf numFmtId="164" fontId="16" fillId="0" borderId="0"/>
    <xf numFmtId="0" fontId="17" fillId="0" borderId="10" applyNumberFormat="0" applyAlignment="0" applyProtection="0">
      <alignment horizontal="left" vertical="center"/>
    </xf>
    <xf numFmtId="164" fontId="17" fillId="0" borderId="10" applyNumberFormat="0" applyAlignment="0" applyProtection="0">
      <alignment horizontal="left" vertical="center"/>
    </xf>
    <xf numFmtId="0" fontId="17" fillId="0" borderId="11">
      <alignment horizontal="left" vertical="center"/>
    </xf>
    <xf numFmtId="164" fontId="17" fillId="0" borderId="11">
      <alignment horizontal="left" vertical="center"/>
    </xf>
    <xf numFmtId="0" fontId="18" fillId="0" borderId="0" applyNumberFormat="0" applyFill="0" applyBorder="0" applyAlignment="0" applyProtection="0"/>
    <xf numFmtId="10" fontId="6" fillId="6" borderId="9" applyNumberFormat="0" applyBorder="0" applyAlignment="0" applyProtection="0"/>
    <xf numFmtId="0" fontId="19" fillId="7" borderId="0"/>
    <xf numFmtId="164" fontId="19" fillId="7" borderId="0"/>
    <xf numFmtId="0" fontId="19" fillId="8" borderId="0"/>
    <xf numFmtId="164" fontId="19" fillId="8" borderId="0"/>
    <xf numFmtId="0" fontId="8" fillId="9" borderId="5" applyBorder="0"/>
    <xf numFmtId="0" fontId="10" fillId="10" borderId="4" applyNumberFormat="0" applyFont="0" applyBorder="0" applyAlignment="0" applyProtection="0"/>
    <xf numFmtId="164" fontId="10" fillId="10" borderId="4" applyNumberFormat="0" applyFont="0" applyBorder="0" applyAlignment="0" applyProtection="0"/>
    <xf numFmtId="169" fontId="20" fillId="0" borderId="0" applyNumberFormat="0" applyFill="0" applyBorder="0" applyAlignment="0" applyProtection="0"/>
    <xf numFmtId="37" fontId="21" fillId="0" borderId="0" applyNumberFormat="0" applyFill="0" applyBorder="0"/>
    <xf numFmtId="0" fontId="6" fillId="0" borderId="12" applyNumberFormat="0" applyBorder="0" applyAlignment="0"/>
    <xf numFmtId="164" fontId="6" fillId="0" borderId="12" applyNumberFormat="0" applyBorder="0" applyAlignment="0"/>
    <xf numFmtId="17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/>
    <xf numFmtId="164" fontId="10" fillId="0" borderId="0"/>
    <xf numFmtId="171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1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10" fillId="0" borderId="0"/>
    <xf numFmtId="164" fontId="3" fillId="0" borderId="0"/>
    <xf numFmtId="164" fontId="3" fillId="0" borderId="0"/>
    <xf numFmtId="0" fontId="10" fillId="0" borderId="0"/>
    <xf numFmtId="0" fontId="10" fillId="0" borderId="0"/>
    <xf numFmtId="0" fontId="10" fillId="0" borderId="0"/>
    <xf numFmtId="37" fontId="14" fillId="0" borderId="0"/>
    <xf numFmtId="0" fontId="22" fillId="0" borderId="0"/>
    <xf numFmtId="172" fontId="12" fillId="0" borderId="0" applyFont="0" applyFill="0" applyBorder="0" applyProtection="0"/>
    <xf numFmtId="12" fontId="17" fillId="11" borderId="13">
      <alignment horizontal="left"/>
    </xf>
    <xf numFmtId="0" fontId="14" fillId="0" borderId="0"/>
    <xf numFmtId="164" fontId="14" fillId="0" borderId="0"/>
    <xf numFmtId="0" fontId="14" fillId="0" borderId="0"/>
    <xf numFmtId="164" fontId="14" fillId="0" borderId="0"/>
    <xf numFmtId="10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/>
    <xf numFmtId="0" fontId="24" fillId="0" borderId="0" applyNumberFormat="0" applyFont="0" applyFill="0" applyBorder="0" applyAlignment="0" applyProtection="0">
      <alignment horizontal="left"/>
    </xf>
    <xf numFmtId="15" fontId="24" fillId="0" borderId="0" applyFont="0" applyFill="0" applyBorder="0" applyAlignment="0" applyProtection="0"/>
    <xf numFmtId="4" fontId="24" fillId="0" borderId="0" applyFont="0" applyFill="0" applyBorder="0" applyAlignment="0" applyProtection="0"/>
    <xf numFmtId="0" fontId="25" fillId="0" borderId="13">
      <alignment horizontal="center"/>
    </xf>
    <xf numFmtId="3" fontId="24" fillId="0" borderId="0" applyFont="0" applyFill="0" applyBorder="0" applyAlignment="0" applyProtection="0"/>
    <xf numFmtId="0" fontId="24" fillId="12" borderId="0" applyNumberFormat="0" applyFont="0" applyBorder="0" applyAlignment="0" applyProtection="0"/>
    <xf numFmtId="37" fontId="26" fillId="13" borderId="0" applyNumberFormat="0" applyFont="0" applyBorder="0" applyAlignment="0" applyProtection="0"/>
    <xf numFmtId="173" fontId="10" fillId="0" borderId="14">
      <alignment horizontal="justify" vertical="top" wrapText="1"/>
    </xf>
    <xf numFmtId="0" fontId="10" fillId="0" borderId="0">
      <alignment horizontal="left" wrapText="1"/>
    </xf>
    <xf numFmtId="164" fontId="10" fillId="0" borderId="0">
      <alignment horizontal="left" wrapText="1"/>
    </xf>
    <xf numFmtId="0" fontId="8" fillId="0" borderId="9">
      <alignment horizontal="center" vertical="center" wrapText="1"/>
    </xf>
    <xf numFmtId="164" fontId="8" fillId="0" borderId="9">
      <alignment horizontal="center" vertical="center" wrapText="1"/>
    </xf>
    <xf numFmtId="0" fontId="14" fillId="0" borderId="15"/>
    <xf numFmtId="164" fontId="14" fillId="0" borderId="15"/>
    <xf numFmtId="174" fontId="27" fillId="0" borderId="0">
      <alignment horizontal="left"/>
    </xf>
    <xf numFmtId="0" fontId="14" fillId="0" borderId="16"/>
    <xf numFmtId="164" fontId="14" fillId="0" borderId="16"/>
    <xf numFmtId="38" fontId="28" fillId="0" borderId="17" applyFill="0" applyBorder="0" applyAlignment="0" applyProtection="0">
      <protection locked="0"/>
    </xf>
    <xf numFmtId="37" fontId="6" fillId="14" borderId="0" applyNumberFormat="0" applyBorder="0" applyAlignment="0" applyProtection="0"/>
    <xf numFmtId="37" fontId="6" fillId="0" borderId="0"/>
    <xf numFmtId="3" fontId="29" fillId="15" borderId="18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29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1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54" fillId="37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54" fillId="33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6" fillId="39" borderId="42" applyNumberFormat="0" applyAlignment="0" applyProtection="0"/>
    <xf numFmtId="0" fontId="56" fillId="39" borderId="42" applyNumberFormat="0" applyAlignment="0" applyProtection="0"/>
    <xf numFmtId="0" fontId="57" fillId="0" borderId="0"/>
    <xf numFmtId="0" fontId="58" fillId="40" borderId="43" applyNumberFormat="0" applyAlignment="0" applyProtection="0"/>
    <xf numFmtId="0" fontId="58" fillId="40" borderId="4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3" fontId="10" fillId="0" borderId="0" applyFont="0" applyFill="0" applyBorder="0" applyAlignment="0" applyProtection="0"/>
    <xf numFmtId="0" fontId="14" fillId="0" borderId="0"/>
    <xf numFmtId="0" fontId="14" fillId="0" borderId="0"/>
    <xf numFmtId="5" fontId="10" fillId="0" borderId="0" applyFont="0" applyFill="0" applyBorder="0" applyAlignment="0" applyProtection="0"/>
    <xf numFmtId="0" fontId="60" fillId="0" borderId="0"/>
    <xf numFmtId="0" fontId="60" fillId="0" borderId="44"/>
    <xf numFmtId="0" fontId="14" fillId="0" borderId="0"/>
    <xf numFmtId="14" fontId="10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2" fontId="10" fillId="0" borderId="0" applyFont="0" applyFill="0" applyBorder="0" applyAlignment="0" applyProtection="0"/>
    <xf numFmtId="0" fontId="14" fillId="0" borderId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3" fillId="0" borderId="45" applyNumberFormat="0" applyFill="0" applyAlignment="0" applyProtection="0"/>
    <xf numFmtId="0" fontId="63" fillId="0" borderId="45" applyNumberFormat="0" applyFill="0" applyAlignment="0" applyProtection="0"/>
    <xf numFmtId="0" fontId="64" fillId="0" borderId="46" applyNumberFormat="0" applyFill="0" applyAlignment="0" applyProtection="0"/>
    <xf numFmtId="0" fontId="64" fillId="0" borderId="46" applyNumberFormat="0" applyFill="0" applyAlignment="0" applyProtection="0"/>
    <xf numFmtId="0" fontId="65" fillId="0" borderId="47" applyNumberFormat="0" applyFill="0" applyAlignment="0" applyProtection="0"/>
    <xf numFmtId="0" fontId="65" fillId="0" borderId="47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3" fontId="10" fillId="0" borderId="0">
      <protection locked="0"/>
    </xf>
    <xf numFmtId="193" fontId="10" fillId="0" borderId="0">
      <protection locked="0"/>
    </xf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0" fontId="66" fillId="26" borderId="42" applyNumberFormat="0" applyAlignment="0" applyProtection="0"/>
    <xf numFmtId="38" fontId="67" fillId="0" borderId="0">
      <alignment horizontal="left" wrapText="1"/>
    </xf>
    <xf numFmtId="38" fontId="68" fillId="0" borderId="0">
      <alignment horizontal="left" wrapText="1"/>
    </xf>
    <xf numFmtId="0" fontId="69" fillId="41" borderId="44"/>
    <xf numFmtId="0" fontId="70" fillId="0" borderId="48" applyNumberFormat="0" applyFill="0" applyAlignment="0" applyProtection="0"/>
    <xf numFmtId="0" fontId="70" fillId="0" borderId="48" applyNumberFormat="0" applyFill="0" applyAlignment="0" applyProtection="0"/>
    <xf numFmtId="0" fontId="71" fillId="42" borderId="0" applyNumberFormat="0" applyBorder="0" applyAlignment="0" applyProtection="0"/>
    <xf numFmtId="0" fontId="71" fillId="42" borderId="0" applyNumberFormat="0" applyBorder="0" applyAlignment="0" applyProtection="0"/>
    <xf numFmtId="194" fontId="7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59" fillId="0" borderId="0"/>
    <xf numFmtId="0" fontId="59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59" fillId="0" borderId="0"/>
    <xf numFmtId="0" fontId="10" fillId="0" borderId="0"/>
    <xf numFmtId="0" fontId="10" fillId="0" borderId="0"/>
    <xf numFmtId="0" fontId="59" fillId="0" borderId="0"/>
    <xf numFmtId="0" fontId="5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43" borderId="49" applyNumberFormat="0" applyFont="0" applyAlignment="0" applyProtection="0"/>
    <xf numFmtId="0" fontId="10" fillId="43" borderId="49" applyNumberFormat="0" applyFont="0" applyAlignment="0" applyProtection="0"/>
    <xf numFmtId="0" fontId="2" fillId="19" borderId="41" applyNumberFormat="0" applyFont="0" applyAlignment="0" applyProtection="0"/>
    <xf numFmtId="0" fontId="73" fillId="39" borderId="50" applyNumberFormat="0" applyAlignment="0" applyProtection="0"/>
    <xf numFmtId="0" fontId="73" fillId="39" borderId="50" applyNumberFormat="0" applyAlignment="0" applyProtection="0"/>
    <xf numFmtId="40" fontId="28" fillId="18" borderId="0">
      <alignment horizontal="right"/>
    </xf>
    <xf numFmtId="0" fontId="50" fillId="18" borderId="0">
      <alignment horizontal="left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3" fillId="0" borderId="0"/>
    <xf numFmtId="0" fontId="60" fillId="0" borderId="0"/>
    <xf numFmtId="4" fontId="50" fillId="42" borderId="51" applyNumberFormat="0" applyProtection="0">
      <alignment vertical="center"/>
    </xf>
    <xf numFmtId="4" fontId="74" fillId="14" borderId="51" applyNumberFormat="0" applyProtection="0">
      <alignment vertical="center"/>
    </xf>
    <xf numFmtId="4" fontId="50" fillId="14" borderId="51" applyNumberFormat="0" applyProtection="0">
      <alignment horizontal="left" vertical="center" indent="1"/>
    </xf>
    <xf numFmtId="0" fontId="50" fillId="14" borderId="51" applyNumberFormat="0" applyProtection="0">
      <alignment horizontal="left" vertical="top" indent="1"/>
    </xf>
    <xf numFmtId="4" fontId="50" fillId="44" borderId="0" applyNumberFormat="0" applyProtection="0">
      <alignment horizontal="left" vertical="center" indent="1"/>
    </xf>
    <xf numFmtId="4" fontId="28" fillId="22" borderId="51" applyNumberFormat="0" applyProtection="0">
      <alignment horizontal="right" vertical="center"/>
    </xf>
    <xf numFmtId="4" fontId="28" fillId="28" borderId="51" applyNumberFormat="0" applyProtection="0">
      <alignment horizontal="right" vertical="center"/>
    </xf>
    <xf numFmtId="4" fontId="28" fillId="36" borderId="51" applyNumberFormat="0" applyProtection="0">
      <alignment horizontal="right" vertical="center"/>
    </xf>
    <xf numFmtId="4" fontId="28" fillId="30" borderId="51" applyNumberFormat="0" applyProtection="0">
      <alignment horizontal="right" vertical="center"/>
    </xf>
    <xf numFmtId="4" fontId="28" fillId="34" borderId="51" applyNumberFormat="0" applyProtection="0">
      <alignment horizontal="right" vertical="center"/>
    </xf>
    <xf numFmtId="4" fontId="28" fillId="38" borderId="51" applyNumberFormat="0" applyProtection="0">
      <alignment horizontal="right" vertical="center"/>
    </xf>
    <xf numFmtId="4" fontId="28" fillId="37" borderId="51" applyNumberFormat="0" applyProtection="0">
      <alignment horizontal="right" vertical="center"/>
    </xf>
    <xf numFmtId="4" fontId="28" fillId="45" borderId="51" applyNumberFormat="0" applyProtection="0">
      <alignment horizontal="right" vertical="center"/>
    </xf>
    <xf numFmtId="4" fontId="28" fillId="29" borderId="51" applyNumberFormat="0" applyProtection="0">
      <alignment horizontal="right" vertical="center"/>
    </xf>
    <xf numFmtId="4" fontId="50" fillId="46" borderId="52" applyNumberFormat="0" applyProtection="0">
      <alignment horizontal="left" vertical="center" indent="1"/>
    </xf>
    <xf numFmtId="4" fontId="28" fillId="47" borderId="0" applyNumberFormat="0" applyProtection="0">
      <alignment horizontal="left" vertical="center" indent="1"/>
    </xf>
    <xf numFmtId="4" fontId="75" fillId="48" borderId="0" applyNumberFormat="0" applyProtection="0">
      <alignment horizontal="left" vertical="center" indent="1"/>
    </xf>
    <xf numFmtId="4" fontId="28" fillId="49" borderId="51" applyNumberFormat="0" applyProtection="0">
      <alignment horizontal="right" vertical="center"/>
    </xf>
    <xf numFmtId="4" fontId="28" fillId="47" borderId="0" applyNumberFormat="0" applyProtection="0">
      <alignment horizontal="left" vertical="center" indent="1"/>
    </xf>
    <xf numFmtId="4" fontId="28" fillId="44" borderId="0" applyNumberFormat="0" applyProtection="0">
      <alignment horizontal="left" vertical="center" indent="1"/>
    </xf>
    <xf numFmtId="0" fontId="10" fillId="48" borderId="51" applyNumberFormat="0" applyProtection="0">
      <alignment horizontal="left" vertical="center" indent="1"/>
    </xf>
    <xf numFmtId="0" fontId="10" fillId="48" borderId="51" applyNumberFormat="0" applyProtection="0">
      <alignment horizontal="left" vertical="top" indent="1"/>
    </xf>
    <xf numFmtId="0" fontId="10" fillId="44" borderId="51" applyNumberFormat="0" applyProtection="0">
      <alignment horizontal="left" vertical="center" indent="1"/>
    </xf>
    <xf numFmtId="0" fontId="10" fillId="44" borderId="51" applyNumberFormat="0" applyProtection="0">
      <alignment horizontal="left" vertical="top" indent="1"/>
    </xf>
    <xf numFmtId="0" fontId="10" fillId="50" borderId="51" applyNumberFormat="0" applyProtection="0">
      <alignment horizontal="left" vertical="center" indent="1"/>
    </xf>
    <xf numFmtId="0" fontId="10" fillId="50" borderId="51" applyNumberFormat="0" applyProtection="0">
      <alignment horizontal="left" vertical="top" indent="1"/>
    </xf>
    <xf numFmtId="0" fontId="10" fillId="51" borderId="51" applyNumberFormat="0" applyProtection="0">
      <alignment horizontal="left" vertical="center" indent="1"/>
    </xf>
    <xf numFmtId="0" fontId="10" fillId="51" borderId="51" applyNumberFormat="0" applyProtection="0">
      <alignment horizontal="left" vertical="top" indent="1"/>
    </xf>
    <xf numFmtId="4" fontId="28" fillId="6" borderId="51" applyNumberFormat="0" applyProtection="0">
      <alignment vertical="center"/>
    </xf>
    <xf numFmtId="4" fontId="76" fillId="6" borderId="51" applyNumberFormat="0" applyProtection="0">
      <alignment vertical="center"/>
    </xf>
    <xf numFmtId="4" fontId="28" fillId="6" borderId="51" applyNumberFormat="0" applyProtection="0">
      <alignment horizontal="left" vertical="center" indent="1"/>
    </xf>
    <xf numFmtId="0" fontId="28" fillId="6" borderId="51" applyNumberFormat="0" applyProtection="0">
      <alignment horizontal="left" vertical="top" indent="1"/>
    </xf>
    <xf numFmtId="4" fontId="28" fillId="0" borderId="51" applyNumberFormat="0" applyProtection="0">
      <alignment horizontal="right" vertical="center"/>
    </xf>
    <xf numFmtId="4" fontId="76" fillId="47" borderId="51" applyNumberFormat="0" applyProtection="0">
      <alignment horizontal="right" vertical="center"/>
    </xf>
    <xf numFmtId="4" fontId="28" fillId="0" borderId="51" applyNumberFormat="0" applyProtection="0">
      <alignment horizontal="left" vertical="center" indent="1"/>
    </xf>
    <xf numFmtId="0" fontId="28" fillId="44" borderId="51" applyNumberFormat="0" applyProtection="0">
      <alignment horizontal="left" vertical="top"/>
    </xf>
    <xf numFmtId="4" fontId="77" fillId="0" borderId="0" applyNumberFormat="0" applyProtection="0">
      <alignment horizontal="left" vertical="center"/>
    </xf>
    <xf numFmtId="4" fontId="78" fillId="47" borderId="51" applyNumberFormat="0" applyProtection="0">
      <alignment horizontal="right" vertical="center"/>
    </xf>
    <xf numFmtId="0" fontId="79" fillId="52" borderId="53"/>
    <xf numFmtId="195" fontId="10" fillId="0" borderId="0">
      <alignment horizontal="left" wrapText="1"/>
    </xf>
    <xf numFmtId="0" fontId="60" fillId="0" borderId="44"/>
    <xf numFmtId="38" fontId="10" fillId="0" borderId="0">
      <alignment horizontal="left" wrapText="1"/>
    </xf>
    <xf numFmtId="0" fontId="80" fillId="53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54" applyNumberFormat="0" applyFill="0" applyAlignment="0" applyProtection="0"/>
    <xf numFmtId="0" fontId="82" fillId="0" borderId="54" applyNumberFormat="0" applyFill="0" applyAlignment="0" applyProtection="0"/>
    <xf numFmtId="0" fontId="69" fillId="0" borderId="55"/>
    <xf numFmtId="0" fontId="69" fillId="0" borderId="44"/>
    <xf numFmtId="196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9" fontId="10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" fillId="0" borderId="0"/>
  </cellStyleXfs>
  <cellXfs count="614">
    <xf numFmtId="0" fontId="0" fillId="0" borderId="0" xfId="0"/>
    <xf numFmtId="0" fontId="5" fillId="2" borderId="0" xfId="0" applyFont="1" applyFill="1"/>
    <xf numFmtId="0" fontId="0" fillId="0" borderId="4" xfId="0" applyBorder="1"/>
    <xf numFmtId="0" fontId="6" fillId="2" borderId="0" xfId="0" applyFont="1" applyFill="1"/>
    <xf numFmtId="0" fontId="5" fillId="0" borderId="0" xfId="0" applyFont="1"/>
    <xf numFmtId="0" fontId="5" fillId="16" borderId="19" xfId="0" applyFont="1" applyFill="1" applyBorder="1" applyAlignment="1">
      <alignment horizontal="centerContinuous" vertical="center" wrapText="1"/>
    </xf>
    <xf numFmtId="0" fontId="0" fillId="16" borderId="11" xfId="0" applyFill="1" applyBorder="1" applyAlignment="1">
      <alignment horizontal="centerContinuous" vertical="center" wrapText="1"/>
    </xf>
    <xf numFmtId="0" fontId="0" fillId="16" borderId="20" xfId="0" applyFill="1" applyBorder="1" applyAlignment="1">
      <alignment horizontal="centerContinuous" vertical="center" wrapText="1"/>
    </xf>
    <xf numFmtId="0" fontId="0" fillId="2" borderId="4" xfId="0" applyFill="1" applyBorder="1"/>
    <xf numFmtId="0" fontId="0" fillId="2" borderId="0" xfId="0" applyFill="1"/>
    <xf numFmtId="0" fontId="0" fillId="2" borderId="5" xfId="0" applyFill="1" applyBorder="1"/>
    <xf numFmtId="0" fontId="6" fillId="2" borderId="7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0" fillId="2" borderId="7" xfId="0" applyFill="1" applyBorder="1" applyAlignment="1">
      <alignment horizontal="centerContinuous" wrapText="1"/>
    </xf>
    <xf numFmtId="0" fontId="30" fillId="2" borderId="0" xfId="0" applyFont="1" applyFill="1" applyAlignment="1">
      <alignment horizontal="right"/>
    </xf>
    <xf numFmtId="0" fontId="30" fillId="2" borderId="0" xfId="0" applyFont="1" applyFill="1" applyAlignment="1">
      <alignment horizontal="center"/>
    </xf>
    <xf numFmtId="0" fontId="0" fillId="0" borderId="21" xfId="0" applyBorder="1"/>
    <xf numFmtId="0" fontId="0" fillId="2" borderId="0" xfId="0" applyFill="1" applyAlignment="1">
      <alignment horizontal="left" indent="1"/>
    </xf>
    <xf numFmtId="41" fontId="0" fillId="0" borderId="0" xfId="0" applyNumberFormat="1"/>
    <xf numFmtId="0" fontId="30" fillId="0" borderId="25" xfId="0" applyFont="1" applyBorder="1" applyAlignment="1">
      <alignment horizontal="right"/>
    </xf>
    <xf numFmtId="0" fontId="30" fillId="0" borderId="28" xfId="0" applyFont="1" applyBorder="1" applyAlignment="1">
      <alignment horizontal="right"/>
    </xf>
    <xf numFmtId="177" fontId="0" fillId="2" borderId="0" xfId="0" applyNumberFormat="1" applyFill="1"/>
    <xf numFmtId="177" fontId="0" fillId="0" borderId="23" xfId="0" applyNumberFormat="1" applyBorder="1"/>
    <xf numFmtId="177" fontId="0" fillId="2" borderId="7" xfId="0" applyNumberFormat="1" applyFill="1" applyBorder="1"/>
    <xf numFmtId="177" fontId="0" fillId="0" borderId="26" xfId="0" applyNumberFormat="1" applyBorder="1"/>
    <xf numFmtId="41" fontId="5" fillId="2" borderId="0" xfId="0" applyNumberFormat="1" applyFont="1" applyFill="1"/>
    <xf numFmtId="177" fontId="5" fillId="2" borderId="0" xfId="0" applyNumberFormat="1" applyFont="1" applyFill="1"/>
    <xf numFmtId="177" fontId="5" fillId="0" borderId="23" xfId="0" applyNumberFormat="1" applyFont="1" applyBorder="1"/>
    <xf numFmtId="177" fontId="0" fillId="0" borderId="0" xfId="0" applyNumberFormat="1"/>
    <xf numFmtId="0" fontId="0" fillId="2" borderId="29" xfId="0" applyFill="1" applyBorder="1"/>
    <xf numFmtId="0" fontId="0" fillId="2" borderId="31" xfId="0" applyFill="1" applyBorder="1"/>
    <xf numFmtId="177" fontId="0" fillId="0" borderId="7" xfId="0" applyNumberFormat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179" fontId="5" fillId="0" borderId="0" xfId="0" applyNumberFormat="1" applyFont="1"/>
    <xf numFmtId="0" fontId="10" fillId="0" borderId="0" xfId="89"/>
    <xf numFmtId="0" fontId="8" fillId="0" borderId="0" xfId="89" applyFont="1"/>
    <xf numFmtId="0" fontId="31" fillId="0" borderId="1" xfId="124" applyFont="1" applyBorder="1" applyAlignment="1">
      <alignment horizontal="centerContinuous"/>
    </xf>
    <xf numFmtId="0" fontId="32" fillId="0" borderId="2" xfId="124" applyFont="1" applyBorder="1" applyAlignment="1">
      <alignment horizontal="centerContinuous"/>
    </xf>
    <xf numFmtId="0" fontId="31" fillId="0" borderId="2" xfId="124" applyFont="1" applyBorder="1" applyAlignment="1">
      <alignment horizontal="centerContinuous"/>
    </xf>
    <xf numFmtId="179" fontId="31" fillId="0" borderId="2" xfId="124" applyNumberFormat="1" applyFont="1" applyBorder="1" applyAlignment="1">
      <alignment horizontal="centerContinuous"/>
    </xf>
    <xf numFmtId="0" fontId="32" fillId="0" borderId="9" xfId="124" applyFont="1" applyBorder="1" applyAlignment="1">
      <alignment horizontal="centerContinuous"/>
    </xf>
    <xf numFmtId="0" fontId="31" fillId="0" borderId="9" xfId="124" applyFont="1" applyBorder="1" applyAlignment="1">
      <alignment horizontal="centerContinuous"/>
    </xf>
    <xf numFmtId="181" fontId="32" fillId="0" borderId="9" xfId="124" applyNumberFormat="1" applyFont="1" applyBorder="1" applyAlignment="1">
      <alignment horizontal="centerContinuous"/>
    </xf>
    <xf numFmtId="181" fontId="31" fillId="0" borderId="11" xfId="124" applyNumberFormat="1" applyFont="1" applyBorder="1" applyAlignment="1">
      <alignment horizontal="centerContinuous"/>
    </xf>
    <xf numFmtId="181" fontId="31" fillId="0" borderId="20" xfId="124" applyNumberFormat="1" applyFont="1" applyBorder="1" applyAlignment="1">
      <alignment horizontal="centerContinuous"/>
    </xf>
    <xf numFmtId="43" fontId="32" fillId="0" borderId="9" xfId="124" applyNumberFormat="1" applyFont="1" applyBorder="1" applyAlignment="1">
      <alignment horizontal="left" vertical="top"/>
    </xf>
    <xf numFmtId="43" fontId="32" fillId="0" borderId="20" xfId="124" applyNumberFormat="1" applyFont="1" applyBorder="1" applyAlignment="1">
      <alignment horizontal="centerContinuous"/>
    </xf>
    <xf numFmtId="43" fontId="31" fillId="0" borderId="0" xfId="124" applyNumberFormat="1" applyFont="1" applyAlignment="1">
      <alignment horizontal="centerContinuous"/>
    </xf>
    <xf numFmtId="0" fontId="31" fillId="0" borderId="6" xfId="124" applyFont="1" applyBorder="1" applyAlignment="1">
      <alignment horizontal="center"/>
    </xf>
    <xf numFmtId="0" fontId="31" fillId="0" borderId="7" xfId="89" applyFont="1" applyBorder="1"/>
    <xf numFmtId="179" fontId="31" fillId="0" borderId="7" xfId="124" applyNumberFormat="1" applyFont="1" applyBorder="1" applyAlignment="1">
      <alignment horizontal="center"/>
    </xf>
    <xf numFmtId="182" fontId="31" fillId="0" borderId="3" xfId="124" applyNumberFormat="1" applyFont="1" applyBorder="1" applyAlignment="1">
      <alignment horizontal="center"/>
    </xf>
    <xf numFmtId="0" fontId="31" fillId="0" borderId="32" xfId="124" applyFont="1" applyBorder="1" applyAlignment="1">
      <alignment horizontal="center"/>
    </xf>
    <xf numFmtId="181" fontId="31" fillId="0" borderId="4" xfId="124" applyNumberFormat="1" applyFont="1" applyBorder="1" applyAlignment="1">
      <alignment horizontal="centerContinuous"/>
    </xf>
    <xf numFmtId="181" fontId="31" fillId="0" borderId="0" xfId="124" applyNumberFormat="1" applyFont="1" applyAlignment="1">
      <alignment horizontal="centerContinuous"/>
    </xf>
    <xf numFmtId="181" fontId="31" fillId="0" borderId="5" xfId="124" applyNumberFormat="1" applyFont="1" applyBorder="1" applyAlignment="1">
      <alignment horizontal="centerContinuous"/>
    </xf>
    <xf numFmtId="43" fontId="31" fillId="0" borderId="17" xfId="124" applyNumberFormat="1" applyFont="1" applyBorder="1"/>
    <xf numFmtId="183" fontId="32" fillId="0" borderId="17" xfId="124" applyNumberFormat="1" applyFont="1" applyBorder="1" applyAlignment="1">
      <alignment horizontal="centerContinuous"/>
    </xf>
    <xf numFmtId="0" fontId="31" fillId="0" borderId="4" xfId="124" applyFont="1" applyBorder="1" applyAlignment="1">
      <alignment horizontal="left"/>
    </xf>
    <xf numFmtId="0" fontId="31" fillId="0" borderId="17" xfId="124" applyFont="1" applyBorder="1" applyAlignment="1">
      <alignment horizontal="center" wrapText="1"/>
    </xf>
    <xf numFmtId="182" fontId="31" fillId="0" borderId="32" xfId="124" applyNumberFormat="1" applyFont="1" applyBorder="1" applyAlignment="1">
      <alignment horizontal="center" wrapText="1"/>
    </xf>
    <xf numFmtId="0" fontId="31" fillId="0" borderId="32" xfId="124" applyFont="1" applyBorder="1" applyAlignment="1">
      <alignment horizontal="center" wrapText="1"/>
    </xf>
    <xf numFmtId="181" fontId="31" fillId="0" borderId="32" xfId="124" applyNumberFormat="1" applyFont="1" applyBorder="1" applyAlignment="1">
      <alignment horizontal="center" wrapText="1"/>
    </xf>
    <xf numFmtId="181" fontId="31" fillId="0" borderId="32" xfId="124" applyNumberFormat="1" applyFont="1" applyBorder="1" applyAlignment="1">
      <alignment horizontal="centerContinuous" wrapText="1"/>
    </xf>
    <xf numFmtId="43" fontId="31" fillId="0" borderId="32" xfId="124" applyNumberFormat="1" applyFont="1" applyBorder="1" applyAlignment="1">
      <alignment horizontal="center" wrapText="1"/>
    </xf>
    <xf numFmtId="0" fontId="31" fillId="0" borderId="0" xfId="89" applyFont="1"/>
    <xf numFmtId="0" fontId="33" fillId="0" borderId="19" xfId="89" applyFont="1" applyBorder="1"/>
    <xf numFmtId="184" fontId="31" fillId="0" borderId="19" xfId="124" applyNumberFormat="1" applyFont="1" applyBorder="1" applyAlignment="1">
      <alignment horizontal="center"/>
    </xf>
    <xf numFmtId="184" fontId="31" fillId="0" borderId="11" xfId="124" applyNumberFormat="1" applyFont="1" applyBorder="1" applyAlignment="1">
      <alignment horizontal="center"/>
    </xf>
    <xf numFmtId="0" fontId="34" fillId="0" borderId="11" xfId="124" applyFont="1" applyBorder="1" applyAlignment="1">
      <alignment horizontal="center"/>
    </xf>
    <xf numFmtId="185" fontId="31" fillId="0" borderId="11" xfId="17" applyNumberFormat="1" applyFont="1" applyFill="1" applyBorder="1"/>
    <xf numFmtId="179" fontId="35" fillId="0" borderId="11" xfId="124" applyNumberFormat="1" applyFont="1" applyBorder="1" applyAlignment="1">
      <alignment horizontal="center"/>
    </xf>
    <xf numFmtId="0" fontId="31" fillId="0" borderId="11" xfId="89" applyFont="1" applyBorder="1"/>
    <xf numFmtId="186" fontId="31" fillId="0" borderId="11" xfId="89" applyNumberFormat="1" applyFont="1" applyBorder="1" applyAlignment="1">
      <alignment horizontal="center"/>
    </xf>
    <xf numFmtId="10" fontId="31" fillId="0" borderId="11" xfId="124" applyNumberFormat="1" applyFont="1" applyBorder="1"/>
    <xf numFmtId="181" fontId="31" fillId="0" borderId="11" xfId="124" applyNumberFormat="1" applyFont="1" applyBorder="1" applyAlignment="1">
      <alignment horizontal="right"/>
    </xf>
    <xf numFmtId="183" fontId="35" fillId="0" borderId="20" xfId="124" applyNumberFormat="1" applyFont="1" applyBorder="1" applyAlignment="1">
      <alignment horizontal="center"/>
    </xf>
    <xf numFmtId="0" fontId="32" fillId="0" borderId="19" xfId="124" applyFont="1" applyBorder="1"/>
    <xf numFmtId="0" fontId="31" fillId="0" borderId="19" xfId="89" applyFont="1" applyBorder="1"/>
    <xf numFmtId="0" fontId="31" fillId="0" borderId="11" xfId="89" applyFont="1" applyBorder="1" applyAlignment="1">
      <alignment horizontal="center"/>
    </xf>
    <xf numFmtId="43" fontId="31" fillId="0" borderId="11" xfId="17" applyFont="1" applyBorder="1"/>
    <xf numFmtId="0" fontId="32" fillId="0" borderId="11" xfId="89" applyFont="1" applyBorder="1" applyAlignment="1">
      <alignment horizontal="center"/>
    </xf>
    <xf numFmtId="186" fontId="31" fillId="17" borderId="9" xfId="89" applyNumberFormat="1" applyFont="1" applyFill="1" applyBorder="1" applyAlignment="1">
      <alignment horizontal="center"/>
    </xf>
    <xf numFmtId="187" fontId="31" fillId="0" borderId="20" xfId="17" applyNumberFormat="1" applyFont="1" applyBorder="1"/>
    <xf numFmtId="0" fontId="31" fillId="0" borderId="4" xfId="89" applyFont="1" applyBorder="1"/>
    <xf numFmtId="184" fontId="31" fillId="17" borderId="14" xfId="124" applyNumberFormat="1" applyFont="1" applyFill="1" applyBorder="1" applyAlignment="1">
      <alignment horizontal="center"/>
    </xf>
    <xf numFmtId="0" fontId="31" fillId="0" borderId="14" xfId="89" applyFont="1" applyBorder="1"/>
    <xf numFmtId="1" fontId="31" fillId="17" borderId="14" xfId="124" applyNumberFormat="1" applyFont="1" applyFill="1" applyBorder="1"/>
    <xf numFmtId="185" fontId="31" fillId="17" borderId="14" xfId="17" applyNumberFormat="1" applyFont="1" applyFill="1" applyBorder="1" applyAlignment="1"/>
    <xf numFmtId="179" fontId="31" fillId="0" borderId="14" xfId="17" applyNumberFormat="1" applyFont="1" applyBorder="1"/>
    <xf numFmtId="10" fontId="31" fillId="17" borderId="14" xfId="124" applyNumberFormat="1" applyFont="1" applyFill="1" applyBorder="1"/>
    <xf numFmtId="2" fontId="31" fillId="17" borderId="14" xfId="124" applyNumberFormat="1" applyFont="1" applyFill="1" applyBorder="1"/>
    <xf numFmtId="43" fontId="31" fillId="0" borderId="14" xfId="17" applyFont="1" applyFill="1" applyBorder="1" applyAlignment="1">
      <alignment horizontal="right"/>
    </xf>
    <xf numFmtId="43" fontId="31" fillId="17" borderId="14" xfId="17" applyFont="1" applyFill="1" applyBorder="1" applyAlignment="1"/>
    <xf numFmtId="184" fontId="31" fillId="17" borderId="9" xfId="124" applyNumberFormat="1" applyFont="1" applyFill="1" applyBorder="1" applyAlignment="1">
      <alignment horizontal="center"/>
    </xf>
    <xf numFmtId="0" fontId="31" fillId="0" borderId="9" xfId="89" applyFont="1" applyBorder="1"/>
    <xf numFmtId="1" fontId="31" fillId="17" borderId="9" xfId="124" applyNumberFormat="1" applyFont="1" applyFill="1" applyBorder="1"/>
    <xf numFmtId="185" fontId="31" fillId="17" borderId="32" xfId="17" applyNumberFormat="1" applyFont="1" applyFill="1" applyBorder="1" applyAlignment="1"/>
    <xf numFmtId="179" fontId="31" fillId="0" borderId="9" xfId="17" applyNumberFormat="1" applyFont="1" applyBorder="1"/>
    <xf numFmtId="10" fontId="31" fillId="17" borderId="9" xfId="124" applyNumberFormat="1" applyFont="1" applyFill="1" applyBorder="1"/>
    <xf numFmtId="2" fontId="31" fillId="17" borderId="9" xfId="124" applyNumberFormat="1" applyFont="1" applyFill="1" applyBorder="1"/>
    <xf numFmtId="43" fontId="31" fillId="0" borderId="9" xfId="17" applyFont="1" applyFill="1" applyBorder="1" applyAlignment="1">
      <alignment horizontal="right"/>
    </xf>
    <xf numFmtId="43" fontId="31" fillId="17" borderId="9" xfId="17" applyFont="1" applyFill="1" applyBorder="1" applyAlignment="1"/>
    <xf numFmtId="0" fontId="31" fillId="0" borderId="6" xfId="89" applyFont="1" applyBorder="1"/>
    <xf numFmtId="184" fontId="31" fillId="0" borderId="9" xfId="124" applyNumberFormat="1" applyFont="1" applyBorder="1" applyAlignment="1">
      <alignment horizontal="center"/>
    </xf>
    <xf numFmtId="1" fontId="31" fillId="0" borderId="9" xfId="89" applyNumberFormat="1" applyFont="1" applyBorder="1"/>
    <xf numFmtId="185" fontId="31" fillId="0" borderId="9" xfId="17" applyNumberFormat="1" applyFont="1" applyFill="1" applyBorder="1" applyAlignment="1">
      <alignment horizontal="right"/>
    </xf>
    <xf numFmtId="179" fontId="31" fillId="0" borderId="9" xfId="17" applyNumberFormat="1" applyFont="1" applyFill="1" applyBorder="1" applyAlignment="1">
      <alignment horizontal="right"/>
    </xf>
    <xf numFmtId="10" fontId="31" fillId="0" borderId="9" xfId="124" applyNumberFormat="1" applyFont="1" applyBorder="1"/>
    <xf numFmtId="0" fontId="31" fillId="0" borderId="33" xfId="89" applyFont="1" applyBorder="1"/>
    <xf numFmtId="1" fontId="0" fillId="0" borderId="0" xfId="0" applyNumberFormat="1"/>
    <xf numFmtId="0" fontId="0" fillId="2" borderId="0" xfId="0" applyFill="1" applyAlignment="1">
      <alignment horizontal="center"/>
    </xf>
    <xf numFmtId="43" fontId="39" fillId="0" borderId="0" xfId="0" applyNumberFormat="1" applyFont="1"/>
    <xf numFmtId="2" fontId="0" fillId="0" borderId="0" xfId="0" applyNumberFormat="1"/>
    <xf numFmtId="0" fontId="40" fillId="0" borderId="4" xfId="0" applyFont="1" applyBorder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2" fillId="0" borderId="5" xfId="0" applyFont="1" applyBorder="1"/>
    <xf numFmtId="0" fontId="40" fillId="0" borderId="5" xfId="0" applyFont="1" applyBorder="1"/>
    <xf numFmtId="0" fontId="40" fillId="0" borderId="4" xfId="0" applyFont="1" applyBorder="1" applyAlignment="1">
      <alignment vertical="top"/>
    </xf>
    <xf numFmtId="0" fontId="40" fillId="0" borderId="0" xfId="0" applyFont="1" applyAlignment="1">
      <alignment vertical="top"/>
    </xf>
    <xf numFmtId="0" fontId="41" fillId="0" borderId="0" xfId="0" applyFont="1" applyAlignment="1">
      <alignment vertical="top"/>
    </xf>
    <xf numFmtId="0" fontId="40" fillId="0" borderId="0" xfId="0" applyFont="1" applyAlignment="1">
      <alignment horizontal="right" vertical="top"/>
    </xf>
    <xf numFmtId="0" fontId="44" fillId="0" borderId="0" xfId="0" applyFont="1" applyAlignment="1">
      <alignment horizontal="right" vertical="top"/>
    </xf>
    <xf numFmtId="0" fontId="44" fillId="0" borderId="0" xfId="0" applyFont="1" applyAlignment="1">
      <alignment vertical="top"/>
    </xf>
    <xf numFmtId="0" fontId="44" fillId="0" borderId="5" xfId="0" applyFont="1" applyBorder="1" applyAlignment="1">
      <alignment vertical="top"/>
    </xf>
    <xf numFmtId="188" fontId="40" fillId="0" borderId="0" xfId="156" applyNumberFormat="1" applyFont="1" applyFill="1" applyBorder="1" applyAlignment="1">
      <alignment vertical="top"/>
    </xf>
    <xf numFmtId="0" fontId="41" fillId="0" borderId="5" xfId="0" applyFont="1" applyBorder="1" applyAlignment="1">
      <alignment vertical="top"/>
    </xf>
    <xf numFmtId="184" fontId="40" fillId="0" borderId="0" xfId="0" applyNumberFormat="1" applyFont="1" applyAlignment="1">
      <alignment vertical="top"/>
    </xf>
    <xf numFmtId="0" fontId="41" fillId="0" borderId="5" xfId="0" applyFont="1" applyBorder="1"/>
    <xf numFmtId="9" fontId="40" fillId="0" borderId="0" xfId="0" applyNumberFormat="1" applyFont="1" applyAlignment="1">
      <alignment vertical="top"/>
    </xf>
    <xf numFmtId="3" fontId="40" fillId="0" borderId="0" xfId="0" applyNumberFormat="1" applyFont="1"/>
    <xf numFmtId="189" fontId="40" fillId="0" borderId="0" xfId="156" applyNumberFormat="1" applyFont="1" applyFill="1" applyBorder="1" applyAlignment="1">
      <alignment vertical="top"/>
    </xf>
    <xf numFmtId="10" fontId="40" fillId="0" borderId="0" xfId="0" applyNumberFormat="1" applyFont="1" applyAlignment="1">
      <alignment vertical="top"/>
    </xf>
    <xf numFmtId="184" fontId="40" fillId="0" borderId="0" xfId="0" applyNumberFormat="1" applyFont="1"/>
    <xf numFmtId="0" fontId="40" fillId="0" borderId="6" xfId="0" applyFont="1" applyBorder="1" applyAlignment="1">
      <alignment vertical="top"/>
    </xf>
    <xf numFmtId="0" fontId="40" fillId="0" borderId="7" xfId="0" applyFont="1" applyBorder="1" applyAlignment="1">
      <alignment vertical="top"/>
    </xf>
    <xf numFmtId="0" fontId="41" fillId="0" borderId="8" xfId="0" applyFont="1" applyBorder="1" applyAlignment="1">
      <alignment vertical="top"/>
    </xf>
    <xf numFmtId="0" fontId="40" fillId="0" borderId="8" xfId="0" applyFont="1" applyBorder="1" applyAlignment="1">
      <alignment vertical="top"/>
    </xf>
    <xf numFmtId="0" fontId="41" fillId="0" borderId="4" xfId="0" applyFont="1" applyBorder="1"/>
    <xf numFmtId="0" fontId="41" fillId="0" borderId="0" xfId="0" applyFont="1" applyAlignment="1">
      <alignment horizontal="centerContinuous" wrapText="1"/>
    </xf>
    <xf numFmtId="0" fontId="41" fillId="0" borderId="0" xfId="0" applyFont="1" applyAlignment="1">
      <alignment horizontal="centerContinuous"/>
    </xf>
    <xf numFmtId="0" fontId="41" fillId="0" borderId="5" xfId="0" applyFont="1" applyBorder="1" applyAlignment="1">
      <alignment horizontal="centerContinuous" wrapText="1"/>
    </xf>
    <xf numFmtId="0" fontId="41" fillId="0" borderId="4" xfId="0" applyFont="1" applyBorder="1" applyAlignment="1">
      <alignment horizontal="center"/>
    </xf>
    <xf numFmtId="0" fontId="41" fillId="0" borderId="5" xfId="0" applyFont="1" applyBorder="1" applyAlignment="1">
      <alignment horizontal="centerContinuous"/>
    </xf>
    <xf numFmtId="0" fontId="41" fillId="0" borderId="4" xfId="0" applyFont="1" applyBorder="1" applyAlignment="1">
      <alignment horizontal="fill"/>
    </xf>
    <xf numFmtId="0" fontId="41" fillId="0" borderId="0" xfId="0" applyFont="1" applyAlignment="1">
      <alignment horizontal="fill"/>
    </xf>
    <xf numFmtId="0" fontId="41" fillId="0" borderId="5" xfId="0" applyFont="1" applyBorder="1" applyAlignment="1">
      <alignment horizontal="fill"/>
    </xf>
    <xf numFmtId="41" fontId="40" fillId="0" borderId="0" xfId="0" applyNumberFormat="1" applyFont="1"/>
    <xf numFmtId="4" fontId="46" fillId="0" borderId="0" xfId="0" applyNumberFormat="1" applyFont="1"/>
    <xf numFmtId="3" fontId="41" fillId="0" borderId="0" xfId="0" applyNumberFormat="1" applyFont="1"/>
    <xf numFmtId="4" fontId="41" fillId="0" borderId="0" xfId="0" applyNumberFormat="1" applyFont="1"/>
    <xf numFmtId="3" fontId="41" fillId="0" borderId="5" xfId="0" applyNumberFormat="1" applyFont="1" applyBorder="1"/>
    <xf numFmtId="44" fontId="46" fillId="0" borderId="5" xfId="0" applyNumberFormat="1" applyFont="1" applyBorder="1"/>
    <xf numFmtId="44" fontId="41" fillId="0" borderId="5" xfId="0" applyNumberFormat="1" applyFont="1" applyBorder="1"/>
    <xf numFmtId="0" fontId="47" fillId="2" borderId="0" xfId="0" applyFont="1" applyFill="1" applyAlignment="1">
      <alignment horizontal="left"/>
    </xf>
    <xf numFmtId="176" fontId="0" fillId="2" borderId="0" xfId="160" applyNumberFormat="1" applyFont="1" applyFill="1" applyBorder="1"/>
    <xf numFmtId="177" fontId="0" fillId="2" borderId="0" xfId="161" applyNumberFormat="1" applyFont="1" applyFill="1" applyBorder="1" applyAlignment="1">
      <alignment horizontal="center"/>
    </xf>
    <xf numFmtId="177" fontId="0" fillId="2" borderId="7" xfId="161" applyNumberFormat="1" applyFont="1" applyFill="1" applyBorder="1" applyAlignment="1">
      <alignment horizontal="right"/>
    </xf>
    <xf numFmtId="177" fontId="5" fillId="2" borderId="0" xfId="161" applyNumberFormat="1" applyFont="1" applyFill="1" applyBorder="1" applyAlignment="1">
      <alignment horizontal="center"/>
    </xf>
    <xf numFmtId="176" fontId="5" fillId="2" borderId="0" xfId="160" applyNumberFormat="1" applyFont="1" applyFill="1" applyBorder="1" applyAlignment="1">
      <alignment horizontal="right"/>
    </xf>
    <xf numFmtId="177" fontId="0" fillId="2" borderId="0" xfId="161" applyNumberFormat="1" applyFont="1" applyFill="1" applyBorder="1" applyAlignment="1">
      <alignment horizontal="right"/>
    </xf>
    <xf numFmtId="177" fontId="5" fillId="0" borderId="0" xfId="0" applyNumberFormat="1" applyFont="1"/>
    <xf numFmtId="188" fontId="40" fillId="0" borderId="0" xfId="160" applyNumberFormat="1" applyFont="1" applyFill="1" applyBorder="1" applyAlignment="1">
      <alignment vertical="top"/>
    </xf>
    <xf numFmtId="189" fontId="40" fillId="0" borderId="0" xfId="160" applyNumberFormat="1" applyFont="1" applyFill="1" applyBorder="1" applyAlignment="1">
      <alignment vertical="top"/>
    </xf>
    <xf numFmtId="10" fontId="43" fillId="0" borderId="7" xfId="161" applyNumberFormat="1" applyFont="1" applyFill="1" applyBorder="1"/>
    <xf numFmtId="10" fontId="0" fillId="0" borderId="0" xfId="0" applyNumberFormat="1"/>
    <xf numFmtId="0" fontId="31" fillId="0" borderId="17" xfId="89" applyFont="1" applyBorder="1"/>
    <xf numFmtId="0" fontId="31" fillId="0" borderId="32" xfId="89" applyFont="1" applyBorder="1"/>
    <xf numFmtId="179" fontId="31" fillId="0" borderId="32" xfId="124" applyNumberFormat="1" applyFont="1" applyBorder="1" applyAlignment="1">
      <alignment horizontal="center"/>
    </xf>
    <xf numFmtId="0" fontId="31" fillId="0" borderId="17" xfId="124" applyFont="1" applyBorder="1" applyAlignment="1">
      <alignment horizontal="center"/>
    </xf>
    <xf numFmtId="182" fontId="31" fillId="0" borderId="17" xfId="124" applyNumberFormat="1" applyFont="1" applyBorder="1" applyAlignment="1">
      <alignment horizontal="center"/>
    </xf>
    <xf numFmtId="181" fontId="31" fillId="0" borderId="19" xfId="124" applyNumberFormat="1" applyFont="1" applyBorder="1" applyAlignment="1">
      <alignment horizontal="centerContinuous"/>
    </xf>
    <xf numFmtId="43" fontId="31" fillId="0" borderId="32" xfId="124" applyNumberFormat="1" applyFont="1" applyBorder="1"/>
    <xf numFmtId="44" fontId="31" fillId="0" borderId="9" xfId="31" applyFont="1" applyFill="1" applyBorder="1"/>
    <xf numFmtId="183" fontId="32" fillId="0" borderId="19" xfId="124" applyNumberFormat="1" applyFont="1" applyBorder="1" applyAlignment="1">
      <alignment horizontal="centerContinuous"/>
    </xf>
    <xf numFmtId="183" fontId="32" fillId="0" borderId="11" xfId="124" applyNumberFormat="1" applyFont="1" applyBorder="1" applyAlignment="1">
      <alignment horizontal="centerContinuous"/>
    </xf>
    <xf numFmtId="183" fontId="32" fillId="0" borderId="34" xfId="124" applyNumberFormat="1" applyFont="1" applyBorder="1" applyAlignment="1">
      <alignment horizontal="centerContinuous"/>
    </xf>
    <xf numFmtId="0" fontId="31" fillId="0" borderId="5" xfId="124" applyFont="1" applyBorder="1" applyAlignment="1">
      <alignment horizontal="center" wrapText="1"/>
    </xf>
    <xf numFmtId="182" fontId="31" fillId="0" borderId="17" xfId="124" applyNumberFormat="1" applyFont="1" applyBorder="1" applyAlignment="1">
      <alignment horizontal="center" wrapText="1"/>
    </xf>
    <xf numFmtId="181" fontId="31" fillId="0" borderId="17" xfId="124" applyNumberFormat="1" applyFont="1" applyBorder="1" applyAlignment="1">
      <alignment horizontal="center" wrapText="1"/>
    </xf>
    <xf numFmtId="181" fontId="31" fillId="0" borderId="17" xfId="124" applyNumberFormat="1" applyFont="1" applyBorder="1" applyAlignment="1">
      <alignment horizontal="centerContinuous" wrapText="1"/>
    </xf>
    <xf numFmtId="43" fontId="31" fillId="0" borderId="17" xfId="124" applyNumberFormat="1" applyFont="1" applyBorder="1" applyAlignment="1">
      <alignment horizontal="center" wrapText="1"/>
    </xf>
    <xf numFmtId="0" fontId="31" fillId="0" borderId="35" xfId="124" applyFont="1" applyBorder="1" applyAlignment="1">
      <alignment horizontal="center" wrapText="1"/>
    </xf>
    <xf numFmtId="0" fontId="35" fillId="0" borderId="11" xfId="124" applyFont="1" applyBorder="1" applyAlignment="1">
      <alignment horizontal="center"/>
    </xf>
    <xf numFmtId="183" fontId="35" fillId="0" borderId="11" xfId="124" applyNumberFormat="1" applyFont="1" applyBorder="1" applyAlignment="1">
      <alignment horizontal="center"/>
    </xf>
    <xf numFmtId="183" fontId="35" fillId="0" borderId="34" xfId="124" applyNumberFormat="1" applyFont="1" applyBorder="1" applyAlignment="1">
      <alignment horizontal="center"/>
    </xf>
    <xf numFmtId="43" fontId="31" fillId="0" borderId="11" xfId="17" applyFont="1" applyFill="1" applyBorder="1"/>
    <xf numFmtId="186" fontId="31" fillId="0" borderId="9" xfId="89" applyNumberFormat="1" applyFont="1" applyBorder="1" applyAlignment="1">
      <alignment horizontal="center"/>
    </xf>
    <xf numFmtId="187" fontId="31" fillId="0" borderId="11" xfId="17" applyNumberFormat="1" applyFont="1" applyFill="1" applyBorder="1"/>
    <xf numFmtId="43" fontId="31" fillId="0" borderId="34" xfId="17" applyFont="1" applyFill="1" applyBorder="1"/>
    <xf numFmtId="184" fontId="31" fillId="0" borderId="14" xfId="124" applyNumberFormat="1" applyFont="1" applyBorder="1" applyAlignment="1">
      <alignment horizontal="center"/>
    </xf>
    <xf numFmtId="2" fontId="31" fillId="0" borderId="14" xfId="124" applyNumberFormat="1" applyFont="1" applyBorder="1"/>
    <xf numFmtId="185" fontId="31" fillId="0" borderId="14" xfId="17" applyNumberFormat="1" applyFont="1" applyFill="1" applyBorder="1" applyAlignment="1"/>
    <xf numFmtId="179" fontId="31" fillId="0" borderId="14" xfId="17" applyNumberFormat="1" applyFont="1" applyFill="1" applyBorder="1"/>
    <xf numFmtId="1" fontId="31" fillId="0" borderId="14" xfId="124" applyNumberFormat="1" applyFont="1" applyBorder="1"/>
    <xf numFmtId="10" fontId="31" fillId="0" borderId="14" xfId="124" applyNumberFormat="1" applyFont="1" applyBorder="1"/>
    <xf numFmtId="43" fontId="31" fillId="0" borderId="14" xfId="17" applyFont="1" applyFill="1" applyBorder="1" applyAlignment="1"/>
    <xf numFmtId="187" fontId="31" fillId="0" borderId="14" xfId="17" applyNumberFormat="1" applyFont="1" applyFill="1" applyBorder="1" applyAlignment="1"/>
    <xf numFmtId="43" fontId="31" fillId="0" borderId="37" xfId="17" applyFont="1" applyFill="1" applyBorder="1" applyAlignment="1"/>
    <xf numFmtId="2" fontId="31" fillId="0" borderId="9" xfId="124" applyNumberFormat="1" applyFont="1" applyBorder="1"/>
    <xf numFmtId="185" fontId="31" fillId="0" borderId="32" xfId="17" applyNumberFormat="1" applyFont="1" applyFill="1" applyBorder="1" applyAlignment="1"/>
    <xf numFmtId="179" fontId="31" fillId="0" borderId="9" xfId="17" applyNumberFormat="1" applyFont="1" applyFill="1" applyBorder="1"/>
    <xf numFmtId="1" fontId="31" fillId="0" borderId="9" xfId="124" applyNumberFormat="1" applyFont="1" applyBorder="1"/>
    <xf numFmtId="43" fontId="31" fillId="0" borderId="9" xfId="17" applyFont="1" applyFill="1" applyBorder="1" applyAlignment="1"/>
    <xf numFmtId="187" fontId="31" fillId="0" borderId="9" xfId="17" applyNumberFormat="1" applyFont="1" applyFill="1" applyBorder="1" applyAlignment="1"/>
    <xf numFmtId="43" fontId="31" fillId="0" borderId="38" xfId="17" applyFont="1" applyFill="1" applyBorder="1" applyAlignment="1"/>
    <xf numFmtId="187" fontId="31" fillId="0" borderId="39" xfId="17" applyNumberFormat="1" applyFont="1" applyFill="1" applyBorder="1" applyAlignment="1">
      <alignment horizontal="right"/>
    </xf>
    <xf numFmtId="43" fontId="31" fillId="0" borderId="39" xfId="17" applyFont="1" applyFill="1" applyBorder="1" applyAlignment="1">
      <alignment horizontal="right"/>
    </xf>
    <xf numFmtId="43" fontId="31" fillId="0" borderId="40" xfId="17" applyFont="1" applyFill="1" applyBorder="1" applyAlignment="1">
      <alignment horizontal="right"/>
    </xf>
    <xf numFmtId="185" fontId="49" fillId="0" borderId="0" xfId="159" applyNumberFormat="1" applyFont="1" applyFill="1" applyBorder="1" applyAlignment="1">
      <alignment horizontal="center"/>
    </xf>
    <xf numFmtId="10" fontId="0" fillId="0" borderId="0" xfId="161" applyNumberFormat="1" applyFont="1" applyFill="1" applyBorder="1"/>
    <xf numFmtId="179" fontId="0" fillId="0" borderId="0" xfId="159" applyNumberFormat="1" applyFont="1"/>
    <xf numFmtId="178" fontId="0" fillId="0" borderId="0" xfId="0" applyNumberFormat="1"/>
    <xf numFmtId="191" fontId="0" fillId="0" borderId="0" xfId="0" applyNumberFormat="1"/>
    <xf numFmtId="183" fontId="32" fillId="0" borderId="0" xfId="124" applyNumberFormat="1" applyFont="1" applyAlignment="1">
      <alignment horizontal="centerContinuous"/>
    </xf>
    <xf numFmtId="0" fontId="31" fillId="0" borderId="0" xfId="124" applyFont="1" applyAlignment="1">
      <alignment horizontal="center" wrapText="1"/>
    </xf>
    <xf numFmtId="187" fontId="31" fillId="0" borderId="0" xfId="17" applyNumberFormat="1" applyFont="1" applyFill="1" applyBorder="1"/>
    <xf numFmtId="43" fontId="31" fillId="0" borderId="0" xfId="17" applyFont="1" applyFill="1" applyBorder="1"/>
    <xf numFmtId="187" fontId="31" fillId="0" borderId="0" xfId="17" applyNumberFormat="1" applyFont="1" applyFill="1" applyBorder="1" applyAlignment="1"/>
    <xf numFmtId="183" fontId="31" fillId="0" borderId="0" xfId="17" applyNumberFormat="1" applyFont="1" applyFill="1" applyBorder="1" applyAlignment="1"/>
    <xf numFmtId="43" fontId="31" fillId="0" borderId="0" xfId="17" applyFont="1" applyFill="1" applyBorder="1" applyAlignment="1"/>
    <xf numFmtId="179" fontId="0" fillId="0" borderId="0" xfId="159" applyNumberFormat="1" applyFont="1" applyBorder="1"/>
    <xf numFmtId="2" fontId="0" fillId="0" borderId="0" xfId="0" applyNumberFormat="1" applyAlignment="1">
      <alignment horizontal="right" wrapText="1"/>
    </xf>
    <xf numFmtId="43" fontId="31" fillId="0" borderId="32" xfId="17" applyFont="1" applyFill="1" applyBorder="1" applyAlignment="1">
      <alignment horizontal="right"/>
    </xf>
    <xf numFmtId="4" fontId="51" fillId="0" borderId="0" xfId="0" applyNumberFormat="1" applyFont="1"/>
    <xf numFmtId="2" fontId="38" fillId="0" borderId="0" xfId="0" applyNumberFormat="1" applyFont="1" applyAlignment="1">
      <alignment horizontal="right"/>
    </xf>
    <xf numFmtId="2" fontId="38" fillId="0" borderId="0" xfId="0" applyNumberFormat="1" applyFont="1" applyAlignment="1">
      <alignment horizontal="right" wrapText="1"/>
    </xf>
    <xf numFmtId="0" fontId="36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0" xfId="0" applyAlignment="1">
      <alignment horizontal="right"/>
    </xf>
    <xf numFmtId="0" fontId="6" fillId="0" borderId="0" xfId="0" applyFont="1"/>
    <xf numFmtId="0" fontId="0" fillId="0" borderId="6" xfId="0" applyBorder="1"/>
    <xf numFmtId="0" fontId="0" fillId="0" borderId="8" xfId="0" applyBorder="1"/>
    <xf numFmtId="0" fontId="5" fillId="0" borderId="19" xfId="0" applyFont="1" applyBorder="1" applyAlignment="1">
      <alignment horizontal="centerContinuous" vertical="center" wrapText="1"/>
    </xf>
    <xf numFmtId="0" fontId="5" fillId="0" borderId="11" xfId="0" applyFont="1" applyBorder="1" applyAlignment="1">
      <alignment horizontal="centerContinuous" vertical="center" wrapText="1"/>
    </xf>
    <xf numFmtId="0" fontId="0" fillId="0" borderId="11" xfId="0" applyBorder="1"/>
    <xf numFmtId="0" fontId="5" fillId="0" borderId="20" xfId="0" applyFont="1" applyBorder="1" applyAlignment="1">
      <alignment horizontal="centerContinuous" vertical="center" wrapText="1"/>
    </xf>
    <xf numFmtId="0" fontId="5" fillId="0" borderId="19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36" fillId="0" borderId="1" xfId="0" applyFont="1" applyBorder="1"/>
    <xf numFmtId="0" fontId="36" fillId="0" borderId="2" xfId="0" applyFont="1" applyBorder="1"/>
    <xf numFmtId="0" fontId="36" fillId="0" borderId="3" xfId="0" applyFont="1" applyBorder="1"/>
    <xf numFmtId="0" fontId="36" fillId="0" borderId="4" xfId="0" applyFont="1" applyBorder="1"/>
    <xf numFmtId="0" fontId="43" fillId="0" borderId="0" xfId="0" applyFont="1"/>
    <xf numFmtId="0" fontId="36" fillId="0" borderId="5" xfId="0" applyFont="1" applyBorder="1"/>
    <xf numFmtId="179" fontId="0" fillId="0" borderId="0" xfId="158" applyNumberFormat="1" applyFont="1" applyFill="1"/>
    <xf numFmtId="10" fontId="43" fillId="0" borderId="0" xfId="157" applyNumberFormat="1" applyFont="1" applyFill="1" applyBorder="1"/>
    <xf numFmtId="43" fontId="43" fillId="0" borderId="0" xfId="158" applyFont="1" applyFill="1" applyBorder="1"/>
    <xf numFmtId="0" fontId="36" fillId="0" borderId="6" xfId="0" applyFont="1" applyBorder="1"/>
    <xf numFmtId="0" fontId="36" fillId="0" borderId="7" xfId="0" applyFont="1" applyBorder="1"/>
    <xf numFmtId="10" fontId="43" fillId="0" borderId="7" xfId="157" applyNumberFormat="1" applyFont="1" applyFill="1" applyBorder="1"/>
    <xf numFmtId="0" fontId="36" fillId="0" borderId="8" xfId="0" applyFont="1" applyBorder="1"/>
    <xf numFmtId="0" fontId="0" fillId="0" borderId="11" xfId="0" applyBorder="1" applyAlignment="1">
      <alignment horizontal="centerContinuous" vertical="center" wrapText="1"/>
    </xf>
    <xf numFmtId="0" fontId="0" fillId="0" borderId="20" xfId="0" applyBorder="1" applyAlignment="1">
      <alignment horizontal="centerContinuous" vertical="center" wrapText="1"/>
    </xf>
    <xf numFmtId="0" fontId="0" fillId="0" borderId="0" xfId="0" applyAlignment="1">
      <alignment horizontal="centerContinuous"/>
    </xf>
    <xf numFmtId="0" fontId="0" fillId="0" borderId="0" xfId="0" applyAlignment="1">
      <alignment horizontal="centerContinuous" wrapText="1"/>
    </xf>
    <xf numFmtId="0" fontId="0" fillId="0" borderId="0" xfId="0" applyAlignment="1">
      <alignment wrapText="1"/>
    </xf>
    <xf numFmtId="0" fontId="0" fillId="0" borderId="5" xfId="0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fill"/>
    </xf>
    <xf numFmtId="177" fontId="45" fillId="0" borderId="0" xfId="0" applyNumberFormat="1" applyFont="1"/>
    <xf numFmtId="0" fontId="45" fillId="0" borderId="0" xfId="0" applyFont="1"/>
    <xf numFmtId="177" fontId="0" fillId="0" borderId="0" xfId="0" applyNumberFormat="1" applyAlignment="1">
      <alignment horizontal="centerContinuous"/>
    </xf>
    <xf numFmtId="43" fontId="0" fillId="0" borderId="0" xfId="0" applyNumberFormat="1"/>
    <xf numFmtId="44" fontId="0" fillId="0" borderId="0" xfId="0" applyNumberFormat="1"/>
    <xf numFmtId="3" fontId="0" fillId="0" borderId="0" xfId="0" applyNumberFormat="1"/>
    <xf numFmtId="4" fontId="0" fillId="0" borderId="0" xfId="0" applyNumberFormat="1"/>
    <xf numFmtId="3" fontId="0" fillId="0" borderId="5" xfId="0" applyNumberFormat="1" applyBorder="1"/>
    <xf numFmtId="0" fontId="5" fillId="0" borderId="0" xfId="0" applyFont="1" applyAlignment="1">
      <alignment horizontal="left" indent="5"/>
    </xf>
    <xf numFmtId="0" fontId="0" fillId="0" borderId="7" xfId="0" applyBorder="1"/>
    <xf numFmtId="10" fontId="0" fillId="0" borderId="7" xfId="0" applyNumberFormat="1" applyBorder="1"/>
    <xf numFmtId="44" fontId="6" fillId="0" borderId="0" xfId="0" applyNumberFormat="1" applyFont="1"/>
    <xf numFmtId="2" fontId="43" fillId="0" borderId="0" xfId="0" applyNumberFormat="1" applyFont="1"/>
    <xf numFmtId="190" fontId="40" fillId="0" borderId="0" xfId="0" applyNumberFormat="1" applyFont="1"/>
    <xf numFmtId="10" fontId="43" fillId="0" borderId="0" xfId="161" applyNumberFormat="1" applyFont="1" applyFill="1" applyBorder="1"/>
    <xf numFmtId="43" fontId="43" fillId="0" borderId="0" xfId="159" applyFont="1" applyFill="1" applyBorder="1"/>
    <xf numFmtId="177" fontId="6" fillId="0" borderId="0" xfId="0" applyNumberFormat="1" applyFont="1"/>
    <xf numFmtId="8" fontId="0" fillId="0" borderId="0" xfId="0" applyNumberFormat="1"/>
    <xf numFmtId="192" fontId="6" fillId="0" borderId="0" xfId="159" applyNumberFormat="1" applyFont="1" applyFill="1" applyBorder="1" applyAlignment="1">
      <alignment horizontal="right"/>
    </xf>
    <xf numFmtId="177" fontId="38" fillId="0" borderId="0" xfId="0" applyNumberFormat="1" applyFont="1"/>
    <xf numFmtId="0" fontId="5" fillId="0" borderId="0" xfId="0" applyFont="1" applyAlignment="1">
      <alignment horizontal="center"/>
    </xf>
    <xf numFmtId="175" fontId="0" fillId="2" borderId="0" xfId="160" applyNumberFormat="1" applyFont="1" applyFill="1" applyBorder="1" applyAlignment="1">
      <alignment horizontal="left"/>
    </xf>
    <xf numFmtId="0" fontId="0" fillId="0" borderId="30" xfId="0" applyBorder="1"/>
    <xf numFmtId="177" fontId="5" fillId="2" borderId="21" xfId="161" applyNumberFormat="1" applyFont="1" applyFill="1" applyBorder="1" applyAlignment="1">
      <alignment horizontal="left"/>
    </xf>
    <xf numFmtId="0" fontId="0" fillId="2" borderId="22" xfId="0" applyFill="1" applyBorder="1"/>
    <xf numFmtId="177" fontId="0" fillId="2" borderId="21" xfId="161" applyNumberFormat="1" applyFont="1" applyFill="1" applyBorder="1" applyAlignment="1">
      <alignment horizontal="left"/>
    </xf>
    <xf numFmtId="176" fontId="0" fillId="2" borderId="0" xfId="161" applyNumberFormat="1" applyFont="1" applyFill="1" applyBorder="1" applyAlignment="1">
      <alignment horizontal="right"/>
    </xf>
    <xf numFmtId="0" fontId="5" fillId="0" borderId="21" xfId="0" applyFont="1" applyBorder="1"/>
    <xf numFmtId="177" fontId="0" fillId="2" borderId="0" xfId="161" applyNumberFormat="1" applyFont="1" applyFill="1" applyBorder="1" applyAlignment="1">
      <alignment horizontal="left"/>
    </xf>
    <xf numFmtId="176" fontId="0" fillId="2" borderId="0" xfId="160" applyNumberFormat="1" applyFont="1" applyFill="1" applyBorder="1" applyAlignment="1">
      <alignment horizontal="right"/>
    </xf>
    <xf numFmtId="176" fontId="0" fillId="2" borderId="7" xfId="161" applyNumberFormat="1" applyFont="1" applyFill="1" applyBorder="1" applyAlignment="1">
      <alignment horizontal="right"/>
    </xf>
    <xf numFmtId="41" fontId="5" fillId="0" borderId="57" xfId="0" applyNumberFormat="1" applyFont="1" applyBorder="1"/>
    <xf numFmtId="10" fontId="5" fillId="2" borderId="0" xfId="161" applyNumberFormat="1" applyFont="1" applyFill="1" applyBorder="1" applyAlignment="1">
      <alignment horizontal="right"/>
    </xf>
    <xf numFmtId="0" fontId="5" fillId="0" borderId="0" xfId="0" applyFont="1" applyAlignment="1">
      <alignment horizontal="centerContinuous" vertical="center" wrapText="1"/>
    </xf>
    <xf numFmtId="0" fontId="0" fillId="0" borderId="0" xfId="0" applyAlignment="1">
      <alignment horizontal="centerContinuous" vertical="center" wrapText="1"/>
    </xf>
    <xf numFmtId="0" fontId="20" fillId="0" borderId="0" xfId="0" applyFont="1" applyAlignment="1">
      <alignment horizontal="centerContinuous" vertical="center" wrapText="1"/>
    </xf>
    <xf numFmtId="0" fontId="0" fillId="0" borderId="0" xfId="0" applyAlignment="1">
      <alignment horizontal="center" wrapText="1"/>
    </xf>
    <xf numFmtId="0" fontId="50" fillId="0" borderId="0" xfId="0" applyFont="1" applyAlignment="1">
      <alignment horizontal="center"/>
    </xf>
    <xf numFmtId="14" fontId="39" fillId="0" borderId="0" xfId="0" applyNumberFormat="1" applyFont="1" applyAlignment="1">
      <alignment horizontal="center"/>
    </xf>
    <xf numFmtId="14" fontId="0" fillId="0" borderId="0" xfId="0" applyNumberFormat="1" applyAlignment="1">
      <alignment horizontal="center"/>
    </xf>
    <xf numFmtId="2" fontId="38" fillId="0" borderId="0" xfId="0" applyNumberFormat="1" applyFont="1"/>
    <xf numFmtId="10" fontId="0" fillId="0" borderId="0" xfId="157" applyNumberFormat="1" applyFont="1" applyFill="1" applyBorder="1"/>
    <xf numFmtId="0" fontId="0" fillId="0" borderId="0" xfId="0" applyAlignment="1">
      <alignment horizontal="left" vertical="top"/>
    </xf>
    <xf numFmtId="0" fontId="0" fillId="0" borderId="17" xfId="0" applyBorder="1"/>
    <xf numFmtId="0" fontId="31" fillId="0" borderId="3" xfId="124" applyFont="1" applyBorder="1" applyAlignment="1">
      <alignment horizontal="center" wrapText="1"/>
    </xf>
    <xf numFmtId="186" fontId="31" fillId="0" borderId="20" xfId="89" applyNumberFormat="1" applyFont="1" applyBorder="1" applyAlignment="1">
      <alignment horizontal="center"/>
    </xf>
    <xf numFmtId="43" fontId="31" fillId="0" borderId="8" xfId="17" applyFont="1" applyFill="1" applyBorder="1" applyAlignment="1"/>
    <xf numFmtId="43" fontId="31" fillId="0" borderId="20" xfId="17" applyFont="1" applyFill="1" applyBorder="1" applyAlignment="1"/>
    <xf numFmtId="43" fontId="31" fillId="0" borderId="3" xfId="17" applyFont="1" applyFill="1" applyBorder="1" applyAlignment="1">
      <alignment horizontal="right"/>
    </xf>
    <xf numFmtId="0" fontId="31" fillId="0" borderId="32" xfId="124" applyFont="1" applyBorder="1" applyAlignment="1">
      <alignment horizontal="centerContinuous"/>
    </xf>
    <xf numFmtId="0" fontId="32" fillId="0" borderId="19" xfId="124" applyFont="1" applyBorder="1" applyAlignment="1">
      <alignment horizontal="centerContinuous"/>
    </xf>
    <xf numFmtId="0" fontId="31" fillId="0" borderId="11" xfId="124" applyFont="1" applyBorder="1" applyAlignment="1">
      <alignment horizontal="centerContinuous"/>
    </xf>
    <xf numFmtId="179" fontId="31" fillId="0" borderId="11" xfId="124" applyNumberFormat="1" applyFont="1" applyBorder="1" applyAlignment="1">
      <alignment horizontal="centerContinuous"/>
    </xf>
    <xf numFmtId="181" fontId="31" fillId="0" borderId="2" xfId="124" applyNumberFormat="1" applyFont="1" applyBorder="1" applyAlignment="1">
      <alignment horizontal="centerContinuous"/>
    </xf>
    <xf numFmtId="181" fontId="31" fillId="0" borderId="3" xfId="124" applyNumberFormat="1" applyFont="1" applyBorder="1" applyAlignment="1">
      <alignment horizontal="centerContinuous"/>
    </xf>
    <xf numFmtId="0" fontId="32" fillId="0" borderId="6" xfId="89" applyFont="1" applyBorder="1" applyAlignment="1">
      <alignment horizontal="left" indent="1"/>
    </xf>
    <xf numFmtId="0" fontId="31" fillId="0" borderId="6" xfId="124" applyFont="1" applyBorder="1" applyAlignment="1">
      <alignment horizontal="left"/>
    </xf>
    <xf numFmtId="0" fontId="31" fillId="0" borderId="5" xfId="89" applyFont="1" applyBorder="1"/>
    <xf numFmtId="0" fontId="31" fillId="0" borderId="4" xfId="124" applyFont="1" applyBorder="1" applyAlignment="1">
      <alignment horizontal="center"/>
    </xf>
    <xf numFmtId="0" fontId="31" fillId="0" borderId="1" xfId="124" applyFont="1" applyBorder="1" applyAlignment="1">
      <alignment horizontal="left"/>
    </xf>
    <xf numFmtId="0" fontId="31" fillId="0" borderId="6" xfId="89" applyFont="1" applyBorder="1" applyAlignment="1">
      <alignment horizontal="left" indent="1"/>
    </xf>
    <xf numFmtId="0" fontId="31" fillId="0" borderId="4" xfId="89" applyFont="1" applyBorder="1" applyAlignment="1">
      <alignment horizontal="left" indent="1"/>
    </xf>
    <xf numFmtId="184" fontId="31" fillId="0" borderId="32" xfId="124" applyNumberFormat="1" applyFont="1" applyBorder="1" applyAlignment="1">
      <alignment horizontal="center"/>
    </xf>
    <xf numFmtId="1" fontId="31" fillId="0" borderId="32" xfId="89" applyNumberFormat="1" applyFont="1" applyBorder="1"/>
    <xf numFmtId="185" fontId="31" fillId="0" borderId="32" xfId="17" applyNumberFormat="1" applyFont="1" applyFill="1" applyBorder="1" applyAlignment="1">
      <alignment horizontal="right"/>
    </xf>
    <xf numFmtId="179" fontId="31" fillId="0" borderId="32" xfId="17" applyNumberFormat="1" applyFont="1" applyFill="1" applyBorder="1" applyAlignment="1">
      <alignment horizontal="right"/>
    </xf>
    <xf numFmtId="10" fontId="31" fillId="0" borderId="32" xfId="124" applyNumberFormat="1" applyFont="1" applyBorder="1"/>
    <xf numFmtId="0" fontId="31" fillId="0" borderId="36" xfId="89" applyFont="1" applyBorder="1"/>
    <xf numFmtId="185" fontId="31" fillId="17" borderId="9" xfId="17" applyNumberFormat="1" applyFont="1" applyFill="1" applyBorder="1" applyAlignment="1"/>
    <xf numFmtId="0" fontId="31" fillId="0" borderId="59" xfId="89" applyFont="1" applyBorder="1"/>
    <xf numFmtId="0" fontId="52" fillId="0" borderId="25" xfId="0" applyFont="1" applyBorder="1" applyAlignment="1">
      <alignment horizontal="right"/>
    </xf>
    <xf numFmtId="0" fontId="52" fillId="0" borderId="28" xfId="0" applyFont="1" applyBorder="1" applyAlignment="1">
      <alignment horizontal="right"/>
    </xf>
    <xf numFmtId="0" fontId="5" fillId="2" borderId="0" xfId="0" applyFont="1" applyFill="1" applyAlignment="1">
      <alignment horizontal="left"/>
    </xf>
    <xf numFmtId="177" fontId="0" fillId="2" borderId="7" xfId="16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47" fillId="2" borderId="7" xfId="0" applyFont="1" applyFill="1" applyBorder="1" applyAlignment="1">
      <alignment horizontal="left"/>
    </xf>
    <xf numFmtId="0" fontId="5" fillId="2" borderId="2" xfId="0" applyFont="1" applyFill="1" applyBorder="1"/>
    <xf numFmtId="0" fontId="5" fillId="2" borderId="56" xfId="0" applyFont="1" applyFill="1" applyBorder="1"/>
    <xf numFmtId="0" fontId="0" fillId="0" borderId="23" xfId="0" applyBorder="1"/>
    <xf numFmtId="0" fontId="84" fillId="0" borderId="0" xfId="0" applyFont="1" applyAlignment="1">
      <alignment horizontal="right" vertical="top"/>
    </xf>
    <xf numFmtId="200" fontId="41" fillId="55" borderId="0" xfId="0" applyNumberFormat="1" applyFont="1" applyFill="1" applyAlignment="1">
      <alignment vertical="top"/>
    </xf>
    <xf numFmtId="184" fontId="41" fillId="55" borderId="0" xfId="0" applyNumberFormat="1" applyFont="1" applyFill="1" applyAlignment="1">
      <alignment vertical="top"/>
    </xf>
    <xf numFmtId="0" fontId="41" fillId="55" borderId="0" xfId="0" applyFont="1" applyFill="1" applyAlignment="1">
      <alignment vertical="top"/>
    </xf>
    <xf numFmtId="41" fontId="41" fillId="55" borderId="0" xfId="0" applyNumberFormat="1" applyFont="1" applyFill="1" applyAlignment="1">
      <alignment vertical="top"/>
    </xf>
    <xf numFmtId="10" fontId="41" fillId="55" borderId="0" xfId="0" applyNumberFormat="1" applyFont="1" applyFill="1" applyAlignment="1">
      <alignment horizontal="right" vertical="top"/>
    </xf>
    <xf numFmtId="1" fontId="41" fillId="54" borderId="0" xfId="0" applyNumberFormat="1" applyFont="1" applyFill="1"/>
    <xf numFmtId="1" fontId="41" fillId="55" borderId="0" xfId="0" applyNumberFormat="1" applyFont="1" applyFill="1"/>
    <xf numFmtId="10" fontId="41" fillId="54" borderId="0" xfId="161" applyNumberFormat="1" applyFont="1" applyFill="1" applyBorder="1"/>
    <xf numFmtId="10" fontId="41" fillId="55" borderId="0" xfId="161" applyNumberFormat="1" applyFont="1" applyFill="1" applyBorder="1"/>
    <xf numFmtId="41" fontId="41" fillId="54" borderId="0" xfId="0" applyNumberFormat="1" applyFont="1" applyFill="1"/>
    <xf numFmtId="0" fontId="36" fillId="17" borderId="0" xfId="0" applyFont="1" applyFill="1"/>
    <xf numFmtId="0" fontId="36" fillId="55" borderId="0" xfId="0" applyFont="1" applyFill="1"/>
    <xf numFmtId="177" fontId="85" fillId="57" borderId="0" xfId="0" applyNumberFormat="1" applyFont="1" applyFill="1"/>
    <xf numFmtId="7" fontId="86" fillId="56" borderId="0" xfId="0" applyNumberFormat="1" applyFont="1" applyFill="1"/>
    <xf numFmtId="7" fontId="86" fillId="57" borderId="0" xfId="0" applyNumberFormat="1" applyFont="1" applyFill="1"/>
    <xf numFmtId="8" fontId="0" fillId="0" borderId="0" xfId="159" applyNumberFormat="1" applyFont="1" applyFill="1" applyBorder="1"/>
    <xf numFmtId="0" fontId="0" fillId="55" borderId="0" xfId="0" applyFill="1"/>
    <xf numFmtId="0" fontId="5" fillId="55" borderId="19" xfId="0" applyFont="1" applyFill="1" applyBorder="1" applyAlignment="1">
      <alignment horizontal="left" vertical="center"/>
    </xf>
    <xf numFmtId="0" fontId="5" fillId="55" borderId="11" xfId="0" applyFont="1" applyFill="1" applyBorder="1" applyAlignment="1">
      <alignment horizontal="left" vertical="center"/>
    </xf>
    <xf numFmtId="0" fontId="5" fillId="55" borderId="20" xfId="0" applyFont="1" applyFill="1" applyBorder="1" applyAlignment="1">
      <alignment horizontal="left" vertical="center"/>
    </xf>
    <xf numFmtId="3" fontId="40" fillId="55" borderId="0" xfId="0" applyNumberFormat="1" applyFont="1" applyFill="1"/>
    <xf numFmtId="188" fontId="40" fillId="55" borderId="0" xfId="156" applyNumberFormat="1" applyFont="1" applyFill="1" applyBorder="1" applyAlignment="1">
      <alignment vertical="top"/>
    </xf>
    <xf numFmtId="184" fontId="40" fillId="55" borderId="0" xfId="0" applyNumberFormat="1" applyFont="1" applyFill="1" applyAlignment="1">
      <alignment vertical="top"/>
    </xf>
    <xf numFmtId="0" fontId="40" fillId="55" borderId="0" xfId="0" applyFont="1" applyFill="1"/>
    <xf numFmtId="9" fontId="40" fillId="55" borderId="0" xfId="0" applyNumberFormat="1" applyFont="1" applyFill="1" applyAlignment="1">
      <alignment vertical="top"/>
    </xf>
    <xf numFmtId="189" fontId="40" fillId="55" borderId="0" xfId="156" applyNumberFormat="1" applyFont="1" applyFill="1" applyBorder="1" applyAlignment="1">
      <alignment vertical="top"/>
    </xf>
    <xf numFmtId="10" fontId="40" fillId="55" borderId="0" xfId="0" applyNumberFormat="1" applyFont="1" applyFill="1" applyAlignment="1">
      <alignment vertical="top"/>
    </xf>
    <xf numFmtId="184" fontId="40" fillId="55" borderId="0" xfId="0" applyNumberFormat="1" applyFont="1" applyFill="1"/>
    <xf numFmtId="0" fontId="44" fillId="55" borderId="5" xfId="0" applyFont="1" applyFill="1" applyBorder="1" applyAlignment="1">
      <alignment vertical="top"/>
    </xf>
    <xf numFmtId="1" fontId="41" fillId="54" borderId="4" xfId="0" applyNumberFormat="1" applyFont="1" applyFill="1" applyBorder="1"/>
    <xf numFmtId="1" fontId="41" fillId="55" borderId="4" xfId="0" applyNumberFormat="1" applyFont="1" applyFill="1" applyBorder="1"/>
    <xf numFmtId="0" fontId="5" fillId="55" borderId="0" xfId="0" applyFont="1" applyFill="1"/>
    <xf numFmtId="0" fontId="50" fillId="55" borderId="0" xfId="0" applyFont="1" applyFill="1" applyAlignment="1">
      <alignment horizontal="center"/>
    </xf>
    <xf numFmtId="192" fontId="6" fillId="55" borderId="0" xfId="159" applyNumberFormat="1" applyFont="1" applyFill="1" applyBorder="1" applyAlignment="1">
      <alignment horizontal="right"/>
    </xf>
    <xf numFmtId="201" fontId="41" fillId="55" borderId="0" xfId="160" applyNumberFormat="1" applyFont="1" applyFill="1" applyBorder="1" applyAlignment="1">
      <alignment vertical="top"/>
    </xf>
    <xf numFmtId="1" fontId="41" fillId="54" borderId="4" xfId="0" applyNumberFormat="1" applyFont="1" applyFill="1" applyBorder="1" applyAlignment="1">
      <alignment horizontal="center"/>
    </xf>
    <xf numFmtId="1" fontId="41" fillId="55" borderId="4" xfId="0" applyNumberFormat="1" applyFont="1" applyFill="1" applyBorder="1" applyAlignment="1">
      <alignment horizontal="center"/>
    </xf>
    <xf numFmtId="0" fontId="87" fillId="57" borderId="19" xfId="0" applyFont="1" applyFill="1" applyBorder="1" applyAlignment="1">
      <alignment horizontal="left" vertical="center"/>
    </xf>
    <xf numFmtId="0" fontId="87" fillId="57" borderId="11" xfId="0" applyFont="1" applyFill="1" applyBorder="1" applyAlignment="1">
      <alignment horizontal="left" vertical="center"/>
    </xf>
    <xf numFmtId="0" fontId="87" fillId="57" borderId="20" xfId="0" applyFont="1" applyFill="1" applyBorder="1" applyAlignment="1">
      <alignment horizontal="left" vertical="center"/>
    </xf>
    <xf numFmtId="0" fontId="90" fillId="57" borderId="4" xfId="0" applyFont="1" applyFill="1" applyBorder="1" applyAlignment="1">
      <alignment vertical="top"/>
    </xf>
    <xf numFmtId="0" fontId="88" fillId="57" borderId="0" xfId="0" applyFont="1" applyFill="1" applyAlignment="1">
      <alignment vertical="top"/>
    </xf>
    <xf numFmtId="0" fontId="86" fillId="57" borderId="0" xfId="0" applyFont="1" applyFill="1" applyAlignment="1">
      <alignment vertical="top"/>
    </xf>
    <xf numFmtId="0" fontId="88" fillId="57" borderId="0" xfId="0" applyFont="1" applyFill="1" applyAlignment="1">
      <alignment horizontal="right" vertical="top"/>
    </xf>
    <xf numFmtId="0" fontId="91" fillId="57" borderId="0" xfId="0" applyFont="1" applyFill="1" applyAlignment="1">
      <alignment horizontal="right" vertical="top"/>
    </xf>
    <xf numFmtId="0" fontId="91" fillId="57" borderId="0" xfId="0" applyFont="1" applyFill="1" applyAlignment="1">
      <alignment vertical="top"/>
    </xf>
    <xf numFmtId="0" fontId="0" fillId="57" borderId="0" xfId="0" applyFill="1"/>
    <xf numFmtId="0" fontId="0" fillId="57" borderId="5" xfId="0" applyFill="1" applyBorder="1"/>
    <xf numFmtId="188" fontId="88" fillId="57" borderId="0" xfId="156" applyNumberFormat="1" applyFont="1" applyFill="1" applyBorder="1" applyAlignment="1">
      <alignment vertical="top"/>
    </xf>
    <xf numFmtId="189" fontId="88" fillId="57" borderId="0" xfId="156" applyNumberFormat="1" applyFont="1" applyFill="1" applyBorder="1" applyAlignment="1">
      <alignment vertical="top"/>
    </xf>
    <xf numFmtId="0" fontId="91" fillId="57" borderId="5" xfId="0" applyFont="1" applyFill="1" applyBorder="1" applyAlignment="1">
      <alignment vertical="top"/>
    </xf>
    <xf numFmtId="4" fontId="41" fillId="55" borderId="9" xfId="0" applyNumberFormat="1" applyFont="1" applyFill="1" applyBorder="1"/>
    <xf numFmtId="0" fontId="8" fillId="0" borderId="0" xfId="89" applyFont="1" applyAlignment="1">
      <alignment horizontal="right"/>
    </xf>
    <xf numFmtId="184" fontId="31" fillId="0" borderId="39" xfId="124" applyNumberFormat="1" applyFont="1" applyBorder="1" applyAlignment="1">
      <alignment horizontal="center"/>
    </xf>
    <xf numFmtId="0" fontId="31" fillId="0" borderId="39" xfId="89" applyFont="1" applyBorder="1"/>
    <xf numFmtId="179" fontId="31" fillId="0" borderId="39" xfId="17" applyNumberFormat="1" applyFont="1" applyFill="1" applyBorder="1" applyAlignment="1">
      <alignment horizontal="right"/>
    </xf>
    <xf numFmtId="179" fontId="31" fillId="17" borderId="14" xfId="17" applyNumberFormat="1" applyFont="1" applyFill="1" applyBorder="1" applyAlignment="1"/>
    <xf numFmtId="179" fontId="31" fillId="17" borderId="14" xfId="17" applyNumberFormat="1" applyFont="1" applyFill="1" applyBorder="1"/>
    <xf numFmtId="193" fontId="31" fillId="17" borderId="14" xfId="124" applyNumberFormat="1" applyFont="1" applyFill="1" applyBorder="1"/>
    <xf numFmtId="43" fontId="31" fillId="17" borderId="14" xfId="17" applyFont="1" applyFill="1" applyBorder="1" applyAlignment="1">
      <alignment horizontal="right"/>
    </xf>
    <xf numFmtId="179" fontId="31" fillId="17" borderId="9" xfId="17" applyNumberFormat="1" applyFont="1" applyFill="1" applyBorder="1"/>
    <xf numFmtId="43" fontId="31" fillId="17" borderId="9" xfId="17" applyFont="1" applyFill="1" applyBorder="1" applyAlignment="1">
      <alignment horizontal="right"/>
    </xf>
    <xf numFmtId="43" fontId="31" fillId="17" borderId="39" xfId="17" applyFont="1" applyFill="1" applyBorder="1" applyAlignment="1">
      <alignment horizontal="right"/>
    </xf>
    <xf numFmtId="40" fontId="0" fillId="55" borderId="0" xfId="0" applyNumberFormat="1" applyFill="1"/>
    <xf numFmtId="8" fontId="40" fillId="0" borderId="0" xfId="0" applyNumberFormat="1" applyFont="1"/>
    <xf numFmtId="3" fontId="41" fillId="55" borderId="9" xfId="0" applyNumberFormat="1" applyFont="1" applyFill="1" applyBorder="1"/>
    <xf numFmtId="37" fontId="41" fillId="55" borderId="0" xfId="0" applyNumberFormat="1" applyFont="1" applyFill="1"/>
    <xf numFmtId="1" fontId="31" fillId="0" borderId="14" xfId="89" applyNumberFormat="1" applyFont="1" applyBorder="1"/>
    <xf numFmtId="193" fontId="31" fillId="0" borderId="14" xfId="124" applyNumberFormat="1" applyFont="1" applyBorder="1"/>
    <xf numFmtId="0" fontId="84" fillId="55" borderId="4" xfId="0" applyFont="1" applyFill="1" applyBorder="1" applyAlignment="1">
      <alignment vertical="top"/>
    </xf>
    <xf numFmtId="0" fontId="40" fillId="55" borderId="0" xfId="0" applyFont="1" applyFill="1" applyAlignment="1">
      <alignment vertical="top"/>
    </xf>
    <xf numFmtId="177" fontId="86" fillId="57" borderId="0" xfId="0" applyNumberFormat="1" applyFont="1" applyFill="1"/>
    <xf numFmtId="177" fontId="86" fillId="56" borderId="0" xfId="0" applyNumberFormat="1" applyFont="1" applyFill="1"/>
    <xf numFmtId="0" fontId="31" fillId="0" borderId="61" xfId="89" applyFont="1" applyBorder="1"/>
    <xf numFmtId="0" fontId="0" fillId="54" borderId="0" xfId="0" applyFill="1" applyAlignment="1">
      <alignment horizontal="left" indent="1"/>
    </xf>
    <xf numFmtId="0" fontId="30" fillId="54" borderId="25" xfId="0" applyFont="1" applyFill="1" applyBorder="1" applyAlignment="1">
      <alignment horizontal="right"/>
    </xf>
    <xf numFmtId="0" fontId="0" fillId="54" borderId="0" xfId="0" applyFill="1"/>
    <xf numFmtId="0" fontId="30" fillId="54" borderId="0" xfId="0" applyFont="1" applyFill="1" applyAlignment="1">
      <alignment horizontal="right"/>
    </xf>
    <xf numFmtId="175" fontId="0" fillId="54" borderId="0" xfId="160" applyNumberFormat="1" applyFont="1" applyFill="1" applyBorder="1" applyAlignment="1">
      <alignment horizontal="left"/>
    </xf>
    <xf numFmtId="176" fontId="0" fillId="54" borderId="0" xfId="160" applyNumberFormat="1" applyFont="1" applyFill="1" applyBorder="1"/>
    <xf numFmtId="175" fontId="5" fillId="2" borderId="24" xfId="160" applyNumberFormat="1" applyFont="1" applyFill="1" applyBorder="1" applyAlignment="1">
      <alignment horizontal="left"/>
    </xf>
    <xf numFmtId="175" fontId="0" fillId="2" borderId="24" xfId="160" applyNumberFormat="1" applyFont="1" applyFill="1" applyBorder="1" applyAlignment="1">
      <alignment horizontal="left"/>
    </xf>
    <xf numFmtId="176" fontId="5" fillId="2" borderId="58" xfId="0" applyNumberFormat="1" applyFont="1" applyFill="1" applyBorder="1"/>
    <xf numFmtId="0" fontId="0" fillId="2" borderId="30" xfId="0" applyFill="1" applyBorder="1"/>
    <xf numFmtId="176" fontId="5" fillId="2" borderId="2" xfId="160" applyNumberFormat="1" applyFont="1" applyFill="1" applyBorder="1" applyAlignment="1">
      <alignment horizontal="right"/>
    </xf>
    <xf numFmtId="175" fontId="4" fillId="2" borderId="24" xfId="160" applyNumberFormat="1" applyFont="1" applyFill="1" applyBorder="1" applyAlignment="1">
      <alignment horizontal="left"/>
    </xf>
    <xf numFmtId="0" fontId="5" fillId="2" borderId="21" xfId="0" applyFont="1" applyFill="1" applyBorder="1" applyAlignment="1">
      <alignment horizontal="left"/>
    </xf>
    <xf numFmtId="0" fontId="5" fillId="2" borderId="30" xfId="0" applyFont="1" applyFill="1" applyBorder="1"/>
    <xf numFmtId="0" fontId="88" fillId="0" borderId="4" xfId="0" applyFont="1" applyBorder="1"/>
    <xf numFmtId="0" fontId="88" fillId="0" borderId="0" xfId="0" applyFont="1"/>
    <xf numFmtId="0" fontId="86" fillId="0" borderId="0" xfId="0" applyFont="1"/>
    <xf numFmtId="0" fontId="89" fillId="0" borderId="0" xfId="0" applyFont="1"/>
    <xf numFmtId="0" fontId="89" fillId="0" borderId="5" xfId="0" applyFont="1" applyBorder="1"/>
    <xf numFmtId="0" fontId="88" fillId="0" borderId="5" xfId="0" applyFont="1" applyBorder="1"/>
    <xf numFmtId="202" fontId="41" fillId="55" borderId="0" xfId="0" applyNumberFormat="1" applyFont="1" applyFill="1" applyAlignment="1">
      <alignment vertical="top"/>
    </xf>
    <xf numFmtId="1" fontId="40" fillId="0" borderId="0" xfId="0" applyNumberFormat="1" applyFont="1"/>
    <xf numFmtId="0" fontId="88" fillId="0" borderId="4" xfId="0" applyFont="1" applyBorder="1" applyAlignment="1">
      <alignment vertical="top"/>
    </xf>
    <xf numFmtId="0" fontId="88" fillId="0" borderId="0" xfId="0" applyFont="1" applyAlignment="1">
      <alignment vertical="top"/>
    </xf>
    <xf numFmtId="3" fontId="40" fillId="17" borderId="0" xfId="0" applyNumberFormat="1" applyFont="1" applyFill="1"/>
    <xf numFmtId="0" fontId="91" fillId="0" borderId="0" xfId="0" applyFont="1" applyAlignment="1">
      <alignment vertical="top"/>
    </xf>
    <xf numFmtId="0" fontId="86" fillId="0" borderId="0" xfId="0" applyFont="1" applyAlignment="1">
      <alignment vertical="top"/>
    </xf>
    <xf numFmtId="0" fontId="86" fillId="0" borderId="5" xfId="0" applyFont="1" applyBorder="1" applyAlignment="1">
      <alignment vertical="top"/>
    </xf>
    <xf numFmtId="0" fontId="88" fillId="57" borderId="0" xfId="0" applyFont="1" applyFill="1"/>
    <xf numFmtId="184" fontId="88" fillId="57" borderId="0" xfId="0" applyNumberFormat="1" applyFont="1" applyFill="1" applyAlignment="1">
      <alignment vertical="top"/>
    </xf>
    <xf numFmtId="0" fontId="86" fillId="0" borderId="5" xfId="0" applyFont="1" applyBorder="1"/>
    <xf numFmtId="9" fontId="88" fillId="57" borderId="0" xfId="0" applyNumberFormat="1" applyFont="1" applyFill="1" applyAlignment="1">
      <alignment vertical="top"/>
    </xf>
    <xf numFmtId="3" fontId="88" fillId="57" borderId="0" xfId="0" applyNumberFormat="1" applyFont="1" applyFill="1"/>
    <xf numFmtId="10" fontId="88" fillId="57" borderId="0" xfId="0" applyNumberFormat="1" applyFont="1" applyFill="1" applyAlignment="1">
      <alignment vertical="top"/>
    </xf>
    <xf numFmtId="184" fontId="88" fillId="57" borderId="0" xfId="0" applyNumberFormat="1" applyFont="1" applyFill="1"/>
    <xf numFmtId="0" fontId="91" fillId="0" borderId="5" xfId="0" applyFont="1" applyBorder="1" applyAlignment="1">
      <alignment vertical="top"/>
    </xf>
    <xf numFmtId="10" fontId="41" fillId="55" borderId="0" xfId="0" applyNumberFormat="1" applyFont="1" applyFill="1" applyAlignment="1">
      <alignment vertical="top"/>
    </xf>
    <xf numFmtId="0" fontId="88" fillId="0" borderId="6" xfId="0" applyFont="1" applyBorder="1" applyAlignment="1">
      <alignment vertical="top"/>
    </xf>
    <xf numFmtId="0" fontId="88" fillId="0" borderId="7" xfId="0" applyFont="1" applyBorder="1" applyAlignment="1">
      <alignment vertical="top"/>
    </xf>
    <xf numFmtId="0" fontId="86" fillId="0" borderId="8" xfId="0" applyFont="1" applyBorder="1" applyAlignment="1">
      <alignment vertical="top"/>
    </xf>
    <xf numFmtId="0" fontId="88" fillId="0" borderId="8" xfId="0" applyFont="1" applyBorder="1" applyAlignment="1">
      <alignment vertical="top"/>
    </xf>
    <xf numFmtId="177" fontId="51" fillId="54" borderId="0" xfId="0" applyNumberFormat="1" applyFont="1" applyFill="1"/>
    <xf numFmtId="177" fontId="41" fillId="54" borderId="0" xfId="0" applyNumberFormat="1" applyFont="1" applyFill="1"/>
    <xf numFmtId="177" fontId="41" fillId="55" borderId="0" xfId="0" applyNumberFormat="1" applyFont="1" applyFill="1"/>
    <xf numFmtId="177" fontId="41" fillId="0" borderId="0" xfId="0" applyNumberFormat="1" applyFont="1"/>
    <xf numFmtId="8" fontId="41" fillId="0" borderId="0" xfId="0" applyNumberFormat="1" applyFont="1"/>
    <xf numFmtId="41" fontId="41" fillId="0" borderId="0" xfId="0" applyNumberFormat="1" applyFont="1"/>
    <xf numFmtId="7" fontId="0" fillId="0" borderId="0" xfId="0" applyNumberFormat="1"/>
    <xf numFmtId="37" fontId="51" fillId="55" borderId="0" xfId="0" applyNumberFormat="1" applyFont="1" applyFill="1"/>
    <xf numFmtId="177" fontId="51" fillId="55" borderId="0" xfId="0" applyNumberFormat="1" applyFont="1" applyFill="1"/>
    <xf numFmtId="0" fontId="92" fillId="0" borderId="0" xfId="0" applyFont="1"/>
    <xf numFmtId="0" fontId="93" fillId="54" borderId="9" xfId="0" applyFont="1" applyFill="1" applyBorder="1"/>
    <xf numFmtId="0" fontId="5" fillId="54" borderId="9" xfId="0" applyFont="1" applyFill="1" applyBorder="1" applyAlignment="1">
      <alignment wrapText="1"/>
    </xf>
    <xf numFmtId="0" fontId="5" fillId="54" borderId="9" xfId="0" applyFont="1" applyFill="1" applyBorder="1"/>
    <xf numFmtId="10" fontId="43" fillId="0" borderId="0" xfId="0" applyNumberFormat="1" applyFont="1"/>
    <xf numFmtId="0" fontId="36" fillId="59" borderId="0" xfId="0" applyFont="1" applyFill="1"/>
    <xf numFmtId="0" fontId="0" fillId="59" borderId="0" xfId="0" applyFill="1"/>
    <xf numFmtId="0" fontId="20" fillId="59" borderId="0" xfId="0" applyFont="1" applyFill="1" applyAlignment="1">
      <alignment horizontal="centerContinuous" vertical="center" wrapText="1"/>
    </xf>
    <xf numFmtId="0" fontId="0" fillId="59" borderId="0" xfId="0" applyFill="1" applyAlignment="1">
      <alignment horizontal="center"/>
    </xf>
    <xf numFmtId="0" fontId="0" fillId="59" borderId="0" xfId="0" applyFill="1" applyAlignment="1">
      <alignment horizontal="right"/>
    </xf>
    <xf numFmtId="0" fontId="97" fillId="0" borderId="0" xfId="0" applyFont="1"/>
    <xf numFmtId="0" fontId="0" fillId="59" borderId="0" xfId="0" applyFill="1" applyAlignment="1">
      <alignment horizontal="centerContinuous" vertical="center" wrapText="1"/>
    </xf>
    <xf numFmtId="0" fontId="0" fillId="59" borderId="0" xfId="0" applyFill="1" applyAlignment="1">
      <alignment horizontal="center" wrapText="1"/>
    </xf>
    <xf numFmtId="2" fontId="0" fillId="59" borderId="0" xfId="0" applyNumberFormat="1" applyFill="1" applyAlignment="1">
      <alignment horizontal="right" wrapText="1"/>
    </xf>
    <xf numFmtId="177" fontId="0" fillId="59" borderId="0" xfId="0" applyNumberFormat="1" applyFill="1"/>
    <xf numFmtId="10" fontId="0" fillId="59" borderId="0" xfId="0" applyNumberFormat="1" applyFill="1"/>
    <xf numFmtId="0" fontId="43" fillId="59" borderId="0" xfId="0" applyFont="1" applyFill="1"/>
    <xf numFmtId="193" fontId="43" fillId="59" borderId="0" xfId="161" applyNumberFormat="1" applyFont="1" applyFill="1"/>
    <xf numFmtId="0" fontId="32" fillId="0" borderId="0" xfId="89" applyFont="1"/>
    <xf numFmtId="0" fontId="31" fillId="0" borderId="62" xfId="124" applyFont="1" applyBorder="1" applyAlignment="1">
      <alignment horizontal="centerContinuous"/>
    </xf>
    <xf numFmtId="0" fontId="32" fillId="0" borderId="63" xfId="124" applyFont="1" applyBorder="1" applyAlignment="1">
      <alignment horizontal="centerContinuous"/>
    </xf>
    <xf numFmtId="0" fontId="31" fillId="0" borderId="64" xfId="124" applyFont="1" applyBorder="1" applyAlignment="1">
      <alignment horizontal="centerContinuous"/>
    </xf>
    <xf numFmtId="179" fontId="31" fillId="0" borderId="64" xfId="124" applyNumberFormat="1" applyFont="1" applyBorder="1" applyAlignment="1">
      <alignment horizontal="centerContinuous"/>
    </xf>
    <xf numFmtId="0" fontId="32" fillId="0" borderId="65" xfId="124" applyFont="1" applyBorder="1" applyAlignment="1">
      <alignment horizontal="centerContinuous"/>
    </xf>
    <xf numFmtId="0" fontId="31" fillId="0" borderId="65" xfId="124" applyFont="1" applyBorder="1" applyAlignment="1">
      <alignment horizontal="centerContinuous"/>
    </xf>
    <xf numFmtId="181" fontId="32" fillId="0" borderId="65" xfId="124" applyNumberFormat="1" applyFont="1" applyBorder="1" applyAlignment="1">
      <alignment horizontal="centerContinuous"/>
    </xf>
    <xf numFmtId="181" fontId="31" fillId="0" borderId="66" xfId="124" applyNumberFormat="1" applyFont="1" applyBorder="1" applyAlignment="1">
      <alignment horizontal="centerContinuous"/>
    </xf>
    <xf numFmtId="181" fontId="31" fillId="0" borderId="67" xfId="124" applyNumberFormat="1" applyFont="1" applyBorder="1" applyAlignment="1">
      <alignment horizontal="centerContinuous"/>
    </xf>
    <xf numFmtId="43" fontId="32" fillId="0" borderId="68" xfId="124" applyNumberFormat="1" applyFont="1" applyBorder="1" applyAlignment="1">
      <alignment horizontal="centerContinuous"/>
    </xf>
    <xf numFmtId="43" fontId="31" fillId="0" borderId="66" xfId="124" applyNumberFormat="1" applyFont="1" applyBorder="1" applyAlignment="1">
      <alignment horizontal="centerContinuous"/>
    </xf>
    <xf numFmtId="183" fontId="32" fillId="0" borderId="69" xfId="124" applyNumberFormat="1" applyFont="1" applyBorder="1" applyAlignment="1">
      <alignment horizontal="centerContinuous"/>
    </xf>
    <xf numFmtId="183" fontId="32" fillId="0" borderId="66" xfId="124" applyNumberFormat="1" applyFont="1" applyBorder="1" applyAlignment="1">
      <alignment horizontal="centerContinuous"/>
    </xf>
    <xf numFmtId="183" fontId="32" fillId="0" borderId="70" xfId="124" applyNumberFormat="1" applyFont="1" applyBorder="1" applyAlignment="1">
      <alignment horizontal="centerContinuous"/>
    </xf>
    <xf numFmtId="0" fontId="31" fillId="0" borderId="71" xfId="124" applyFont="1" applyBorder="1" applyAlignment="1">
      <alignment horizontal="center"/>
    </xf>
    <xf numFmtId="44" fontId="98" fillId="0" borderId="9" xfId="31" applyFont="1" applyFill="1" applyBorder="1"/>
    <xf numFmtId="0" fontId="31" fillId="0" borderId="71" xfId="124" applyFont="1" applyBorder="1" applyAlignment="1">
      <alignment horizontal="left"/>
    </xf>
    <xf numFmtId="0" fontId="33" fillId="0" borderId="36" xfId="89" applyFont="1" applyBorder="1"/>
    <xf numFmtId="0" fontId="32" fillId="0" borderId="36" xfId="124" applyFont="1" applyBorder="1"/>
    <xf numFmtId="187" fontId="31" fillId="0" borderId="11" xfId="17" applyNumberFormat="1" applyFont="1" applyBorder="1"/>
    <xf numFmtId="43" fontId="31" fillId="0" borderId="34" xfId="17" applyFont="1" applyBorder="1"/>
    <xf numFmtId="184" fontId="31" fillId="20" borderId="14" xfId="124" applyNumberFormat="1" applyFont="1" applyFill="1" applyBorder="1" applyAlignment="1">
      <alignment horizontal="center"/>
    </xf>
    <xf numFmtId="1" fontId="31" fillId="20" borderId="14" xfId="89" applyNumberFormat="1" applyFont="1" applyFill="1" applyBorder="1"/>
    <xf numFmtId="2" fontId="31" fillId="20" borderId="14" xfId="124" applyNumberFormat="1" applyFont="1" applyFill="1" applyBorder="1"/>
    <xf numFmtId="185" fontId="31" fillId="20" borderId="14" xfId="17" applyNumberFormat="1" applyFont="1" applyFill="1" applyBorder="1" applyAlignment="1"/>
    <xf numFmtId="179" fontId="31" fillId="20" borderId="14" xfId="17" applyNumberFormat="1" applyFont="1" applyFill="1" applyBorder="1"/>
    <xf numFmtId="1" fontId="31" fillId="20" borderId="14" xfId="124" applyNumberFormat="1" applyFont="1" applyFill="1" applyBorder="1"/>
    <xf numFmtId="193" fontId="31" fillId="20" borderId="14" xfId="124" applyNumberFormat="1" applyFont="1" applyFill="1" applyBorder="1"/>
    <xf numFmtId="43" fontId="31" fillId="20" borderId="14" xfId="17" applyFont="1" applyFill="1" applyBorder="1" applyAlignment="1">
      <alignment horizontal="right"/>
    </xf>
    <xf numFmtId="43" fontId="31" fillId="20" borderId="14" xfId="17" applyFont="1" applyFill="1" applyBorder="1" applyAlignment="1"/>
    <xf numFmtId="187" fontId="31" fillId="20" borderId="14" xfId="17" applyNumberFormat="1" applyFont="1" applyFill="1" applyBorder="1" applyAlignment="1"/>
    <xf numFmtId="183" fontId="31" fillId="20" borderId="14" xfId="17" applyNumberFormat="1" applyFont="1" applyFill="1" applyBorder="1" applyAlignment="1"/>
    <xf numFmtId="43" fontId="31" fillId="20" borderId="37" xfId="17" applyFont="1" applyFill="1" applyBorder="1" applyAlignment="1"/>
    <xf numFmtId="184" fontId="31" fillId="20" borderId="9" xfId="124" applyNumberFormat="1" applyFont="1" applyFill="1" applyBorder="1" applyAlignment="1">
      <alignment horizontal="center"/>
    </xf>
    <xf numFmtId="179" fontId="31" fillId="20" borderId="9" xfId="17" applyNumberFormat="1" applyFont="1" applyFill="1" applyBorder="1"/>
    <xf numFmtId="2" fontId="31" fillId="20" borderId="9" xfId="124" applyNumberFormat="1" applyFont="1" applyFill="1" applyBorder="1"/>
    <xf numFmtId="43" fontId="31" fillId="20" borderId="9" xfId="17" applyFont="1" applyFill="1" applyBorder="1" applyAlignment="1">
      <alignment horizontal="right"/>
    </xf>
    <xf numFmtId="183" fontId="31" fillId="20" borderId="9" xfId="17" applyNumberFormat="1" applyFont="1" applyFill="1" applyBorder="1" applyAlignment="1"/>
    <xf numFmtId="0" fontId="32" fillId="0" borderId="72" xfId="89" applyFont="1" applyBorder="1" applyAlignment="1">
      <alignment horizontal="left" indent="1"/>
    </xf>
    <xf numFmtId="0" fontId="31" fillId="0" borderId="13" xfId="89" applyFont="1" applyBorder="1"/>
    <xf numFmtId="185" fontId="31" fillId="0" borderId="39" xfId="17" applyNumberFormat="1" applyFont="1" applyFill="1" applyBorder="1" applyAlignment="1">
      <alignment horizontal="right"/>
    </xf>
    <xf numFmtId="10" fontId="31" fillId="0" borderId="39" xfId="124" applyNumberFormat="1" applyFont="1" applyBorder="1"/>
    <xf numFmtId="0" fontId="33" fillId="0" borderId="0" xfId="89" applyFont="1"/>
    <xf numFmtId="0" fontId="31" fillId="0" borderId="63" xfId="89" applyFont="1" applyBorder="1"/>
    <xf numFmtId="0" fontId="99" fillId="0" borderId="65" xfId="0" applyFont="1" applyBorder="1" applyAlignment="1">
      <alignment horizontal="centerContinuous" vertical="center" wrapText="1"/>
    </xf>
    <xf numFmtId="184" fontId="0" fillId="0" borderId="0" xfId="0" applyNumberFormat="1"/>
    <xf numFmtId="0" fontId="0" fillId="60" borderId="0" xfId="0" applyFill="1"/>
    <xf numFmtId="177" fontId="85" fillId="56" borderId="0" xfId="0" applyNumberFormat="1" applyFont="1" applyFill="1"/>
    <xf numFmtId="184" fontId="88" fillId="0" borderId="0" xfId="0" applyNumberFormat="1" applyFont="1" applyAlignment="1">
      <alignment vertical="top"/>
    </xf>
    <xf numFmtId="9" fontId="88" fillId="0" borderId="0" xfId="0" applyNumberFormat="1" applyFont="1" applyAlignment="1">
      <alignment vertical="top"/>
    </xf>
    <xf numFmtId="10" fontId="88" fillId="0" borderId="0" xfId="0" applyNumberFormat="1" applyFont="1" applyAlignment="1">
      <alignment vertical="top"/>
    </xf>
    <xf numFmtId="184" fontId="43" fillId="0" borderId="0" xfId="157" applyNumberFormat="1" applyFont="1" applyFill="1" applyBorder="1"/>
    <xf numFmtId="0" fontId="36" fillId="0" borderId="0" xfId="0" applyFont="1" applyAlignment="1">
      <alignment horizontal="center"/>
    </xf>
    <xf numFmtId="41" fontId="86" fillId="56" borderId="0" xfId="0" applyNumberFormat="1" applyFont="1" applyFill="1"/>
    <xf numFmtId="37" fontId="85" fillId="57" borderId="0" xfId="0" applyNumberFormat="1" applyFont="1" applyFill="1"/>
    <xf numFmtId="2" fontId="86" fillId="56" borderId="0" xfId="0" applyNumberFormat="1" applyFont="1" applyFill="1"/>
    <xf numFmtId="2" fontId="86" fillId="57" borderId="0" xfId="0" applyNumberFormat="1" applyFont="1" applyFill="1"/>
    <xf numFmtId="7" fontId="41" fillId="55" borderId="0" xfId="0" applyNumberFormat="1" applyFont="1" applyFill="1"/>
    <xf numFmtId="180" fontId="86" fillId="56" borderId="0" xfId="0" applyNumberFormat="1" applyFont="1" applyFill="1"/>
    <xf numFmtId="41" fontId="85" fillId="57" borderId="0" xfId="0" applyNumberFormat="1" applyFont="1" applyFill="1"/>
    <xf numFmtId="0" fontId="0" fillId="2" borderId="0" xfId="0" applyFill="1" applyAlignment="1">
      <alignment horizontal="left"/>
    </xf>
    <xf numFmtId="0" fontId="0" fillId="0" borderId="2" xfId="0" applyBorder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quotePrefix="1" applyAlignment="1">
      <alignment horizontal="left"/>
    </xf>
    <xf numFmtId="0" fontId="0" fillId="0" borderId="7" xfId="0" applyBorder="1" applyAlignment="1">
      <alignment horizontal="left"/>
    </xf>
    <xf numFmtId="179" fontId="43" fillId="0" borderId="0" xfId="158" applyNumberFormat="1" applyFont="1" applyFill="1" applyBorder="1"/>
    <xf numFmtId="44" fontId="0" fillId="0" borderId="0" xfId="160" applyFont="1" applyFill="1" applyBorder="1"/>
    <xf numFmtId="0" fontId="6" fillId="0" borderId="0" xfId="416" applyFont="1" applyFill="1"/>
    <xf numFmtId="0" fontId="39" fillId="0" borderId="0" xfId="0" applyFont="1" applyAlignment="1">
      <alignment horizontal="center"/>
    </xf>
    <xf numFmtId="0" fontId="39" fillId="0" borderId="7" xfId="0" applyFont="1" applyBorder="1" applyAlignment="1">
      <alignment horizontal="center" wrapText="1"/>
    </xf>
    <xf numFmtId="203" fontId="39" fillId="0" borderId="7" xfId="0" applyNumberFormat="1" applyFont="1" applyBorder="1" applyAlignment="1">
      <alignment horizontal="center"/>
    </xf>
    <xf numFmtId="177" fontId="39" fillId="0" borderId="0" xfId="0" applyNumberFormat="1" applyFont="1"/>
    <xf numFmtId="0" fontId="39" fillId="0" borderId="7" xfId="0" applyFont="1" applyBorder="1" applyAlignment="1">
      <alignment horizontal="center"/>
    </xf>
    <xf numFmtId="10" fontId="43" fillId="0" borderId="0" xfId="161" applyNumberFormat="1" applyFont="1" applyFill="1"/>
    <xf numFmtId="0" fontId="0" fillId="0" borderId="0" xfId="0" applyAlignment="1">
      <alignment horizontal="right" indent="1"/>
    </xf>
    <xf numFmtId="44" fontId="46" fillId="0" borderId="0" xfId="160" applyFont="1" applyFill="1" applyBorder="1"/>
    <xf numFmtId="44" fontId="41" fillId="0" borderId="0" xfId="160" applyFont="1" applyFill="1" applyBorder="1"/>
    <xf numFmtId="204" fontId="40" fillId="0" borderId="0" xfId="0" applyNumberFormat="1" applyFont="1"/>
    <xf numFmtId="9" fontId="36" fillId="0" borderId="0" xfId="0" applyNumberFormat="1" applyFont="1"/>
    <xf numFmtId="44" fontId="0" fillId="2" borderId="0" xfId="160" applyFont="1" applyFill="1"/>
    <xf numFmtId="44" fontId="0" fillId="54" borderId="0" xfId="160" applyFont="1" applyFill="1"/>
    <xf numFmtId="0" fontId="43" fillId="55" borderId="0" xfId="0" applyFont="1" applyFill="1"/>
    <xf numFmtId="10" fontId="43" fillId="55" borderId="0" xfId="161" applyNumberFormat="1" applyFont="1" applyFill="1"/>
    <xf numFmtId="10" fontId="0" fillId="55" borderId="0" xfId="0" applyNumberFormat="1" applyFill="1"/>
    <xf numFmtId="0" fontId="0" fillId="55" borderId="0" xfId="0" applyFill="1" applyAlignment="1">
      <alignment horizontal="center"/>
    </xf>
    <xf numFmtId="0" fontId="0" fillId="55" borderId="0" xfId="0" applyFill="1" applyAlignment="1">
      <alignment horizontal="center" wrapText="1"/>
    </xf>
    <xf numFmtId="177" fontId="38" fillId="55" borderId="0" xfId="0" applyNumberFormat="1" applyFont="1" applyFill="1"/>
    <xf numFmtId="177" fontId="38" fillId="55" borderId="9" xfId="0" applyNumberFormat="1" applyFont="1" applyFill="1" applyBorder="1"/>
    <xf numFmtId="0" fontId="0" fillId="58" borderId="0" xfId="0" applyFill="1" applyAlignment="1">
      <alignment wrapText="1"/>
    </xf>
    <xf numFmtId="40" fontId="0" fillId="0" borderId="0" xfId="0" applyNumberFormat="1"/>
    <xf numFmtId="0" fontId="95" fillId="0" borderId="0" xfId="0" applyFont="1"/>
    <xf numFmtId="0" fontId="92" fillId="59" borderId="0" xfId="0" applyFont="1" applyFill="1"/>
    <xf numFmtId="0" fontId="92" fillId="0" borderId="0" xfId="0" applyFont="1" applyAlignment="1">
      <alignment horizontal="center"/>
    </xf>
    <xf numFmtId="0" fontId="92" fillId="0" borderId="0" xfId="0" applyFont="1" applyAlignment="1">
      <alignment horizontal="right"/>
    </xf>
    <xf numFmtId="0" fontId="100" fillId="0" borderId="0" xfId="89" applyFont="1"/>
    <xf numFmtId="0" fontId="35" fillId="0" borderId="0" xfId="89" applyFont="1"/>
    <xf numFmtId="2" fontId="38" fillId="55" borderId="0" xfId="0" applyNumberFormat="1" applyFont="1" applyFill="1" applyAlignment="1">
      <alignment horizontal="right" wrapText="1"/>
    </xf>
    <xf numFmtId="2" fontId="38" fillId="55" borderId="0" xfId="0" applyNumberFormat="1" applyFont="1" applyFill="1" applyAlignment="1">
      <alignment horizontal="right"/>
    </xf>
    <xf numFmtId="177" fontId="0" fillId="55" borderId="0" xfId="0" applyNumberFormat="1" applyFill="1"/>
    <xf numFmtId="2" fontId="0" fillId="55" borderId="0" xfId="0" applyNumberFormat="1" applyFill="1" applyAlignment="1">
      <alignment horizontal="right" wrapText="1"/>
    </xf>
    <xf numFmtId="0" fontId="0" fillId="55" borderId="0" xfId="0" applyFill="1" applyAlignment="1">
      <alignment horizontal="left" indent="1"/>
    </xf>
    <xf numFmtId="0" fontId="30" fillId="55" borderId="0" xfId="0" applyFont="1" applyFill="1" applyAlignment="1">
      <alignment horizontal="right"/>
    </xf>
    <xf numFmtId="175" fontId="0" fillId="55" borderId="0" xfId="160" applyNumberFormat="1" applyFont="1" applyFill="1" applyBorder="1" applyAlignment="1">
      <alignment horizontal="left"/>
    </xf>
    <xf numFmtId="176" fontId="0" fillId="55" borderId="0" xfId="160" applyNumberFormat="1" applyFont="1" applyFill="1" applyBorder="1"/>
    <xf numFmtId="0" fontId="30" fillId="55" borderId="25" xfId="0" applyFont="1" applyFill="1" applyBorder="1" applyAlignment="1">
      <alignment horizontal="right"/>
    </xf>
    <xf numFmtId="205" fontId="0" fillId="0" borderId="0" xfId="0" applyNumberFormat="1"/>
    <xf numFmtId="41" fontId="6" fillId="0" borderId="23" xfId="0" applyNumberFormat="1" applyFont="1" applyBorder="1"/>
    <xf numFmtId="41" fontId="6" fillId="0" borderId="26" xfId="0" applyNumberFormat="1" applyFont="1" applyBorder="1"/>
    <xf numFmtId="41" fontId="5" fillId="0" borderId="2" xfId="0" applyNumberFormat="1" applyFont="1" applyBorder="1"/>
    <xf numFmtId="0" fontId="30" fillId="0" borderId="0" xfId="0" applyFont="1" applyAlignment="1">
      <alignment horizontal="center"/>
    </xf>
    <xf numFmtId="41" fontId="5" fillId="0" borderId="26" xfId="0" applyNumberFormat="1" applyFont="1" applyBorder="1"/>
    <xf numFmtId="41" fontId="0" fillId="0" borderId="26" xfId="0" applyNumberFormat="1" applyBorder="1"/>
    <xf numFmtId="41" fontId="5" fillId="0" borderId="60" xfId="0" applyNumberFormat="1" applyFont="1" applyBorder="1"/>
    <xf numFmtId="41" fontId="0" fillId="0" borderId="27" xfId="0" applyNumberFormat="1" applyBorder="1"/>
    <xf numFmtId="41" fontId="0" fillId="0" borderId="23" xfId="0" applyNumberFormat="1" applyBorder="1"/>
    <xf numFmtId="0" fontId="5" fillId="2" borderId="0" xfId="0" applyFont="1" applyFill="1" applyAlignment="1">
      <alignment horizontal="center"/>
    </xf>
    <xf numFmtId="0" fontId="31" fillId="0" borderId="4" xfId="89" applyFont="1" applyBorder="1" applyAlignment="1">
      <alignment horizontal="center" vertical="center" wrapText="1"/>
    </xf>
    <xf numFmtId="0" fontId="31" fillId="0" borderId="6" xfId="89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" fillId="55" borderId="0" xfId="0" applyFont="1" applyFill="1" applyAlignment="1">
      <alignment horizontal="center"/>
    </xf>
    <xf numFmtId="0" fontId="0" fillId="55" borderId="0" xfId="0" applyFill="1" applyAlignment="1">
      <alignment horizontal="center" wrapText="1"/>
    </xf>
  </cellXfs>
  <cellStyles count="418">
    <cellStyle name="20% - Accent1 2" xfId="162" xr:uid="{00000000-0005-0000-0000-000000000000}"/>
    <cellStyle name="20% - Accent1 3" xfId="163" xr:uid="{00000000-0005-0000-0000-000001000000}"/>
    <cellStyle name="20% - Accent2 2" xfId="164" xr:uid="{00000000-0005-0000-0000-000002000000}"/>
    <cellStyle name="20% - Accent2 3" xfId="165" xr:uid="{00000000-0005-0000-0000-000003000000}"/>
    <cellStyle name="20% - Accent3 2" xfId="166" xr:uid="{00000000-0005-0000-0000-000004000000}"/>
    <cellStyle name="20% - Accent3 3" xfId="167" xr:uid="{00000000-0005-0000-0000-000005000000}"/>
    <cellStyle name="20% - Accent4 2" xfId="168" xr:uid="{00000000-0005-0000-0000-000006000000}"/>
    <cellStyle name="20% - Accent4 3" xfId="169" xr:uid="{00000000-0005-0000-0000-000007000000}"/>
    <cellStyle name="20% - Accent5 2" xfId="170" xr:uid="{00000000-0005-0000-0000-000008000000}"/>
    <cellStyle name="20% - Accent5 3" xfId="171" xr:uid="{00000000-0005-0000-0000-000009000000}"/>
    <cellStyle name="20% - Accent6 2" xfId="172" xr:uid="{00000000-0005-0000-0000-00000A000000}"/>
    <cellStyle name="20% - Accent6 3" xfId="173" xr:uid="{00000000-0005-0000-0000-00000B000000}"/>
    <cellStyle name="40% - Accent1 2" xfId="174" xr:uid="{00000000-0005-0000-0000-00000C000000}"/>
    <cellStyle name="40% - Accent1 3" xfId="175" xr:uid="{00000000-0005-0000-0000-00000D000000}"/>
    <cellStyle name="40% - Accent2 2" xfId="176" xr:uid="{00000000-0005-0000-0000-00000E000000}"/>
    <cellStyle name="40% - Accent2 3" xfId="177" xr:uid="{00000000-0005-0000-0000-00000F000000}"/>
    <cellStyle name="40% - Accent3 2" xfId="178" xr:uid="{00000000-0005-0000-0000-000010000000}"/>
    <cellStyle name="40% - Accent3 3" xfId="179" xr:uid="{00000000-0005-0000-0000-000011000000}"/>
    <cellStyle name="40% - Accent4 2" xfId="180" xr:uid="{00000000-0005-0000-0000-000012000000}"/>
    <cellStyle name="40% - Accent4 3" xfId="181" xr:uid="{00000000-0005-0000-0000-000013000000}"/>
    <cellStyle name="40% - Accent5 2" xfId="182" xr:uid="{00000000-0005-0000-0000-000014000000}"/>
    <cellStyle name="40% - Accent5 3" xfId="183" xr:uid="{00000000-0005-0000-0000-000015000000}"/>
    <cellStyle name="40% - Accent6 2" xfId="184" xr:uid="{00000000-0005-0000-0000-000016000000}"/>
    <cellStyle name="40% - Accent6 3" xfId="185" xr:uid="{00000000-0005-0000-0000-000017000000}"/>
    <cellStyle name="60% - Accent1 2" xfId="186" xr:uid="{00000000-0005-0000-0000-000018000000}"/>
    <cellStyle name="60% - Accent1 3" xfId="187" xr:uid="{00000000-0005-0000-0000-000019000000}"/>
    <cellStyle name="60% - Accent2 2" xfId="188" xr:uid="{00000000-0005-0000-0000-00001A000000}"/>
    <cellStyle name="60% - Accent2 3" xfId="189" xr:uid="{00000000-0005-0000-0000-00001B000000}"/>
    <cellStyle name="60% - Accent3 2" xfId="190" xr:uid="{00000000-0005-0000-0000-00001C000000}"/>
    <cellStyle name="60% - Accent3 3" xfId="191" xr:uid="{00000000-0005-0000-0000-00001D000000}"/>
    <cellStyle name="60% - Accent4 2" xfId="192" xr:uid="{00000000-0005-0000-0000-00001E000000}"/>
    <cellStyle name="60% - Accent4 3" xfId="193" xr:uid="{00000000-0005-0000-0000-00001F000000}"/>
    <cellStyle name="60% - Accent5 2" xfId="194" xr:uid="{00000000-0005-0000-0000-000020000000}"/>
    <cellStyle name="60% - Accent5 3" xfId="195" xr:uid="{00000000-0005-0000-0000-000021000000}"/>
    <cellStyle name="60% - Accent6 2" xfId="196" xr:uid="{00000000-0005-0000-0000-000022000000}"/>
    <cellStyle name="60% - Accent6 3" xfId="197" xr:uid="{00000000-0005-0000-0000-000023000000}"/>
    <cellStyle name="Accent1 2" xfId="198" xr:uid="{00000000-0005-0000-0000-000024000000}"/>
    <cellStyle name="Accent1 3" xfId="199" xr:uid="{00000000-0005-0000-0000-000025000000}"/>
    <cellStyle name="Accent2 2" xfId="200" xr:uid="{00000000-0005-0000-0000-000026000000}"/>
    <cellStyle name="Accent2 3" xfId="201" xr:uid="{00000000-0005-0000-0000-000027000000}"/>
    <cellStyle name="Accent3 2" xfId="202" xr:uid="{00000000-0005-0000-0000-000028000000}"/>
    <cellStyle name="Accent3 3" xfId="203" xr:uid="{00000000-0005-0000-0000-000029000000}"/>
    <cellStyle name="Accent4 2" xfId="204" xr:uid="{00000000-0005-0000-0000-00002A000000}"/>
    <cellStyle name="Accent4 3" xfId="205" xr:uid="{00000000-0005-0000-0000-00002B000000}"/>
    <cellStyle name="Accent5 2" xfId="206" xr:uid="{00000000-0005-0000-0000-00002C000000}"/>
    <cellStyle name="Accent5 3" xfId="207" xr:uid="{00000000-0005-0000-0000-00002D000000}"/>
    <cellStyle name="Accent6 2" xfId="208" xr:uid="{00000000-0005-0000-0000-00002E000000}"/>
    <cellStyle name="Accent6 3" xfId="209" xr:uid="{00000000-0005-0000-0000-00002F000000}"/>
    <cellStyle name="ArrayHeading" xfId="1" xr:uid="{00000000-0005-0000-0000-000030000000}"/>
    <cellStyle name="ArrayHeading 2" xfId="2" xr:uid="{00000000-0005-0000-0000-000031000000}"/>
    <cellStyle name="Bad 2" xfId="210" xr:uid="{00000000-0005-0000-0000-000032000000}"/>
    <cellStyle name="Bad 3" xfId="211" xr:uid="{00000000-0005-0000-0000-000033000000}"/>
    <cellStyle name="BetweenMacros" xfId="3" xr:uid="{00000000-0005-0000-0000-000034000000}"/>
    <cellStyle name="BetweenMacros 2" xfId="4" xr:uid="{00000000-0005-0000-0000-000035000000}"/>
    <cellStyle name="Calculation 2" xfId="212" xr:uid="{00000000-0005-0000-0000-000036000000}"/>
    <cellStyle name="Calculation 3" xfId="213" xr:uid="{00000000-0005-0000-0000-000037000000}"/>
    <cellStyle name="Cancel" xfId="214" xr:uid="{00000000-0005-0000-0000-000038000000}"/>
    <cellStyle name="Check Cell 2" xfId="215" xr:uid="{00000000-0005-0000-0000-000039000000}"/>
    <cellStyle name="Check Cell 3" xfId="216" xr:uid="{00000000-0005-0000-0000-00003A000000}"/>
    <cellStyle name="Column total in dollars" xfId="5" xr:uid="{00000000-0005-0000-0000-00003B000000}"/>
    <cellStyle name="Column total in dollars 2" xfId="6" xr:uid="{00000000-0005-0000-0000-00003C000000}"/>
    <cellStyle name="Comma" xfId="159" builtinId="3"/>
    <cellStyle name="Comma  - Style1" xfId="7" xr:uid="{00000000-0005-0000-0000-00003E000000}"/>
    <cellStyle name="Comma  - Style2" xfId="8" xr:uid="{00000000-0005-0000-0000-00003F000000}"/>
    <cellStyle name="Comma  - Style3" xfId="9" xr:uid="{00000000-0005-0000-0000-000040000000}"/>
    <cellStyle name="Comma  - Style4" xfId="10" xr:uid="{00000000-0005-0000-0000-000041000000}"/>
    <cellStyle name="Comma  - Style5" xfId="11" xr:uid="{00000000-0005-0000-0000-000042000000}"/>
    <cellStyle name="Comma  - Style6" xfId="12" xr:uid="{00000000-0005-0000-0000-000043000000}"/>
    <cellStyle name="Comma  - Style7" xfId="13" xr:uid="{00000000-0005-0000-0000-000044000000}"/>
    <cellStyle name="Comma  - Style8" xfId="14" xr:uid="{00000000-0005-0000-0000-000045000000}"/>
    <cellStyle name="Comma (0)" xfId="15" xr:uid="{00000000-0005-0000-0000-000046000000}"/>
    <cellStyle name="Comma [0] 2" xfId="16" xr:uid="{00000000-0005-0000-0000-000047000000}"/>
    <cellStyle name="Comma 10" xfId="217" xr:uid="{00000000-0005-0000-0000-000048000000}"/>
    <cellStyle name="Comma 11" xfId="218" xr:uid="{00000000-0005-0000-0000-000049000000}"/>
    <cellStyle name="Comma 12" xfId="219" xr:uid="{00000000-0005-0000-0000-00004A000000}"/>
    <cellStyle name="Comma 13" xfId="220" xr:uid="{00000000-0005-0000-0000-00004B000000}"/>
    <cellStyle name="Comma 14" xfId="221" xr:uid="{00000000-0005-0000-0000-00004C000000}"/>
    <cellStyle name="Comma 15" xfId="222" xr:uid="{00000000-0005-0000-0000-00004D000000}"/>
    <cellStyle name="Comma 16" xfId="223" xr:uid="{00000000-0005-0000-0000-00004E000000}"/>
    <cellStyle name="Comma 17" xfId="224" xr:uid="{00000000-0005-0000-0000-00004F000000}"/>
    <cellStyle name="Comma 18" xfId="225" xr:uid="{00000000-0005-0000-0000-000050000000}"/>
    <cellStyle name="Comma 19" xfId="226" xr:uid="{00000000-0005-0000-0000-000051000000}"/>
    <cellStyle name="Comma 2" xfId="17" xr:uid="{00000000-0005-0000-0000-000052000000}"/>
    <cellStyle name="Comma 2 2" xfId="18" xr:uid="{00000000-0005-0000-0000-000053000000}"/>
    <cellStyle name="Comma 2 2 2" xfId="227" xr:uid="{00000000-0005-0000-0000-000054000000}"/>
    <cellStyle name="Comma 20" xfId="228" xr:uid="{00000000-0005-0000-0000-000055000000}"/>
    <cellStyle name="Comma 21" xfId="229" xr:uid="{00000000-0005-0000-0000-000056000000}"/>
    <cellStyle name="Comma 22" xfId="230" xr:uid="{00000000-0005-0000-0000-000057000000}"/>
    <cellStyle name="Comma 23" xfId="231" xr:uid="{00000000-0005-0000-0000-000058000000}"/>
    <cellStyle name="Comma 24" xfId="232" xr:uid="{00000000-0005-0000-0000-000059000000}"/>
    <cellStyle name="Comma 25" xfId="233" xr:uid="{00000000-0005-0000-0000-00005A000000}"/>
    <cellStyle name="Comma 26" xfId="234" xr:uid="{00000000-0005-0000-0000-00005B000000}"/>
    <cellStyle name="Comma 27" xfId="235" xr:uid="{00000000-0005-0000-0000-00005C000000}"/>
    <cellStyle name="Comma 3" xfId="19" xr:uid="{00000000-0005-0000-0000-00005D000000}"/>
    <cellStyle name="Comma 3 2" xfId="20" xr:uid="{00000000-0005-0000-0000-00005E000000}"/>
    <cellStyle name="Comma 3 2 2" xfId="236" xr:uid="{00000000-0005-0000-0000-00005F000000}"/>
    <cellStyle name="Comma 3 3" xfId="237" xr:uid="{00000000-0005-0000-0000-000060000000}"/>
    <cellStyle name="Comma 4" xfId="21" xr:uid="{00000000-0005-0000-0000-000061000000}"/>
    <cellStyle name="Comma 4 2" xfId="22" xr:uid="{00000000-0005-0000-0000-000062000000}"/>
    <cellStyle name="Comma 4 3" xfId="238" xr:uid="{00000000-0005-0000-0000-000063000000}"/>
    <cellStyle name="Comma 5" xfId="158" xr:uid="{00000000-0005-0000-0000-000064000000}"/>
    <cellStyle name="Comma 5 2" xfId="239" xr:uid="{00000000-0005-0000-0000-000065000000}"/>
    <cellStyle name="Comma 6" xfId="240" xr:uid="{00000000-0005-0000-0000-000066000000}"/>
    <cellStyle name="Comma 7" xfId="241" xr:uid="{00000000-0005-0000-0000-000067000000}"/>
    <cellStyle name="Comma 8" xfId="242" xr:uid="{00000000-0005-0000-0000-000068000000}"/>
    <cellStyle name="Comma 9" xfId="243" xr:uid="{00000000-0005-0000-0000-000069000000}"/>
    <cellStyle name="Comma0" xfId="23" xr:uid="{00000000-0005-0000-0000-00006A000000}"/>
    <cellStyle name="Comma0 - Style1" xfId="244" xr:uid="{00000000-0005-0000-0000-00006B000000}"/>
    <cellStyle name="Comma0 - Style2" xfId="245" xr:uid="{00000000-0005-0000-0000-00006C000000}"/>
    <cellStyle name="Comma0 - Style3" xfId="24" xr:uid="{00000000-0005-0000-0000-00006D000000}"/>
    <cellStyle name="Comma0 - Style3 2" xfId="25" xr:uid="{00000000-0005-0000-0000-00006E000000}"/>
    <cellStyle name="Comma0 - Style4" xfId="26" xr:uid="{00000000-0005-0000-0000-00006F000000}"/>
    <cellStyle name="Comma0 - Style4 2" xfId="27" xr:uid="{00000000-0005-0000-0000-000070000000}"/>
    <cellStyle name="Comma0 2" xfId="246" xr:uid="{00000000-0005-0000-0000-000071000000}"/>
    <cellStyle name="Comma0_Book1" xfId="28" xr:uid="{00000000-0005-0000-0000-000072000000}"/>
    <cellStyle name="Comma1 - Style1" xfId="29" xr:uid="{00000000-0005-0000-0000-000073000000}"/>
    <cellStyle name="Comma1 - Style1 2" xfId="30" xr:uid="{00000000-0005-0000-0000-000074000000}"/>
    <cellStyle name="Curren - Style2" xfId="247" xr:uid="{00000000-0005-0000-0000-000075000000}"/>
    <cellStyle name="Curren - Style3" xfId="248" xr:uid="{00000000-0005-0000-0000-000076000000}"/>
    <cellStyle name="Currency" xfId="160" builtinId="4"/>
    <cellStyle name="Currency 2" xfId="31" xr:uid="{00000000-0005-0000-0000-000078000000}"/>
    <cellStyle name="Currency 2 2" xfId="32" xr:uid="{00000000-0005-0000-0000-000079000000}"/>
    <cellStyle name="Currency 3" xfId="33" xr:uid="{00000000-0005-0000-0000-00007A000000}"/>
    <cellStyle name="Currency 3 2" xfId="34" xr:uid="{00000000-0005-0000-0000-00007B000000}"/>
    <cellStyle name="Currency 4" xfId="35" xr:uid="{00000000-0005-0000-0000-00007C000000}"/>
    <cellStyle name="Currency 5" xfId="36" xr:uid="{00000000-0005-0000-0000-00007D000000}"/>
    <cellStyle name="Currency 6" xfId="156" xr:uid="{00000000-0005-0000-0000-00007E000000}"/>
    <cellStyle name="Currency No Comma" xfId="37" xr:uid="{00000000-0005-0000-0000-00007F000000}"/>
    <cellStyle name="Currency(0)" xfId="38" xr:uid="{00000000-0005-0000-0000-000080000000}"/>
    <cellStyle name="Currency0" xfId="39" xr:uid="{00000000-0005-0000-0000-000081000000}"/>
    <cellStyle name="Currency0 2" xfId="249" xr:uid="{00000000-0005-0000-0000-000082000000}"/>
    <cellStyle name="Custom - Style8" xfId="250" xr:uid="{00000000-0005-0000-0000-000083000000}"/>
    <cellStyle name="Data   - Style2" xfId="251" xr:uid="{00000000-0005-0000-0000-000084000000}"/>
    <cellStyle name="Date" xfId="40" xr:uid="{00000000-0005-0000-0000-000085000000}"/>
    <cellStyle name="Date - Style1" xfId="252" xr:uid="{00000000-0005-0000-0000-000086000000}"/>
    <cellStyle name="Date - Style3" xfId="41" xr:uid="{00000000-0005-0000-0000-000087000000}"/>
    <cellStyle name="Date - Style3 2" xfId="42" xr:uid="{00000000-0005-0000-0000-000088000000}"/>
    <cellStyle name="Date 10" xfId="43" xr:uid="{00000000-0005-0000-0000-000089000000}"/>
    <cellStyle name="Date 11" xfId="44" xr:uid="{00000000-0005-0000-0000-00008A000000}"/>
    <cellStyle name="Date 12" xfId="45" xr:uid="{00000000-0005-0000-0000-00008B000000}"/>
    <cellStyle name="Date 13" xfId="46" xr:uid="{00000000-0005-0000-0000-00008C000000}"/>
    <cellStyle name="Date 14" xfId="47" xr:uid="{00000000-0005-0000-0000-00008D000000}"/>
    <cellStyle name="Date 15" xfId="253" xr:uid="{00000000-0005-0000-0000-00008E000000}"/>
    <cellStyle name="Date 2" xfId="48" xr:uid="{00000000-0005-0000-0000-00008F000000}"/>
    <cellStyle name="Date 3" xfId="49" xr:uid="{00000000-0005-0000-0000-000090000000}"/>
    <cellStyle name="Date 4" xfId="50" xr:uid="{00000000-0005-0000-0000-000091000000}"/>
    <cellStyle name="Date 5" xfId="51" xr:uid="{00000000-0005-0000-0000-000092000000}"/>
    <cellStyle name="Date 6" xfId="52" xr:uid="{00000000-0005-0000-0000-000093000000}"/>
    <cellStyle name="Date 7" xfId="53" xr:uid="{00000000-0005-0000-0000-000094000000}"/>
    <cellStyle name="Date 8" xfId="54" xr:uid="{00000000-0005-0000-0000-000095000000}"/>
    <cellStyle name="Date 9" xfId="55" xr:uid="{00000000-0005-0000-0000-000096000000}"/>
    <cellStyle name="Date_Book1" xfId="56" xr:uid="{00000000-0005-0000-0000-000097000000}"/>
    <cellStyle name="Explanatory Text 2" xfId="254" xr:uid="{00000000-0005-0000-0000-000098000000}"/>
    <cellStyle name="Explanatory Text 3" xfId="255" xr:uid="{00000000-0005-0000-0000-000099000000}"/>
    <cellStyle name="Fixed" xfId="57" xr:uid="{00000000-0005-0000-0000-00009A000000}"/>
    <cellStyle name="Fixed 2" xfId="256" xr:uid="{00000000-0005-0000-0000-00009B000000}"/>
    <cellStyle name="Fixed2 - Style2" xfId="257" xr:uid="{00000000-0005-0000-0000-00009C000000}"/>
    <cellStyle name="Good 2" xfId="258" xr:uid="{00000000-0005-0000-0000-00009D000000}"/>
    <cellStyle name="Good 3" xfId="259" xr:uid="{00000000-0005-0000-0000-00009E000000}"/>
    <cellStyle name="Grey" xfId="58" xr:uid="{00000000-0005-0000-0000-00009F000000}"/>
    <cellStyle name="header" xfId="59" xr:uid="{00000000-0005-0000-0000-0000A0000000}"/>
    <cellStyle name="header 2" xfId="60" xr:uid="{00000000-0005-0000-0000-0000A1000000}"/>
    <cellStyle name="Header1" xfId="61" xr:uid="{00000000-0005-0000-0000-0000A2000000}"/>
    <cellStyle name="Header1 2" xfId="62" xr:uid="{00000000-0005-0000-0000-0000A3000000}"/>
    <cellStyle name="Header2" xfId="63" xr:uid="{00000000-0005-0000-0000-0000A4000000}"/>
    <cellStyle name="Header2 2" xfId="64" xr:uid="{00000000-0005-0000-0000-0000A5000000}"/>
    <cellStyle name="Heading 1 2" xfId="260" xr:uid="{00000000-0005-0000-0000-0000A6000000}"/>
    <cellStyle name="Heading 1 3" xfId="261" xr:uid="{00000000-0005-0000-0000-0000A7000000}"/>
    <cellStyle name="Heading 2 2" xfId="262" xr:uid="{00000000-0005-0000-0000-0000A8000000}"/>
    <cellStyle name="Heading 2 3" xfId="263" xr:uid="{00000000-0005-0000-0000-0000A9000000}"/>
    <cellStyle name="Heading 3 2" xfId="264" xr:uid="{00000000-0005-0000-0000-0000AA000000}"/>
    <cellStyle name="Heading 3 3" xfId="265" xr:uid="{00000000-0005-0000-0000-0000AB000000}"/>
    <cellStyle name="Heading 4 2" xfId="266" xr:uid="{00000000-0005-0000-0000-0000AC000000}"/>
    <cellStyle name="Heading 4 3" xfId="267" xr:uid="{00000000-0005-0000-0000-0000AD000000}"/>
    <cellStyle name="Heading1" xfId="268" xr:uid="{00000000-0005-0000-0000-0000AE000000}"/>
    <cellStyle name="Heading2" xfId="269" xr:uid="{00000000-0005-0000-0000-0000AF000000}"/>
    <cellStyle name="Hyperlink" xfId="416" builtinId="8"/>
    <cellStyle name="Hyperlink 2" xfId="65" xr:uid="{00000000-0005-0000-0000-0000B0000000}"/>
    <cellStyle name="Input [yellow]" xfId="66" xr:uid="{00000000-0005-0000-0000-0000B1000000}"/>
    <cellStyle name="Input 2" xfId="270" xr:uid="{00000000-0005-0000-0000-0000B2000000}"/>
    <cellStyle name="Input 3" xfId="271" xr:uid="{00000000-0005-0000-0000-0000B3000000}"/>
    <cellStyle name="Input 4" xfId="272" xr:uid="{00000000-0005-0000-0000-0000B4000000}"/>
    <cellStyle name="Input 5" xfId="273" xr:uid="{00000000-0005-0000-0000-0000B5000000}"/>
    <cellStyle name="Input 6" xfId="274" xr:uid="{00000000-0005-0000-0000-0000B6000000}"/>
    <cellStyle name="Inst. Sections" xfId="275" xr:uid="{00000000-0005-0000-0000-0000B7000000}"/>
    <cellStyle name="Inst. Subheading" xfId="276" xr:uid="{00000000-0005-0000-0000-0000B8000000}"/>
    <cellStyle name="Labels - Style3" xfId="277" xr:uid="{00000000-0005-0000-0000-0000B9000000}"/>
    <cellStyle name="Linked Cell 2" xfId="278" xr:uid="{00000000-0005-0000-0000-0000BA000000}"/>
    <cellStyle name="Linked Cell 3" xfId="279" xr:uid="{00000000-0005-0000-0000-0000BB000000}"/>
    <cellStyle name="Macro" xfId="67" xr:uid="{00000000-0005-0000-0000-0000BC000000}"/>
    <cellStyle name="Macro 2" xfId="68" xr:uid="{00000000-0005-0000-0000-0000BD000000}"/>
    <cellStyle name="macro descr" xfId="69" xr:uid="{00000000-0005-0000-0000-0000BE000000}"/>
    <cellStyle name="macro descr 2" xfId="70" xr:uid="{00000000-0005-0000-0000-0000BF000000}"/>
    <cellStyle name="Macro_Comments" xfId="71" xr:uid="{00000000-0005-0000-0000-0000C0000000}"/>
    <cellStyle name="MacroText" xfId="72" xr:uid="{00000000-0005-0000-0000-0000C1000000}"/>
    <cellStyle name="MacroText 2" xfId="73" xr:uid="{00000000-0005-0000-0000-0000C2000000}"/>
    <cellStyle name="MCP" xfId="74" xr:uid="{00000000-0005-0000-0000-0000C3000000}"/>
    <cellStyle name="Neutral 2" xfId="280" xr:uid="{00000000-0005-0000-0000-0000C4000000}"/>
    <cellStyle name="Neutral 3" xfId="281" xr:uid="{00000000-0005-0000-0000-0000C5000000}"/>
    <cellStyle name="nONE" xfId="75" xr:uid="{00000000-0005-0000-0000-0000C6000000}"/>
    <cellStyle name="noninput" xfId="76" xr:uid="{00000000-0005-0000-0000-0000C7000000}"/>
    <cellStyle name="noninput 2" xfId="77" xr:uid="{00000000-0005-0000-0000-0000C8000000}"/>
    <cellStyle name="Normal" xfId="0" builtinId="0"/>
    <cellStyle name="Normal - Style1" xfId="78" xr:uid="{00000000-0005-0000-0000-0000CA000000}"/>
    <cellStyle name="Normal - Style1 2" xfId="282" xr:uid="{00000000-0005-0000-0000-0000CB000000}"/>
    <cellStyle name="Normal - Style2" xfId="283" xr:uid="{00000000-0005-0000-0000-0000CC000000}"/>
    <cellStyle name="Normal - Style3" xfId="284" xr:uid="{00000000-0005-0000-0000-0000CD000000}"/>
    <cellStyle name="Normal - Style4" xfId="285" xr:uid="{00000000-0005-0000-0000-0000CE000000}"/>
    <cellStyle name="Normal - Style5" xfId="286" xr:uid="{00000000-0005-0000-0000-0000CF000000}"/>
    <cellStyle name="Normal - Style6" xfId="287" xr:uid="{00000000-0005-0000-0000-0000D0000000}"/>
    <cellStyle name="Normal - Style7" xfId="288" xr:uid="{00000000-0005-0000-0000-0000D1000000}"/>
    <cellStyle name="Normal - Style8" xfId="289" xr:uid="{00000000-0005-0000-0000-0000D2000000}"/>
    <cellStyle name="Normal 10" xfId="79" xr:uid="{00000000-0005-0000-0000-0000D3000000}"/>
    <cellStyle name="Normal 11" xfId="80" xr:uid="{00000000-0005-0000-0000-0000D4000000}"/>
    <cellStyle name="Normal 12" xfId="81" xr:uid="{00000000-0005-0000-0000-0000D5000000}"/>
    <cellStyle name="Normal 13" xfId="82" xr:uid="{00000000-0005-0000-0000-0000D6000000}"/>
    <cellStyle name="Normal 13 2" xfId="290" xr:uid="{00000000-0005-0000-0000-0000D7000000}"/>
    <cellStyle name="Normal 14" xfId="83" xr:uid="{00000000-0005-0000-0000-0000D8000000}"/>
    <cellStyle name="Normal 14 2" xfId="291" xr:uid="{00000000-0005-0000-0000-0000D9000000}"/>
    <cellStyle name="Normal 15" xfId="84" xr:uid="{00000000-0005-0000-0000-0000DA000000}"/>
    <cellStyle name="Normal 15 2" xfId="292" xr:uid="{00000000-0005-0000-0000-0000DB000000}"/>
    <cellStyle name="Normal 16" xfId="85" xr:uid="{00000000-0005-0000-0000-0000DC000000}"/>
    <cellStyle name="Normal 16 2" xfId="293" xr:uid="{00000000-0005-0000-0000-0000DD000000}"/>
    <cellStyle name="Normal 17" xfId="86" xr:uid="{00000000-0005-0000-0000-0000DE000000}"/>
    <cellStyle name="Normal 17 2" xfId="294" xr:uid="{00000000-0005-0000-0000-0000DF000000}"/>
    <cellStyle name="Normal 18" xfId="87" xr:uid="{00000000-0005-0000-0000-0000E0000000}"/>
    <cellStyle name="Normal 18 2" xfId="295" xr:uid="{00000000-0005-0000-0000-0000E1000000}"/>
    <cellStyle name="Normal 183" xfId="417" xr:uid="{812F9614-51B2-44F4-A65B-3179D6353BFB}"/>
    <cellStyle name="Normal 19" xfId="88" xr:uid="{00000000-0005-0000-0000-0000E2000000}"/>
    <cellStyle name="Normal 19 2" xfId="296" xr:uid="{00000000-0005-0000-0000-0000E3000000}"/>
    <cellStyle name="Normal 2" xfId="89" xr:uid="{00000000-0005-0000-0000-0000E4000000}"/>
    <cellStyle name="Normal 2 2" xfId="90" xr:uid="{00000000-0005-0000-0000-0000E5000000}"/>
    <cellStyle name="Normal 2 2 2" xfId="91" xr:uid="{00000000-0005-0000-0000-0000E6000000}"/>
    <cellStyle name="Normal 2 2 2 2" xfId="297" xr:uid="{00000000-0005-0000-0000-0000E7000000}"/>
    <cellStyle name="Normal 2 2 3" xfId="298" xr:uid="{00000000-0005-0000-0000-0000E8000000}"/>
    <cellStyle name="Normal 2 3" xfId="92" xr:uid="{00000000-0005-0000-0000-0000E9000000}"/>
    <cellStyle name="Normal 2 3 2" xfId="299" xr:uid="{00000000-0005-0000-0000-0000EA000000}"/>
    <cellStyle name="Normal 2 4" xfId="93" xr:uid="{00000000-0005-0000-0000-0000EB000000}"/>
    <cellStyle name="Normal 2 4 2" xfId="300" xr:uid="{00000000-0005-0000-0000-0000EC000000}"/>
    <cellStyle name="Normal 2 5" xfId="94" xr:uid="{00000000-0005-0000-0000-0000ED000000}"/>
    <cellStyle name="Normal 20" xfId="95" xr:uid="{00000000-0005-0000-0000-0000EE000000}"/>
    <cellStyle name="Normal 21" xfId="96" xr:uid="{00000000-0005-0000-0000-0000EF000000}"/>
    <cellStyle name="Normal 22" xfId="97" xr:uid="{00000000-0005-0000-0000-0000F0000000}"/>
    <cellStyle name="Normal 23" xfId="98" xr:uid="{00000000-0005-0000-0000-0000F1000000}"/>
    <cellStyle name="Normal 24" xfId="99" xr:uid="{00000000-0005-0000-0000-0000F2000000}"/>
    <cellStyle name="Normal 24 2" xfId="301" xr:uid="{00000000-0005-0000-0000-0000F3000000}"/>
    <cellStyle name="Normal 25" xfId="100" xr:uid="{00000000-0005-0000-0000-0000F4000000}"/>
    <cellStyle name="Normal 26" xfId="101" xr:uid="{00000000-0005-0000-0000-0000F5000000}"/>
    <cellStyle name="Normal 26 2" xfId="302" xr:uid="{00000000-0005-0000-0000-0000F6000000}"/>
    <cellStyle name="Normal 27" xfId="102" xr:uid="{00000000-0005-0000-0000-0000F7000000}"/>
    <cellStyle name="Normal 28" xfId="103" xr:uid="{00000000-0005-0000-0000-0000F8000000}"/>
    <cellStyle name="Normal 28 2" xfId="303" xr:uid="{00000000-0005-0000-0000-0000F9000000}"/>
    <cellStyle name="Normal 29" xfId="304" xr:uid="{00000000-0005-0000-0000-0000FA000000}"/>
    <cellStyle name="Normal 3" xfId="104" xr:uid="{00000000-0005-0000-0000-0000FB000000}"/>
    <cellStyle name="Normal 3 2" xfId="105" xr:uid="{00000000-0005-0000-0000-0000FC000000}"/>
    <cellStyle name="Normal 3 2 2" xfId="106" xr:uid="{00000000-0005-0000-0000-0000FD000000}"/>
    <cellStyle name="Normal 3 2 3" xfId="305" xr:uid="{00000000-0005-0000-0000-0000FE000000}"/>
    <cellStyle name="Normal 3 3" xfId="107" xr:uid="{00000000-0005-0000-0000-0000FF000000}"/>
    <cellStyle name="Normal 3 4" xfId="306" xr:uid="{00000000-0005-0000-0000-000000010000}"/>
    <cellStyle name="Normal 30" xfId="307" xr:uid="{00000000-0005-0000-0000-000001010000}"/>
    <cellStyle name="Normal 31" xfId="308" xr:uid="{00000000-0005-0000-0000-000002010000}"/>
    <cellStyle name="Normal 32" xfId="309" xr:uid="{00000000-0005-0000-0000-000003010000}"/>
    <cellStyle name="Normal 33" xfId="310" xr:uid="{00000000-0005-0000-0000-000004010000}"/>
    <cellStyle name="Normal 34" xfId="311" xr:uid="{00000000-0005-0000-0000-000005010000}"/>
    <cellStyle name="Normal 35" xfId="312" xr:uid="{00000000-0005-0000-0000-000006010000}"/>
    <cellStyle name="Normal 36" xfId="313" xr:uid="{00000000-0005-0000-0000-000007010000}"/>
    <cellStyle name="Normal 37" xfId="314" xr:uid="{00000000-0005-0000-0000-000008010000}"/>
    <cellStyle name="Normal 38" xfId="315" xr:uid="{00000000-0005-0000-0000-000009010000}"/>
    <cellStyle name="Normal 39" xfId="316" xr:uid="{00000000-0005-0000-0000-00000A010000}"/>
    <cellStyle name="Normal 4" xfId="108" xr:uid="{00000000-0005-0000-0000-00000B010000}"/>
    <cellStyle name="Normal 4 2" xfId="109" xr:uid="{00000000-0005-0000-0000-00000C010000}"/>
    <cellStyle name="Normal 4 3" xfId="110" xr:uid="{00000000-0005-0000-0000-00000D010000}"/>
    <cellStyle name="Normal 4 3 2" xfId="111" xr:uid="{00000000-0005-0000-0000-00000E010000}"/>
    <cellStyle name="Normal 40" xfId="317" xr:uid="{00000000-0005-0000-0000-00000F010000}"/>
    <cellStyle name="Normal 5" xfId="112" xr:uid="{00000000-0005-0000-0000-000010010000}"/>
    <cellStyle name="Normal 5 2" xfId="113" xr:uid="{00000000-0005-0000-0000-000011010000}"/>
    <cellStyle name="Normal 5 2 2" xfId="114" xr:uid="{00000000-0005-0000-0000-000012010000}"/>
    <cellStyle name="Normal 5 2 3" xfId="318" xr:uid="{00000000-0005-0000-0000-000013010000}"/>
    <cellStyle name="Normal 5 3" xfId="115" xr:uid="{00000000-0005-0000-0000-000014010000}"/>
    <cellStyle name="Normal 5 3 2" xfId="116" xr:uid="{00000000-0005-0000-0000-000015010000}"/>
    <cellStyle name="Normal 6" xfId="117" xr:uid="{00000000-0005-0000-0000-000016010000}"/>
    <cellStyle name="Normal 6 2" xfId="118" xr:uid="{00000000-0005-0000-0000-000017010000}"/>
    <cellStyle name="Normal 6 2 2" xfId="119" xr:uid="{00000000-0005-0000-0000-000018010000}"/>
    <cellStyle name="Normal 6 2 3" xfId="319" xr:uid="{00000000-0005-0000-0000-000019010000}"/>
    <cellStyle name="Normal 6 3" xfId="320" xr:uid="{00000000-0005-0000-0000-00001A010000}"/>
    <cellStyle name="Normal 7" xfId="120" xr:uid="{00000000-0005-0000-0000-00001B010000}"/>
    <cellStyle name="Normal 8" xfId="121" xr:uid="{00000000-0005-0000-0000-00001C010000}"/>
    <cellStyle name="Normal 9" xfId="122" xr:uid="{00000000-0005-0000-0000-00001D010000}"/>
    <cellStyle name="Normal(0)" xfId="123" xr:uid="{00000000-0005-0000-0000-00001E010000}"/>
    <cellStyle name="Normal_Book1" xfId="124" xr:uid="{00000000-0005-0000-0000-00001F010000}"/>
    <cellStyle name="Note 2" xfId="321" xr:uid="{00000000-0005-0000-0000-000020010000}"/>
    <cellStyle name="Note 3" xfId="322" xr:uid="{00000000-0005-0000-0000-000021010000}"/>
    <cellStyle name="Note 4" xfId="323" xr:uid="{00000000-0005-0000-0000-000022010000}"/>
    <cellStyle name="Number" xfId="125" xr:uid="{00000000-0005-0000-0000-000023010000}"/>
    <cellStyle name="Output 2" xfId="324" xr:uid="{00000000-0005-0000-0000-000024010000}"/>
    <cellStyle name="Output 3" xfId="325" xr:uid="{00000000-0005-0000-0000-000025010000}"/>
    <cellStyle name="Output Amounts" xfId="326" xr:uid="{00000000-0005-0000-0000-000026010000}"/>
    <cellStyle name="Output Line Items" xfId="327" xr:uid="{00000000-0005-0000-0000-000027010000}"/>
    <cellStyle name="Password" xfId="126" xr:uid="{00000000-0005-0000-0000-000028010000}"/>
    <cellStyle name="Percen - Style1" xfId="127" xr:uid="{00000000-0005-0000-0000-000029010000}"/>
    <cellStyle name="Percen - Style1 2" xfId="128" xr:uid="{00000000-0005-0000-0000-00002A010000}"/>
    <cellStyle name="Percen - Style2" xfId="129" xr:uid="{00000000-0005-0000-0000-00002B010000}"/>
    <cellStyle name="Percen - Style2 2" xfId="130" xr:uid="{00000000-0005-0000-0000-00002C010000}"/>
    <cellStyle name="Percent" xfId="161" builtinId="5"/>
    <cellStyle name="Percent [2]" xfId="131" xr:uid="{00000000-0005-0000-0000-00002E010000}"/>
    <cellStyle name="Percent 10" xfId="328" xr:uid="{00000000-0005-0000-0000-00002F010000}"/>
    <cellStyle name="Percent 11" xfId="329" xr:uid="{00000000-0005-0000-0000-000030010000}"/>
    <cellStyle name="Percent 12" xfId="330" xr:uid="{00000000-0005-0000-0000-000031010000}"/>
    <cellStyle name="Percent 13" xfId="331" xr:uid="{00000000-0005-0000-0000-000032010000}"/>
    <cellStyle name="Percent 14" xfId="332" xr:uid="{00000000-0005-0000-0000-000033010000}"/>
    <cellStyle name="Percent 15" xfId="333" xr:uid="{00000000-0005-0000-0000-000034010000}"/>
    <cellStyle name="Percent 16" xfId="334" xr:uid="{00000000-0005-0000-0000-000035010000}"/>
    <cellStyle name="Percent 17" xfId="335" xr:uid="{00000000-0005-0000-0000-000036010000}"/>
    <cellStyle name="Percent 18" xfId="336" xr:uid="{00000000-0005-0000-0000-000037010000}"/>
    <cellStyle name="Percent 19" xfId="337" xr:uid="{00000000-0005-0000-0000-000038010000}"/>
    <cellStyle name="Percent 2" xfId="132" xr:uid="{00000000-0005-0000-0000-000039010000}"/>
    <cellStyle name="Percent 2 2" xfId="133" xr:uid="{00000000-0005-0000-0000-00003A010000}"/>
    <cellStyle name="Percent 2 2 2" xfId="338" xr:uid="{00000000-0005-0000-0000-00003B010000}"/>
    <cellStyle name="Percent 2 3" xfId="339" xr:uid="{00000000-0005-0000-0000-00003C010000}"/>
    <cellStyle name="Percent 20" xfId="340" xr:uid="{00000000-0005-0000-0000-00003D010000}"/>
    <cellStyle name="Percent 21" xfId="341" xr:uid="{00000000-0005-0000-0000-00003E010000}"/>
    <cellStyle name="Percent 22" xfId="342" xr:uid="{00000000-0005-0000-0000-00003F010000}"/>
    <cellStyle name="Percent 23" xfId="343" xr:uid="{00000000-0005-0000-0000-000040010000}"/>
    <cellStyle name="Percent 24" xfId="344" xr:uid="{00000000-0005-0000-0000-000041010000}"/>
    <cellStyle name="Percent 25" xfId="345" xr:uid="{00000000-0005-0000-0000-000042010000}"/>
    <cellStyle name="Percent 26" xfId="346" xr:uid="{00000000-0005-0000-0000-000043010000}"/>
    <cellStyle name="Percent 27" xfId="347" xr:uid="{00000000-0005-0000-0000-000044010000}"/>
    <cellStyle name="Percent 28" xfId="348" xr:uid="{00000000-0005-0000-0000-000045010000}"/>
    <cellStyle name="Percent 3" xfId="157" xr:uid="{00000000-0005-0000-0000-000046010000}"/>
    <cellStyle name="Percent 3 2" xfId="349" xr:uid="{00000000-0005-0000-0000-000047010000}"/>
    <cellStyle name="Percent 4" xfId="350" xr:uid="{00000000-0005-0000-0000-000048010000}"/>
    <cellStyle name="Percent 5" xfId="351" xr:uid="{00000000-0005-0000-0000-000049010000}"/>
    <cellStyle name="Percent 6" xfId="352" xr:uid="{00000000-0005-0000-0000-00004A010000}"/>
    <cellStyle name="Percent 7" xfId="353" xr:uid="{00000000-0005-0000-0000-00004B010000}"/>
    <cellStyle name="Percent 8" xfId="354" xr:uid="{00000000-0005-0000-0000-00004C010000}"/>
    <cellStyle name="Percent 9" xfId="355" xr:uid="{00000000-0005-0000-0000-00004D010000}"/>
    <cellStyle name="Percent(0)" xfId="134" xr:uid="{00000000-0005-0000-0000-00004E010000}"/>
    <cellStyle name="Percent(0) 2" xfId="356" xr:uid="{00000000-0005-0000-0000-00004F010000}"/>
    <cellStyle name="PSChar" xfId="135" xr:uid="{00000000-0005-0000-0000-000050010000}"/>
    <cellStyle name="PSDate" xfId="136" xr:uid="{00000000-0005-0000-0000-000051010000}"/>
    <cellStyle name="PSDec" xfId="137" xr:uid="{00000000-0005-0000-0000-000052010000}"/>
    <cellStyle name="PSHeading" xfId="138" xr:uid="{00000000-0005-0000-0000-000053010000}"/>
    <cellStyle name="PSInt" xfId="139" xr:uid="{00000000-0005-0000-0000-000054010000}"/>
    <cellStyle name="PSSpacer" xfId="140" xr:uid="{00000000-0005-0000-0000-000055010000}"/>
    <cellStyle name="Reset  - Style7" xfId="357" xr:uid="{00000000-0005-0000-0000-000056010000}"/>
    <cellStyle name="SAPBEXaggData" xfId="358" xr:uid="{00000000-0005-0000-0000-000057010000}"/>
    <cellStyle name="SAPBEXaggDataEmph" xfId="359" xr:uid="{00000000-0005-0000-0000-000058010000}"/>
    <cellStyle name="SAPBEXaggItem" xfId="360" xr:uid="{00000000-0005-0000-0000-000059010000}"/>
    <cellStyle name="SAPBEXaggItemX" xfId="361" xr:uid="{00000000-0005-0000-0000-00005A010000}"/>
    <cellStyle name="SAPBEXchaText" xfId="362" xr:uid="{00000000-0005-0000-0000-00005B010000}"/>
    <cellStyle name="SAPBEXexcBad7" xfId="363" xr:uid="{00000000-0005-0000-0000-00005C010000}"/>
    <cellStyle name="SAPBEXexcBad8" xfId="364" xr:uid="{00000000-0005-0000-0000-00005D010000}"/>
    <cellStyle name="SAPBEXexcBad9" xfId="365" xr:uid="{00000000-0005-0000-0000-00005E010000}"/>
    <cellStyle name="SAPBEXexcCritical4" xfId="366" xr:uid="{00000000-0005-0000-0000-00005F010000}"/>
    <cellStyle name="SAPBEXexcCritical5" xfId="367" xr:uid="{00000000-0005-0000-0000-000060010000}"/>
    <cellStyle name="SAPBEXexcCritical6" xfId="368" xr:uid="{00000000-0005-0000-0000-000061010000}"/>
    <cellStyle name="SAPBEXexcGood1" xfId="369" xr:uid="{00000000-0005-0000-0000-000062010000}"/>
    <cellStyle name="SAPBEXexcGood2" xfId="370" xr:uid="{00000000-0005-0000-0000-000063010000}"/>
    <cellStyle name="SAPBEXexcGood3" xfId="371" xr:uid="{00000000-0005-0000-0000-000064010000}"/>
    <cellStyle name="SAPBEXfilterDrill" xfId="372" xr:uid="{00000000-0005-0000-0000-000065010000}"/>
    <cellStyle name="SAPBEXfilterItem" xfId="373" xr:uid="{00000000-0005-0000-0000-000066010000}"/>
    <cellStyle name="SAPBEXfilterText" xfId="374" xr:uid="{00000000-0005-0000-0000-000067010000}"/>
    <cellStyle name="SAPBEXformats" xfId="375" xr:uid="{00000000-0005-0000-0000-000068010000}"/>
    <cellStyle name="SAPBEXheaderItem" xfId="376" xr:uid="{00000000-0005-0000-0000-000069010000}"/>
    <cellStyle name="SAPBEXheaderText" xfId="377" xr:uid="{00000000-0005-0000-0000-00006A010000}"/>
    <cellStyle name="SAPBEXHLevel0" xfId="378" xr:uid="{00000000-0005-0000-0000-00006B010000}"/>
    <cellStyle name="SAPBEXHLevel0X" xfId="379" xr:uid="{00000000-0005-0000-0000-00006C010000}"/>
    <cellStyle name="SAPBEXHLevel1" xfId="380" xr:uid="{00000000-0005-0000-0000-00006D010000}"/>
    <cellStyle name="SAPBEXHLevel1X" xfId="381" xr:uid="{00000000-0005-0000-0000-00006E010000}"/>
    <cellStyle name="SAPBEXHLevel2" xfId="382" xr:uid="{00000000-0005-0000-0000-00006F010000}"/>
    <cellStyle name="SAPBEXHLevel2X" xfId="383" xr:uid="{00000000-0005-0000-0000-000070010000}"/>
    <cellStyle name="SAPBEXHLevel3" xfId="384" xr:uid="{00000000-0005-0000-0000-000071010000}"/>
    <cellStyle name="SAPBEXHLevel3X" xfId="385" xr:uid="{00000000-0005-0000-0000-000072010000}"/>
    <cellStyle name="SAPBEXresData" xfId="386" xr:uid="{00000000-0005-0000-0000-000073010000}"/>
    <cellStyle name="SAPBEXresDataEmph" xfId="387" xr:uid="{00000000-0005-0000-0000-000074010000}"/>
    <cellStyle name="SAPBEXresItem" xfId="388" xr:uid="{00000000-0005-0000-0000-000075010000}"/>
    <cellStyle name="SAPBEXresItemX" xfId="389" xr:uid="{00000000-0005-0000-0000-000076010000}"/>
    <cellStyle name="SAPBEXstdData" xfId="390" xr:uid="{00000000-0005-0000-0000-000077010000}"/>
    <cellStyle name="SAPBEXstdDataEmph" xfId="391" xr:uid="{00000000-0005-0000-0000-000078010000}"/>
    <cellStyle name="SAPBEXstdItem" xfId="392" xr:uid="{00000000-0005-0000-0000-000079010000}"/>
    <cellStyle name="SAPBEXstdItemX" xfId="393" xr:uid="{00000000-0005-0000-0000-00007A010000}"/>
    <cellStyle name="SAPBEXtitle" xfId="394" xr:uid="{00000000-0005-0000-0000-00007B010000}"/>
    <cellStyle name="SAPBEXundefined" xfId="395" xr:uid="{00000000-0005-0000-0000-00007C010000}"/>
    <cellStyle name="Shade" xfId="141" xr:uid="{00000000-0005-0000-0000-00007D010000}"/>
    <cellStyle name="Special" xfId="142" xr:uid="{00000000-0005-0000-0000-00007E010000}"/>
    <cellStyle name="STYL1 - Style1" xfId="396" xr:uid="{00000000-0005-0000-0000-00007F010000}"/>
    <cellStyle name="Style 1" xfId="143" xr:uid="{00000000-0005-0000-0000-000080010000}"/>
    <cellStyle name="Style 1 2" xfId="144" xr:uid="{00000000-0005-0000-0000-000081010000}"/>
    <cellStyle name="Style 1 3" xfId="397" xr:uid="{00000000-0005-0000-0000-000082010000}"/>
    <cellStyle name="Table  - Style6" xfId="398" xr:uid="{00000000-0005-0000-0000-000083010000}"/>
    <cellStyle name="Text" xfId="399" xr:uid="{00000000-0005-0000-0000-000084010000}"/>
    <cellStyle name="Title  - Style1" xfId="400" xr:uid="{00000000-0005-0000-0000-000085010000}"/>
    <cellStyle name="Title 2" xfId="401" xr:uid="{00000000-0005-0000-0000-000086010000}"/>
    <cellStyle name="Title 3" xfId="402" xr:uid="{00000000-0005-0000-0000-000087010000}"/>
    <cellStyle name="Title 4" xfId="403" xr:uid="{00000000-0005-0000-0000-000088010000}"/>
    <cellStyle name="Title 5" xfId="404" xr:uid="{00000000-0005-0000-0000-000089010000}"/>
    <cellStyle name="Title 6" xfId="405" xr:uid="{00000000-0005-0000-0000-00008A010000}"/>
    <cellStyle name="Titles" xfId="145" xr:uid="{00000000-0005-0000-0000-00008B010000}"/>
    <cellStyle name="Titles 2" xfId="146" xr:uid="{00000000-0005-0000-0000-00008C010000}"/>
    <cellStyle name="Total 2" xfId="406" xr:uid="{00000000-0005-0000-0000-00008D010000}"/>
    <cellStyle name="Total 3" xfId="407" xr:uid="{00000000-0005-0000-0000-00008E010000}"/>
    <cellStyle name="Total2 - Style2" xfId="147" xr:uid="{00000000-0005-0000-0000-00008F010000}"/>
    <cellStyle name="Total2 - Style2 2" xfId="148" xr:uid="{00000000-0005-0000-0000-000090010000}"/>
    <cellStyle name="TotCol - Style5" xfId="408" xr:uid="{00000000-0005-0000-0000-000091010000}"/>
    <cellStyle name="TotRow - Style4" xfId="409" xr:uid="{00000000-0005-0000-0000-000092010000}"/>
    <cellStyle name="TRANSMISSION RELIABILITY PORTION OF PROJECT" xfId="149" xr:uid="{00000000-0005-0000-0000-000093010000}"/>
    <cellStyle name="Tusental (0)_pldt" xfId="410" xr:uid="{00000000-0005-0000-0000-000094010000}"/>
    <cellStyle name="Tusental_pldt" xfId="411" xr:uid="{00000000-0005-0000-0000-000095010000}"/>
    <cellStyle name="Underl - Style4" xfId="150" xr:uid="{00000000-0005-0000-0000-000096010000}"/>
    <cellStyle name="Underl - Style4 2" xfId="151" xr:uid="{00000000-0005-0000-0000-000097010000}"/>
    <cellStyle name="UNLocked" xfId="152" xr:uid="{00000000-0005-0000-0000-000098010000}"/>
    <cellStyle name="Unprot" xfId="153" xr:uid="{00000000-0005-0000-0000-000099010000}"/>
    <cellStyle name="Unprot$" xfId="154" xr:uid="{00000000-0005-0000-0000-00009A010000}"/>
    <cellStyle name="Unprotect" xfId="155" xr:uid="{00000000-0005-0000-0000-00009B010000}"/>
    <cellStyle name="Valuta (0)_pldt" xfId="412" xr:uid="{00000000-0005-0000-0000-00009C010000}"/>
    <cellStyle name="Valuta_pldt" xfId="413" xr:uid="{00000000-0005-0000-0000-00009D010000}"/>
    <cellStyle name="Warning Text 2" xfId="414" xr:uid="{00000000-0005-0000-0000-00009E010000}"/>
    <cellStyle name="Warning Text 3" xfId="415" xr:uid="{00000000-0005-0000-0000-00009F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microsoft.com/office/2017/10/relationships/person" Target="persons/person.xml"/><Relationship Id="rId58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eetMetadata" Target="metadata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Shahumyan, Zepure (PacifiCorp)" id="{7D3077F6-6078-43E0-B35F-2A00B9885044}" userId="S::Zepure.Shahumyan@pacificorp.com::1c361d70-ab1b-40ec-b7c0-1b3d04597b52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K16" dT="2024-01-11T22:25:20.56" personId="{7D3077F6-6078-43E0-B35F-2A00B9885044}" id="{E82FAD12-5124-4DAF-8268-8715912BAD71}">
    <text>Victoria please don't use this column unless you first confirm which data this corresponds to.</text>
  </threadedComment>
  <threadedComment ref="AF38" dT="2024-01-11T22:23:12.13" personId="{7D3077F6-6078-43E0-B35F-2A00B9885044}" id="{A71F7B08-88C6-410D-B7D9-9AF7BB02ABE3}">
    <text xml:space="preserve">Based on 2020 $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FF00"/>
  </sheetPr>
  <dimension ref="B2:E66"/>
  <sheetViews>
    <sheetView tabSelected="1" zoomScale="130" zoomScaleNormal="130" workbookViewId="0"/>
  </sheetViews>
  <sheetFormatPr defaultRowHeight="11.25"/>
  <cols>
    <col min="1" max="2" width="2.83203125" customWidth="1"/>
    <col min="3" max="3" width="6.33203125" style="342" customWidth="1"/>
    <col min="4" max="4" width="64.5" customWidth="1"/>
    <col min="5" max="5" width="2.83203125" customWidth="1"/>
  </cols>
  <sheetData>
    <row r="2" spans="2:5">
      <c r="B2" s="232"/>
      <c r="C2" s="552"/>
      <c r="D2" s="233"/>
      <c r="E2" s="234"/>
    </row>
    <row r="3" spans="2:5">
      <c r="B3" s="2"/>
      <c r="C3" s="553" t="s">
        <v>0</v>
      </c>
      <c r="E3" s="235"/>
    </row>
    <row r="4" spans="2:5">
      <c r="B4" s="2"/>
      <c r="C4" s="553" t="s">
        <v>394</v>
      </c>
      <c r="E4" s="235"/>
    </row>
    <row r="5" spans="2:5">
      <c r="B5" s="2"/>
      <c r="C5" s="553" t="s">
        <v>1</v>
      </c>
      <c r="E5" s="235"/>
    </row>
    <row r="6" spans="2:5">
      <c r="B6" s="2"/>
      <c r="E6" s="235"/>
    </row>
    <row r="7" spans="2:5">
      <c r="B7" s="2"/>
      <c r="C7" s="553" t="s">
        <v>2</v>
      </c>
      <c r="E7" s="235"/>
    </row>
    <row r="8" spans="2:5">
      <c r="B8" s="2"/>
      <c r="E8" s="235"/>
    </row>
    <row r="9" spans="2:5">
      <c r="B9" s="2"/>
      <c r="C9" s="342" t="s">
        <v>3</v>
      </c>
      <c r="E9" s="235"/>
    </row>
    <row r="10" spans="2:5">
      <c r="B10" s="2"/>
      <c r="C10" s="342">
        <v>1.1000000000000001</v>
      </c>
      <c r="D10" t="s">
        <v>4</v>
      </c>
      <c r="E10" s="235"/>
    </row>
    <row r="11" spans="2:5">
      <c r="B11" s="2"/>
      <c r="C11" s="342">
        <v>1.2</v>
      </c>
      <c r="D11" t="s">
        <v>5</v>
      </c>
      <c r="E11" s="235"/>
    </row>
    <row r="12" spans="2:5">
      <c r="B12" s="2"/>
      <c r="E12" s="235"/>
    </row>
    <row r="13" spans="2:5">
      <c r="B13" s="2"/>
      <c r="C13" s="342" t="s">
        <v>6</v>
      </c>
      <c r="E13" s="235"/>
    </row>
    <row r="14" spans="2:5">
      <c r="B14" s="2"/>
      <c r="C14" s="554">
        <v>2.1</v>
      </c>
      <c r="D14" t="s">
        <v>352</v>
      </c>
      <c r="E14" s="235"/>
    </row>
    <row r="15" spans="2:5">
      <c r="B15" s="2"/>
      <c r="C15" s="554" t="s">
        <v>361</v>
      </c>
      <c r="D15" t="s">
        <v>7</v>
      </c>
      <c r="E15" s="235"/>
    </row>
    <row r="16" spans="2:5">
      <c r="B16" s="2"/>
      <c r="C16" s="554" t="s">
        <v>360</v>
      </c>
      <c r="D16" t="s">
        <v>131</v>
      </c>
      <c r="E16" s="235"/>
    </row>
    <row r="17" spans="2:5">
      <c r="B17" s="2"/>
      <c r="C17" s="554" t="s">
        <v>362</v>
      </c>
      <c r="D17" t="s">
        <v>112</v>
      </c>
      <c r="E17" s="235"/>
    </row>
    <row r="18" spans="2:5">
      <c r="B18" s="2"/>
      <c r="C18" s="554" t="s">
        <v>363</v>
      </c>
      <c r="D18" t="s">
        <v>118</v>
      </c>
      <c r="E18" s="235"/>
    </row>
    <row r="19" spans="2:5">
      <c r="B19" s="2"/>
      <c r="C19" s="554" t="s">
        <v>374</v>
      </c>
      <c r="D19" t="s">
        <v>375</v>
      </c>
      <c r="E19" s="235"/>
    </row>
    <row r="20" spans="2:5">
      <c r="B20" s="2"/>
      <c r="C20" s="554"/>
      <c r="E20" s="235"/>
    </row>
    <row r="21" spans="2:5">
      <c r="B21" s="2"/>
      <c r="C21" s="342" t="s">
        <v>8</v>
      </c>
      <c r="E21" s="235"/>
    </row>
    <row r="22" spans="2:5">
      <c r="B22" s="2"/>
      <c r="D22" s="237" t="s">
        <v>270</v>
      </c>
      <c r="E22" s="235"/>
    </row>
    <row r="23" spans="2:5">
      <c r="B23" s="2"/>
      <c r="D23" s="237" t="s">
        <v>274</v>
      </c>
      <c r="E23" s="235"/>
    </row>
    <row r="24" spans="2:5">
      <c r="B24" s="2"/>
      <c r="D24" s="237" t="s">
        <v>223</v>
      </c>
      <c r="E24" s="235"/>
    </row>
    <row r="25" spans="2:5">
      <c r="B25" s="2"/>
      <c r="D25" s="237" t="s">
        <v>411</v>
      </c>
      <c r="E25" s="235"/>
    </row>
    <row r="26" spans="2:5">
      <c r="B26" s="2"/>
      <c r="D26" s="237" t="s">
        <v>281</v>
      </c>
      <c r="E26" s="235"/>
    </row>
    <row r="27" spans="2:5">
      <c r="B27" s="2"/>
      <c r="D27" s="237" t="s">
        <v>263</v>
      </c>
      <c r="E27" s="235"/>
    </row>
    <row r="28" spans="2:5">
      <c r="B28" s="2"/>
      <c r="D28" s="237" t="s">
        <v>262</v>
      </c>
      <c r="E28" s="235"/>
    </row>
    <row r="29" spans="2:5">
      <c r="B29" s="2"/>
      <c r="D29" s="237" t="s">
        <v>424</v>
      </c>
      <c r="E29" s="235"/>
    </row>
    <row r="30" spans="2:5">
      <c r="B30" s="2"/>
      <c r="D30" s="237" t="s">
        <v>252</v>
      </c>
      <c r="E30" s="235"/>
    </row>
    <row r="31" spans="2:5">
      <c r="B31" s="2"/>
      <c r="D31" s="237" t="s">
        <v>429</v>
      </c>
      <c r="E31" s="235"/>
    </row>
    <row r="32" spans="2:5">
      <c r="B32" s="2"/>
      <c r="D32" s="237" t="s">
        <v>412</v>
      </c>
      <c r="E32" s="235"/>
    </row>
    <row r="33" spans="2:5">
      <c r="B33" s="2"/>
      <c r="D33" s="237" t="s">
        <v>413</v>
      </c>
      <c r="E33" s="235"/>
    </row>
    <row r="34" spans="2:5">
      <c r="B34" s="2"/>
      <c r="D34" s="237" t="s">
        <v>414</v>
      </c>
      <c r="E34" s="235"/>
    </row>
    <row r="35" spans="2:5">
      <c r="B35" s="2"/>
      <c r="D35" s="237" t="s">
        <v>419</v>
      </c>
      <c r="E35" s="235"/>
    </row>
    <row r="36" spans="2:5">
      <c r="B36" s="2"/>
      <c r="D36" s="237" t="s">
        <v>420</v>
      </c>
      <c r="E36" s="235"/>
    </row>
    <row r="37" spans="2:5">
      <c r="B37" s="2"/>
      <c r="D37" s="237" t="s">
        <v>422</v>
      </c>
      <c r="E37" s="235"/>
    </row>
    <row r="38" spans="2:5">
      <c r="B38" s="2"/>
      <c r="D38" s="237" t="s">
        <v>421</v>
      </c>
      <c r="E38" s="235"/>
    </row>
    <row r="39" spans="2:5">
      <c r="B39" s="2"/>
      <c r="D39" s="237" t="s">
        <v>201</v>
      </c>
      <c r="E39" s="235"/>
    </row>
    <row r="40" spans="2:5">
      <c r="B40" s="2"/>
      <c r="D40" s="237" t="s">
        <v>256</v>
      </c>
      <c r="E40" s="235"/>
    </row>
    <row r="41" spans="2:5">
      <c r="B41" s="2"/>
      <c r="D41" s="237" t="s">
        <v>423</v>
      </c>
      <c r="E41" s="235"/>
    </row>
    <row r="42" spans="2:5">
      <c r="B42" s="2"/>
      <c r="D42" s="237" t="s">
        <v>20</v>
      </c>
      <c r="E42" s="235"/>
    </row>
    <row r="43" spans="2:5">
      <c r="B43" s="2"/>
      <c r="D43" s="237" t="s">
        <v>21</v>
      </c>
      <c r="E43" s="235"/>
    </row>
    <row r="44" spans="2:5">
      <c r="B44" s="2"/>
      <c r="D44" s="237" t="s">
        <v>357</v>
      </c>
      <c r="E44" s="235"/>
    </row>
    <row r="45" spans="2:5">
      <c r="B45" s="2"/>
      <c r="D45" s="237" t="s">
        <v>358</v>
      </c>
      <c r="E45" s="235"/>
    </row>
    <row r="46" spans="2:5">
      <c r="B46" s="2"/>
      <c r="D46" s="237" t="s">
        <v>359</v>
      </c>
      <c r="E46" s="235"/>
    </row>
    <row r="47" spans="2:5">
      <c r="B47" s="2"/>
      <c r="D47" s="237" t="s">
        <v>258</v>
      </c>
      <c r="E47" s="235"/>
    </row>
    <row r="48" spans="2:5">
      <c r="B48" s="2"/>
      <c r="D48" s="237" t="s">
        <v>259</v>
      </c>
      <c r="E48" s="235"/>
    </row>
    <row r="49" spans="2:5">
      <c r="B49" s="2"/>
      <c r="D49" s="237" t="s">
        <v>265</v>
      </c>
      <c r="E49" s="235"/>
    </row>
    <row r="50" spans="2:5">
      <c r="B50" s="2"/>
      <c r="D50" s="237" t="s">
        <v>260</v>
      </c>
      <c r="E50" s="235"/>
    </row>
    <row r="51" spans="2:5">
      <c r="B51" s="2"/>
      <c r="D51" s="237" t="s">
        <v>19</v>
      </c>
      <c r="E51" s="235"/>
    </row>
    <row r="52" spans="2:5">
      <c r="B52" s="2"/>
      <c r="D52" s="237" t="s">
        <v>430</v>
      </c>
      <c r="E52" s="235"/>
    </row>
    <row r="53" spans="2:5">
      <c r="B53" s="2"/>
      <c r="D53" s="237" t="s">
        <v>415</v>
      </c>
      <c r="E53" s="235"/>
    </row>
    <row r="54" spans="2:5">
      <c r="B54" s="2"/>
      <c r="D54" s="237" t="s">
        <v>416</v>
      </c>
      <c r="E54" s="235"/>
    </row>
    <row r="55" spans="2:5">
      <c r="B55" s="2"/>
      <c r="D55" s="237" t="s">
        <v>266</v>
      </c>
      <c r="E55" s="235"/>
    </row>
    <row r="56" spans="2:5">
      <c r="B56" s="2"/>
      <c r="D56" s="237" t="s">
        <v>267</v>
      </c>
      <c r="E56" s="235"/>
    </row>
    <row r="57" spans="2:5">
      <c r="B57" s="2"/>
      <c r="D57" s="237" t="s">
        <v>268</v>
      </c>
      <c r="E57" s="235"/>
    </row>
    <row r="58" spans="2:5">
      <c r="B58" s="2"/>
      <c r="D58" s="237" t="s">
        <v>417</v>
      </c>
      <c r="E58" s="235"/>
    </row>
    <row r="59" spans="2:5">
      <c r="B59" s="2"/>
      <c r="D59" s="237" t="s">
        <v>418</v>
      </c>
      <c r="E59" s="235"/>
    </row>
    <row r="60" spans="2:5">
      <c r="B60" s="2"/>
      <c r="D60" s="237" t="s">
        <v>269</v>
      </c>
      <c r="E60" s="235"/>
    </row>
    <row r="61" spans="2:5">
      <c r="B61" s="2"/>
      <c r="D61" s="237" t="s">
        <v>17</v>
      </c>
      <c r="E61" s="235"/>
    </row>
    <row r="62" spans="2:5">
      <c r="B62" s="2"/>
      <c r="D62" s="237" t="s">
        <v>290</v>
      </c>
      <c r="E62" s="235"/>
    </row>
    <row r="63" spans="2:5">
      <c r="B63" s="2"/>
      <c r="D63" s="237" t="s">
        <v>291</v>
      </c>
      <c r="E63" s="235"/>
    </row>
    <row r="64" spans="2:5">
      <c r="B64" s="2"/>
      <c r="D64" s="237" t="s">
        <v>347</v>
      </c>
      <c r="E64" s="235"/>
    </row>
    <row r="65" spans="2:5">
      <c r="B65" s="2"/>
      <c r="D65" s="237"/>
      <c r="E65" s="235"/>
    </row>
    <row r="66" spans="2:5">
      <c r="B66" s="238"/>
      <c r="C66" s="555"/>
      <c r="D66" s="277"/>
      <c r="E66" s="239"/>
    </row>
  </sheetData>
  <pageMargins left="0.25" right="0.25" top="0.25" bottom="0.75" header="0.3" footer="0.3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B7590-1A4A-4C81-8A07-0B324C0DE857}">
  <sheetPr codeName="Sheet12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307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431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200</v>
      </c>
      <c r="H11" s="252"/>
      <c r="AB11" s="122" t="s">
        <v>99</v>
      </c>
      <c r="AC11" s="123"/>
      <c r="AD11" s="123"/>
      <c r="AE11" s="123"/>
      <c r="AF11" s="281">
        <f>+G11*(G12/AJ16)</f>
        <v>121.73195109965545</v>
      </c>
      <c r="AG11" s="127"/>
      <c r="AH11" s="123" t="s">
        <v>100</v>
      </c>
      <c r="AI11" s="124"/>
      <c r="AJ11" s="166">
        <f>'(2.1)_Proxy Resources'!N53</f>
        <v>19.805241420865066</v>
      </c>
      <c r="AK11" s="235"/>
      <c r="AZ11" s="122" t="s">
        <v>99</v>
      </c>
      <c r="BA11" s="123"/>
      <c r="BB11" s="123"/>
      <c r="BC11" s="123"/>
      <c r="BD11" s="134">
        <f>(AF11*AF13-G11*G19)</f>
        <v>90.131951099655453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0.42780000000000001</v>
      </c>
      <c r="H12" s="252"/>
      <c r="AB12" s="122" t="s">
        <v>32</v>
      </c>
      <c r="AC12" s="123"/>
      <c r="AD12" s="123"/>
      <c r="AE12" s="123"/>
      <c r="AF12" s="131">
        <f>+AD58/8760/AF11</f>
        <v>0.70215287956755568</v>
      </c>
      <c r="AG12" s="127"/>
      <c r="AH12" s="117" t="s">
        <v>101</v>
      </c>
      <c r="AI12" s="118"/>
      <c r="AJ12" s="117">
        <v>2016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2021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Resources'!O53</f>
        <v>2.02116486562735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20</v>
      </c>
      <c r="H14" s="252"/>
      <c r="AB14" s="122" t="s">
        <v>104</v>
      </c>
      <c r="AC14" s="123"/>
      <c r="AD14" s="123"/>
      <c r="AE14" s="123"/>
      <c r="AF14" s="134">
        <f>'(2.1)_Proxy Resources'!H53*(1+E28)</f>
        <v>6568.8407594737137</v>
      </c>
      <c r="AG14" s="127"/>
      <c r="AH14" s="117"/>
      <c r="AI14" s="118"/>
      <c r="AJ14" s="166"/>
      <c r="AK14" s="235"/>
      <c r="AZ14" s="122" t="s">
        <v>192</v>
      </c>
      <c r="BA14" s="123"/>
      <c r="BB14" s="123"/>
      <c r="BC14" s="123"/>
      <c r="BD14" s="167">
        <f>'(2.1)_Proxy Resources'!J95</f>
        <v>747</v>
      </c>
      <c r="BE14" s="132"/>
    </row>
    <row r="15" spans="1:57" ht="12">
      <c r="A15" t="s">
        <v>288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232</v>
      </c>
      <c r="AC15" s="123"/>
      <c r="AD15" s="123"/>
      <c r="AE15" s="123"/>
      <c r="AF15" s="167">
        <f>'(2.1)_Proxy Resources'!J53</f>
        <v>1362.6215812395926</v>
      </c>
      <c r="AG15" s="127"/>
      <c r="AH15" s="117" t="s">
        <v>145</v>
      </c>
      <c r="AI15" s="118"/>
      <c r="AJ15" s="166">
        <f>'(2.1)_Proxy Resources'!P53</f>
        <v>2.2807762714164963</v>
      </c>
      <c r="AK15" s="235"/>
      <c r="AZ15" s="122" t="s">
        <v>108</v>
      </c>
      <c r="BA15" s="123"/>
      <c r="BB15" s="123"/>
      <c r="BC15" s="123"/>
      <c r="BD15" s="136">
        <f>'(2.1)_Proxy Resources'!K95</f>
        <v>8.6199999999999999E-2</v>
      </c>
      <c r="BE15" s="132"/>
    </row>
    <row r="16" spans="1:57" ht="12">
      <c r="A16" t="s">
        <v>288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Resources'!K52</f>
        <v>7.2562879502455491E-2</v>
      </c>
      <c r="AG16" s="127"/>
      <c r="AH16" s="117" t="s">
        <v>110</v>
      </c>
      <c r="AI16" s="124"/>
      <c r="AJ16" s="137">
        <f>'(2.1)_Proxy Resources'!D53</f>
        <v>0.70285573530285894</v>
      </c>
      <c r="AK16" s="235"/>
      <c r="AZ16" s="122" t="s">
        <v>100</v>
      </c>
      <c r="BA16" s="124"/>
      <c r="BB16" s="166">
        <f>'(2.1)_Proxy Resources'!N95</f>
        <v>4.24</v>
      </c>
      <c r="BE16" s="130"/>
    </row>
    <row r="17" spans="1:60" ht="12">
      <c r="A17" t="s">
        <v>288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'(2.2)_Forward_Price_Curve'!AA8</f>
        <v>6.5699999999999995E-2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'(2.2)_Forward_Price_Curve'!L103</f>
        <v>0.158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2021</v>
      </c>
      <c r="E28" s="169">
        <f>'(2.2)_Forward_Price_Curve'!T35</f>
        <v>2.4E-2</v>
      </c>
      <c r="G28" s="18">
        <v>748756.09440000006</v>
      </c>
      <c r="I28" s="268">
        <f>$G$15*(1+E28)</f>
        <v>0</v>
      </c>
      <c r="J28" s="268"/>
      <c r="K28" s="268">
        <v>15.5</v>
      </c>
      <c r="L28" s="269"/>
      <c r="M28" s="268">
        <f>$G$17</f>
        <v>0</v>
      </c>
      <c r="O28" s="270">
        <f>'(2.2)_Forward_Price_Curve'!AC35</f>
        <v>1.1679956801767024</v>
      </c>
      <c r="Q28" s="28"/>
      <c r="S28" s="18">
        <f>(I28*$G$11*1000+(K28+M28+O28+Q28)*G28)/1000</f>
        <v>12480.263346965181</v>
      </c>
      <c r="U28" s="18">
        <f t="shared" ref="U28:U47" si="0">AX28</f>
        <v>25907.310539473689</v>
      </c>
      <c r="W28" s="18">
        <f t="shared" ref="W28:W47" si="1">S28-U28</f>
        <v>-13427.047192508508</v>
      </c>
      <c r="Y28" s="271">
        <f>+W28*1000/G28</f>
        <v>-17.932471325349265</v>
      </c>
      <c r="Z28" s="235"/>
      <c r="AB28" s="146">
        <f>$C$28</f>
        <v>2021</v>
      </c>
      <c r="AC28" s="117"/>
      <c r="AD28" s="151">
        <f t="shared" ref="AD28:AD47" si="2">G28</f>
        <v>748756.09440000006</v>
      </c>
      <c r="AF28" s="152">
        <f>$AF$15*$AF$16*(1+E28)</f>
        <v>101.24876350150033</v>
      </c>
      <c r="AG28" s="272"/>
      <c r="AH28" s="152">
        <f>$AJ$11*(1+E28)</f>
        <v>20.280567214965828</v>
      </c>
      <c r="AI28" s="272"/>
      <c r="AJ28" s="152">
        <f>$AJ$13*(1+E28)</f>
        <v>2.0696728224024064</v>
      </c>
      <c r="AK28" s="272"/>
      <c r="AL28" s="153">
        <f>((AF28+AH28)*$AF$11*1000+AJ28*AD28)/1000</f>
        <v>16343.682683138564</v>
      </c>
      <c r="AN28" s="154">
        <f>INDEX('(2.2)_Forward_Price_Curve'!$K:$K,MATCH($AB28,'(2.2)_Forward_Price_Curve'!$C:$C,0),1)</f>
        <v>2.8767624999999999</v>
      </c>
      <c r="AO28" s="279"/>
      <c r="AP28" s="154">
        <f>AN28*$AF$14/1000+$AJ$14/(1+E29)</f>
        <v>18.896994765325498</v>
      </c>
      <c r="AQ28" s="272"/>
      <c r="AR28" s="152">
        <f>$AJ$15*(1+E28)</f>
        <v>2.3355149019304924</v>
      </c>
      <c r="AS28" s="152"/>
      <c r="AT28" s="153">
        <f t="shared" ref="AT28:AT47" si="3">AL28-BF28</f>
        <v>10009.339526708849</v>
      </c>
      <c r="AU28" s="272"/>
      <c r="AV28" s="153">
        <f t="shared" ref="AV28:AV47" si="4">(AP28+AR28)*AD28/1000</f>
        <v>15897.97101276484</v>
      </c>
      <c r="AW28" s="273"/>
      <c r="AX28" s="155">
        <f>AT28+AV28</f>
        <v>25907.310539473689</v>
      </c>
      <c r="AZ28" s="146">
        <f>$C$28</f>
        <v>2021</v>
      </c>
      <c r="BA28" s="117"/>
      <c r="BB28" s="152">
        <f>$BD$14*$BD$15*(1+E28)</f>
        <v>65.936793600000001</v>
      </c>
      <c r="BD28" s="152">
        <f>$BB$16*(1+E28)</f>
        <v>4.3417600000000007</v>
      </c>
      <c r="BE28" s="272"/>
      <c r="BF28" s="153">
        <f>(BB28+BD28)*$BD$11</f>
        <v>6334.3431564297152</v>
      </c>
      <c r="BG28" s="272"/>
      <c r="BH28" s="156"/>
    </row>
    <row r="29" spans="1:60" ht="12">
      <c r="B29" s="2"/>
      <c r="C29">
        <f>+IF(C28&gt;$G$13+$G$14,XX,C28+1)</f>
        <v>2022</v>
      </c>
      <c r="E29" s="169">
        <f>'(2.2)_Forward_Price_Curve'!T36</f>
        <v>2.4E-2</v>
      </c>
      <c r="G29" s="18">
        <v>748756.09440000006</v>
      </c>
      <c r="I29" s="28">
        <f>I28*(1+$E29)</f>
        <v>0</v>
      </c>
      <c r="K29" s="28">
        <v>15.5</v>
      </c>
      <c r="M29" s="28">
        <f>M28*(1+$E29)</f>
        <v>0</v>
      </c>
      <c r="O29" s="270">
        <f>'(2.2)_Forward_Price_Curve'!AC36</f>
        <v>1.1974836718320334</v>
      </c>
      <c r="Q29" s="28"/>
      <c r="S29" s="18">
        <f t="shared" ref="S29:S47" si="5">(I29*$G$11*1000+(K29+M29+O29+Q29)*G29)/1000</f>
        <v>12502.342660428725</v>
      </c>
      <c r="U29" s="18">
        <f t="shared" si="0"/>
        <v>26844.110211689407</v>
      </c>
      <c r="W29" s="18">
        <f t="shared" si="1"/>
        <v>-14341.767551260682</v>
      </c>
      <c r="Y29" s="271">
        <f t="shared" ref="Y29:Y47" si="6">+W29*1000/G29</f>
        <v>-19.154124632205036</v>
      </c>
      <c r="Z29" s="235"/>
      <c r="AB29" s="146">
        <f>+IF(AB28&gt;$G$13+$G$14,XX,AB28+1)</f>
        <v>2022</v>
      </c>
      <c r="AC29" s="117"/>
      <c r="AD29" s="151">
        <f t="shared" si="2"/>
        <v>748756.09440000006</v>
      </c>
      <c r="AF29" s="154">
        <f>AF28*(1+$E29)</f>
        <v>103.67873382553634</v>
      </c>
      <c r="AH29" s="154">
        <f>AH28*(1+$E29)</f>
        <v>20.767300828125009</v>
      </c>
      <c r="AJ29" s="154">
        <f>AJ28*(1+$E29)</f>
        <v>2.1193449701400642</v>
      </c>
      <c r="AL29" s="153">
        <f t="shared" ref="AL29:AL47" si="7">((AF29+AH29)*$AF$11*1000+AJ29*AD29)/1000</f>
        <v>16735.931067533889</v>
      </c>
      <c r="AN29" s="154">
        <f>INDEX('(2.2)_Forward_Price_Curve'!$K:$K,MATCH($AB29,'(2.2)_Forward_Price_Curve'!$C:$C,0),1)</f>
        <v>3.0098541666666665</v>
      </c>
      <c r="AP29" s="154">
        <f>AN29*$AF$14/1000+$AJ$14</f>
        <v>19.771252730071787</v>
      </c>
      <c r="AR29" s="154">
        <f>AR28*(1+$E29)</f>
        <v>2.3915672595768243</v>
      </c>
      <c r="AS29" s="154"/>
      <c r="AT29" s="153">
        <f t="shared" si="3"/>
        <v>10249.563675349862</v>
      </c>
      <c r="AV29" s="153">
        <f t="shared" si="4"/>
        <v>16594.546536339545</v>
      </c>
      <c r="AW29" s="273"/>
      <c r="AX29" s="155">
        <f t="shared" ref="AX29:AX47" si="8">AT29+AV29</f>
        <v>26844.110211689407</v>
      </c>
      <c r="AZ29" s="146">
        <f>+IF(AZ28&gt;$G$13+$G$14,XX,AZ28+1)</f>
        <v>2022</v>
      </c>
      <c r="BA29" s="117"/>
      <c r="BB29" s="154">
        <f>BB28*(1+$E29)</f>
        <v>67.519276646400002</v>
      </c>
      <c r="BD29" s="154">
        <f>BD28*(1+$E29)</f>
        <v>4.445962240000001</v>
      </c>
      <c r="BF29" s="153">
        <f t="shared" ref="BF29:BF47" si="9">(BB29+BD29)*$BD$11</f>
        <v>6486.3673921840282</v>
      </c>
      <c r="BH29" s="157"/>
    </row>
    <row r="30" spans="1:60" ht="12">
      <c r="B30" s="2"/>
      <c r="C30">
        <f>+IF(C29&gt;$G$13+$G$14,XX,C29+1)</f>
        <v>2023</v>
      </c>
      <c r="E30" s="169">
        <f>'(2.2)_Forward_Price_Curve'!T37</f>
        <v>2.4E-2</v>
      </c>
      <c r="G30" s="18">
        <v>748756.09440000006</v>
      </c>
      <c r="I30" s="28">
        <f t="shared" ref="I30:I47" si="10">I29*(1+$E30)</f>
        <v>0</v>
      </c>
      <c r="K30" s="28">
        <v>15.5</v>
      </c>
      <c r="M30" s="28">
        <f t="shared" ref="M30:M46" si="11">M29*(1+$E30)</f>
        <v>0</v>
      </c>
      <c r="O30" s="270">
        <f>'(2.2)_Forward_Price_Curve'!AC37</f>
        <v>1.2269144627008759</v>
      </c>
      <c r="Q30" s="28"/>
      <c r="S30" s="18">
        <f t="shared" si="5"/>
        <v>12524.379144454782</v>
      </c>
      <c r="U30" s="18">
        <f t="shared" si="0"/>
        <v>29431.206285353066</v>
      </c>
      <c r="W30" s="18">
        <f t="shared" si="1"/>
        <v>-16906.827140898284</v>
      </c>
      <c r="Y30" s="271">
        <f t="shared" si="6"/>
        <v>-22.579885849805621</v>
      </c>
      <c r="Z30" s="235"/>
      <c r="AB30" s="146">
        <f>+IF(AB29&gt;$G$13+$G$14,XX,AB29+1)</f>
        <v>2023</v>
      </c>
      <c r="AC30" s="117"/>
      <c r="AD30" s="151">
        <f t="shared" si="2"/>
        <v>748756.09440000006</v>
      </c>
      <c r="AF30" s="154">
        <f t="shared" ref="AF30:AF47" si="12">AF29*(1+$E30)</f>
        <v>106.16702343734921</v>
      </c>
      <c r="AH30" s="154">
        <f t="shared" ref="AH30:AH47" si="13">AH29*(1+$E30)</f>
        <v>21.265716048000009</v>
      </c>
      <c r="AJ30" s="154">
        <f t="shared" ref="AJ30:AJ47" si="14">AJ29*(1+$E30)</f>
        <v>2.1702092494234257</v>
      </c>
      <c r="AL30" s="153">
        <f t="shared" si="7"/>
        <v>17137.593413154704</v>
      </c>
      <c r="AN30" s="154">
        <f>INDEX('(2.2)_Forward_Price_Curve'!$K:$K,MATCH($AB30,'(2.2)_Forward_Price_Curve'!$C:$C,0),1)</f>
        <v>3.4771000000000001</v>
      </c>
      <c r="AP30" s="154">
        <f>AN30*$AF$14/1000+$AJ$14*(1+E30)</f>
        <v>22.84051620476605</v>
      </c>
      <c r="AR30" s="154">
        <f t="shared" ref="AR30:AR47" si="15">AR29*(1+$E30)</f>
        <v>2.4489648738066681</v>
      </c>
      <c r="AS30" s="154"/>
      <c r="AT30" s="153">
        <f t="shared" si="3"/>
        <v>10495.553203558258</v>
      </c>
      <c r="AV30" s="153">
        <f t="shared" si="4"/>
        <v>18935.653081794808</v>
      </c>
      <c r="AW30" s="273"/>
      <c r="AX30" s="155">
        <f t="shared" si="8"/>
        <v>29431.206285353066</v>
      </c>
      <c r="AZ30" s="146">
        <f>+IF(AZ29&gt;$G$13+$G$14,XX,AZ29+1)</f>
        <v>2023</v>
      </c>
      <c r="BA30" s="117"/>
      <c r="BB30" s="154">
        <f t="shared" ref="BB30:BB47" si="16">BB29*(1+$E30)</f>
        <v>69.139739285913606</v>
      </c>
      <c r="BD30" s="154">
        <f t="shared" ref="BD30:BD47" si="17">BD29*(1+$E30)</f>
        <v>4.5526653337600012</v>
      </c>
      <c r="BF30" s="153">
        <f t="shared" si="9"/>
        <v>6642.0402095964455</v>
      </c>
      <c r="BH30" s="157"/>
    </row>
    <row r="31" spans="1:60" ht="12">
      <c r="B31" s="2"/>
      <c r="C31">
        <f>+IF(C30&gt;$G$13+$G$14,XX,C30+1)</f>
        <v>2024</v>
      </c>
      <c r="E31" s="169">
        <f>'(2.2)_Forward_Price_Curve'!T38</f>
        <v>2.3E-2</v>
      </c>
      <c r="G31" s="18">
        <v>748756.09440000006</v>
      </c>
      <c r="I31" s="28">
        <f t="shared" si="10"/>
        <v>0</v>
      </c>
      <c r="K31" s="28">
        <v>15.5</v>
      </c>
      <c r="M31" s="28">
        <f t="shared" si="11"/>
        <v>0</v>
      </c>
      <c r="O31" s="270">
        <f>'(2.2)_Forward_Price_Curve'!AC38</f>
        <v>1.2554480395092353</v>
      </c>
      <c r="Q31" s="28"/>
      <c r="S31" s="18">
        <f t="shared" si="5"/>
        <v>12545.743833985074</v>
      </c>
      <c r="U31" s="18">
        <f t="shared" si="0"/>
        <v>32059.32628265904</v>
      </c>
      <c r="W31" s="18">
        <f t="shared" si="1"/>
        <v>-19513.582448673966</v>
      </c>
      <c r="Y31" s="271">
        <f t="shared" si="6"/>
        <v>-26.061333716837076</v>
      </c>
      <c r="Z31" s="235"/>
      <c r="AB31" s="146">
        <f>+IF(AB30&gt;$G$13+$G$14,XX,AB30+1)</f>
        <v>2024</v>
      </c>
      <c r="AC31" s="117"/>
      <c r="AD31" s="151">
        <f t="shared" si="2"/>
        <v>748756.09440000006</v>
      </c>
      <c r="AF31" s="154">
        <f t="shared" si="12"/>
        <v>108.60886497640824</v>
      </c>
      <c r="AH31" s="154">
        <f t="shared" si="13"/>
        <v>21.754827517104008</v>
      </c>
      <c r="AJ31" s="154">
        <f t="shared" si="14"/>
        <v>2.2201240621601643</v>
      </c>
      <c r="AL31" s="153">
        <f t="shared" si="7"/>
        <v>17531.75806165726</v>
      </c>
      <c r="AN31" s="154">
        <f>INDEX('(2.2)_Forward_Price_Curve'!$K:$K,MATCH($AB31,'(2.2)_Forward_Price_Curve'!$C:$C,0),1)</f>
        <v>3.9537833333333325</v>
      </c>
      <c r="AP31" s="154">
        <f>AN31*$AF$14/1000+$AJ$14*(1+E31)</f>
        <v>25.971773114127839</v>
      </c>
      <c r="AR31" s="154">
        <f t="shared" si="15"/>
        <v>2.5052910659042213</v>
      </c>
      <c r="AS31" s="154"/>
      <c r="AT31" s="153">
        <f t="shared" si="3"/>
        <v>10736.950927240097</v>
      </c>
      <c r="AV31" s="153">
        <f t="shared" si="4"/>
        <v>21322.375355418942</v>
      </c>
      <c r="AW31" s="273"/>
      <c r="AX31" s="155">
        <f t="shared" si="8"/>
        <v>32059.32628265904</v>
      </c>
      <c r="AZ31" s="146">
        <f>+IF(AZ30&gt;$G$13+$G$14,XX,AZ30+1)</f>
        <v>2024</v>
      </c>
      <c r="BA31" s="117"/>
      <c r="BB31" s="154">
        <f t="shared" si="16"/>
        <v>70.729953289489615</v>
      </c>
      <c r="BD31" s="154">
        <f t="shared" si="17"/>
        <v>4.6573766364364806</v>
      </c>
      <c r="BF31" s="153">
        <f t="shared" si="9"/>
        <v>6794.8071344171631</v>
      </c>
      <c r="BH31" s="157"/>
    </row>
    <row r="32" spans="1:60" ht="12">
      <c r="B32" s="2"/>
      <c r="C32">
        <f>+IF(C31&gt;$G$13+$G$14,XX,C31+1)</f>
        <v>2025</v>
      </c>
      <c r="E32" s="169">
        <f>'(2.2)_Forward_Price_Curve'!T39</f>
        <v>2.1999999999999999E-2</v>
      </c>
      <c r="G32" s="18">
        <v>748756.09440000006</v>
      </c>
      <c r="I32" s="28">
        <f t="shared" si="10"/>
        <v>0</v>
      </c>
      <c r="K32" s="28">
        <v>15.5</v>
      </c>
      <c r="M32" s="28">
        <f t="shared" si="11"/>
        <v>0</v>
      </c>
      <c r="O32" s="270">
        <f>'(2.2)_Forward_Price_Curve'!AC39</f>
        <v>1.2834505366016622</v>
      </c>
      <c r="Q32" s="28"/>
      <c r="S32" s="18">
        <f t="shared" si="5"/>
        <v>12566.710874341446</v>
      </c>
      <c r="U32" s="18">
        <f t="shared" si="0"/>
        <v>33098.615849872127</v>
      </c>
      <c r="W32" s="18">
        <f t="shared" si="1"/>
        <v>-20531.904975530681</v>
      </c>
      <c r="Y32" s="271">
        <f t="shared" si="6"/>
        <v>-27.421352733006454</v>
      </c>
      <c r="Z32" s="235"/>
      <c r="AB32" s="146">
        <f>+IF(AB31&gt;$G$13+$G$14,XX,AB31+1)</f>
        <v>2025</v>
      </c>
      <c r="AC32" s="117"/>
      <c r="AD32" s="151">
        <f t="shared" si="2"/>
        <v>748756.09440000006</v>
      </c>
      <c r="AF32" s="154">
        <f t="shared" si="12"/>
        <v>110.99826000588922</v>
      </c>
      <c r="AH32" s="154">
        <f t="shared" si="13"/>
        <v>22.233433722480296</v>
      </c>
      <c r="AJ32" s="154">
        <f t="shared" si="14"/>
        <v>2.2689667915276881</v>
      </c>
      <c r="AL32" s="153">
        <f t="shared" si="7"/>
        <v>17917.45673901372</v>
      </c>
      <c r="AN32" s="154">
        <f>INDEX('(2.2)_Forward_Price_Curve'!$K:$K,MATCH($AB32,'(2.2)_Forward_Price_Curve'!$C:$C,0),1)</f>
        <v>4.1086708333333339</v>
      </c>
      <c r="AP32" s="154">
        <f t="shared" ref="AP32:AP47" si="18">AN32*$AF$14/1000+$AJ$14*(1+E32)</f>
        <v>26.989204437260831</v>
      </c>
      <c r="AR32" s="154">
        <f t="shared" si="15"/>
        <v>2.5604074693541143</v>
      </c>
      <c r="AS32" s="154"/>
      <c r="AT32" s="153">
        <f t="shared" si="3"/>
        <v>10973.16384763938</v>
      </c>
      <c r="AV32" s="153">
        <f t="shared" si="4"/>
        <v>22125.452002232745</v>
      </c>
      <c r="AW32" s="273"/>
      <c r="AX32" s="155">
        <f t="shared" si="8"/>
        <v>33098.615849872127</v>
      </c>
      <c r="AZ32" s="146">
        <f>+IF(AZ31&gt;$G$13+$G$14,XX,AZ31+1)</f>
        <v>2025</v>
      </c>
      <c r="BA32" s="117"/>
      <c r="BB32" s="154">
        <f t="shared" si="16"/>
        <v>72.286012261858389</v>
      </c>
      <c r="BD32" s="154">
        <f t="shared" si="17"/>
        <v>4.7598389224380835</v>
      </c>
      <c r="BF32" s="153">
        <f t="shared" si="9"/>
        <v>6944.2928913743399</v>
      </c>
      <c r="BH32" s="157"/>
    </row>
    <row r="33" spans="2:60" ht="12">
      <c r="B33" s="2"/>
      <c r="C33">
        <f>+IF(C32&gt;$G$13+$G$14,XX,C32+1)</f>
        <v>2026</v>
      </c>
      <c r="E33" s="169">
        <f>'(2.2)_Forward_Price_Curve'!T40</f>
        <v>2.1999999999999999E-2</v>
      </c>
      <c r="G33" s="18">
        <v>748756.09440000006</v>
      </c>
      <c r="I33" s="28">
        <f t="shared" si="10"/>
        <v>0</v>
      </c>
      <c r="K33" s="28">
        <v>15.5</v>
      </c>
      <c r="M33" s="28">
        <f t="shared" si="11"/>
        <v>0</v>
      </c>
      <c r="O33" s="270">
        <f>'(2.2)_Forward_Price_Curve'!AC40</f>
        <v>1.3117597482561225</v>
      </c>
      <c r="Q33" s="28"/>
      <c r="S33" s="18">
        <f t="shared" si="5"/>
        <v>12587.907569095383</v>
      </c>
      <c r="U33" s="18">
        <f t="shared" si="0"/>
        <v>33765.001718050597</v>
      </c>
      <c r="W33" s="18">
        <f t="shared" si="1"/>
        <v>-21177.094148955213</v>
      </c>
      <c r="Y33" s="271">
        <f t="shared" si="6"/>
        <v>-28.28303409793951</v>
      </c>
      <c r="Z33" s="235"/>
      <c r="AB33" s="146">
        <f>+IF(AB32&gt;$G$13+$G$14,XX,AB32+1)</f>
        <v>2026</v>
      </c>
      <c r="AC33" s="117"/>
      <c r="AD33" s="151">
        <f t="shared" si="2"/>
        <v>748756.09440000006</v>
      </c>
      <c r="AF33" s="154">
        <f t="shared" si="12"/>
        <v>113.44022172601879</v>
      </c>
      <c r="AH33" s="154">
        <f t="shared" si="13"/>
        <v>22.722569264374862</v>
      </c>
      <c r="AJ33" s="154">
        <f t="shared" si="14"/>
        <v>2.3188840609412971</v>
      </c>
      <c r="AL33" s="153">
        <f t="shared" si="7"/>
        <v>18311.640787272023</v>
      </c>
      <c r="AN33" s="154">
        <f>INDEX('(2.2)_Forward_Price_Curve'!$K:$K,MATCH($AB33,'(2.2)_Forward_Price_Curve'!$C:$C,0),1)</f>
        <v>4.1864999999999997</v>
      </c>
      <c r="AP33" s="154">
        <f t="shared" si="18"/>
        <v>27.500451839536701</v>
      </c>
      <c r="AR33" s="154">
        <f t="shared" si="15"/>
        <v>2.6167364336799048</v>
      </c>
      <c r="AS33" s="154"/>
      <c r="AT33" s="153">
        <f t="shared" si="3"/>
        <v>11214.573452287448</v>
      </c>
      <c r="AV33" s="153">
        <f t="shared" si="4"/>
        <v>22550.428265763148</v>
      </c>
      <c r="AW33" s="273"/>
      <c r="AX33" s="155">
        <f t="shared" si="8"/>
        <v>33765.001718050597</v>
      </c>
      <c r="AZ33" s="146">
        <f>+IF(AZ32&gt;$G$13+$G$14,XX,AZ32+1)</f>
        <v>2026</v>
      </c>
      <c r="BA33" s="117"/>
      <c r="BB33" s="154">
        <f t="shared" si="16"/>
        <v>73.876304531619269</v>
      </c>
      <c r="BD33" s="154">
        <f t="shared" si="17"/>
        <v>4.8645553787317217</v>
      </c>
      <c r="BF33" s="153">
        <f t="shared" si="9"/>
        <v>7097.0673349845756</v>
      </c>
      <c r="BH33" s="157"/>
    </row>
    <row r="34" spans="2:60" ht="12">
      <c r="B34" s="2"/>
      <c r="C34">
        <f>+IF(C33&gt;$G$13+$G$14,XX,C33+1)</f>
        <v>2027</v>
      </c>
      <c r="E34" s="169">
        <f>'(2.2)_Forward_Price_Curve'!T41</f>
        <v>2.1999999999999999E-2</v>
      </c>
      <c r="G34" s="18">
        <v>748756.09440000006</v>
      </c>
      <c r="I34" s="28">
        <f t="shared" si="10"/>
        <v>0</v>
      </c>
      <c r="K34" s="28">
        <v>15.5</v>
      </c>
      <c r="M34" s="28">
        <f t="shared" si="11"/>
        <v>0</v>
      </c>
      <c r="O34" s="270">
        <f>'(2.2)_Forward_Price_Curve'!AC41</f>
        <v>1.3408534982838876</v>
      </c>
      <c r="Q34" s="28"/>
      <c r="S34" s="18">
        <f t="shared" si="5"/>
        <v>12609.691691737622</v>
      </c>
      <c r="U34" s="18">
        <f t="shared" si="0"/>
        <v>35386.807203119948</v>
      </c>
      <c r="W34" s="18">
        <f t="shared" si="1"/>
        <v>-22777.115511382326</v>
      </c>
      <c r="Y34" s="271">
        <f t="shared" si="6"/>
        <v>-30.419940060233216</v>
      </c>
      <c r="Z34" s="235"/>
      <c r="AB34" s="146">
        <f>+IF(AB33&gt;$G$13+$G$14,XX,AB33+1)</f>
        <v>2027</v>
      </c>
      <c r="AC34" s="117"/>
      <c r="AD34" s="151">
        <f t="shared" si="2"/>
        <v>748756.09440000006</v>
      </c>
      <c r="AF34" s="154">
        <f t="shared" si="12"/>
        <v>115.93590660399121</v>
      </c>
      <c r="AH34" s="154">
        <f t="shared" si="13"/>
        <v>23.222465788191109</v>
      </c>
      <c r="AJ34" s="154">
        <f t="shared" si="14"/>
        <v>2.3698995102820057</v>
      </c>
      <c r="AL34" s="153">
        <f t="shared" si="7"/>
        <v>18714.496884592008</v>
      </c>
      <c r="AN34" s="154">
        <f>INDEX('(2.2)_Forward_Price_Curve'!$K:$K,MATCH($AB34,'(2.2)_Forward_Price_Curve'!$C:$C,0),1)</f>
        <v>4.4573125000000005</v>
      </c>
      <c r="AP34" s="154">
        <f t="shared" si="18"/>
        <v>29.279376027711681</v>
      </c>
      <c r="AR34" s="154">
        <f t="shared" si="15"/>
        <v>2.6743046352208628</v>
      </c>
      <c r="AS34" s="154"/>
      <c r="AT34" s="153">
        <f t="shared" si="3"/>
        <v>11461.294068237772</v>
      </c>
      <c r="AV34" s="153">
        <f t="shared" si="4"/>
        <v>23925.513134882178</v>
      </c>
      <c r="AW34" s="273"/>
      <c r="AX34" s="155">
        <f t="shared" si="8"/>
        <v>35386.807203119948</v>
      </c>
      <c r="AZ34" s="146">
        <f>+IF(AZ33&gt;$G$13+$G$14,XX,AZ33+1)</f>
        <v>2027</v>
      </c>
      <c r="BA34" s="117"/>
      <c r="BB34" s="154">
        <f t="shared" si="16"/>
        <v>75.501583231314896</v>
      </c>
      <c r="BD34" s="154">
        <f t="shared" si="17"/>
        <v>4.9715755970638194</v>
      </c>
      <c r="BF34" s="153">
        <f t="shared" si="9"/>
        <v>7253.2028163542363</v>
      </c>
      <c r="BH34" s="157"/>
    </row>
    <row r="35" spans="2:60" ht="12">
      <c r="B35" s="2"/>
      <c r="C35">
        <f>+IF(C34&gt;$G$13+$G$14,XX,C34+1)</f>
        <v>2028</v>
      </c>
      <c r="E35" s="169">
        <f>'(2.2)_Forward_Price_Curve'!T42</f>
        <v>2.1999999999999999E-2</v>
      </c>
      <c r="G35" s="18">
        <v>748756.09440000006</v>
      </c>
      <c r="I35" s="28">
        <f t="shared" si="10"/>
        <v>0</v>
      </c>
      <c r="K35" s="28">
        <v>15.5</v>
      </c>
      <c r="M35" s="28">
        <f t="shared" si="11"/>
        <v>0</v>
      </c>
      <c r="O35" s="270">
        <f>'(2.2)_Forward_Price_Curve'!AC42</f>
        <v>1.3709529466223729</v>
      </c>
      <c r="Q35" s="28"/>
      <c r="S35" s="18">
        <f t="shared" si="5"/>
        <v>12632.228837119141</v>
      </c>
      <c r="U35" s="18">
        <f t="shared" si="0"/>
        <v>36451.722755070332</v>
      </c>
      <c r="W35" s="18">
        <f t="shared" si="1"/>
        <v>-23819.493917951193</v>
      </c>
      <c r="Y35" s="271">
        <f t="shared" si="6"/>
        <v>-31.812086867938543</v>
      </c>
      <c r="Z35" s="235"/>
      <c r="AB35" s="146">
        <f>+IF(AB34&gt;$G$13+$G$14,XX,AB34+1)</f>
        <v>2028</v>
      </c>
      <c r="AC35" s="117"/>
      <c r="AD35" s="151">
        <f t="shared" si="2"/>
        <v>748756.09440000006</v>
      </c>
      <c r="AF35" s="154">
        <f t="shared" si="12"/>
        <v>118.48649654927902</v>
      </c>
      <c r="AH35" s="154">
        <f t="shared" si="13"/>
        <v>23.733360035531312</v>
      </c>
      <c r="AJ35" s="154">
        <f t="shared" si="14"/>
        <v>2.4220372995082098</v>
      </c>
      <c r="AL35" s="153">
        <f t="shared" si="7"/>
        <v>19126.215816053038</v>
      </c>
      <c r="AN35" s="154">
        <f>INDEX('(2.2)_Forward_Price_Curve'!$K:$K,MATCH($AB35,'(2.2)_Forward_Price_Curve'!$C:$C,0),1)</f>
        <v>4.6136041666666676</v>
      </c>
      <c r="AP35" s="154">
        <f t="shared" si="18"/>
        <v>30.30603109807776</v>
      </c>
      <c r="AR35" s="154">
        <f t="shared" si="15"/>
        <v>2.733139337195722</v>
      </c>
      <c r="AS35" s="154"/>
      <c r="AT35" s="153">
        <f t="shared" si="3"/>
        <v>11713.442537739009</v>
      </c>
      <c r="AV35" s="153">
        <f t="shared" si="4"/>
        <v>24738.280217331325</v>
      </c>
      <c r="AW35" s="273"/>
      <c r="AX35" s="155">
        <f t="shared" si="8"/>
        <v>36451.722755070332</v>
      </c>
      <c r="AZ35" s="146">
        <f>+IF(AZ34&gt;$G$13+$G$14,XX,AZ34+1)</f>
        <v>2028</v>
      </c>
      <c r="BA35" s="117"/>
      <c r="BB35" s="154">
        <f t="shared" si="16"/>
        <v>77.162618062403823</v>
      </c>
      <c r="BD35" s="154">
        <f t="shared" si="17"/>
        <v>5.0809502601992236</v>
      </c>
      <c r="BF35" s="153">
        <f t="shared" si="9"/>
        <v>7412.7732783140291</v>
      </c>
      <c r="BH35" s="157"/>
    </row>
    <row r="36" spans="2:60" ht="12">
      <c r="B36" s="2"/>
      <c r="C36">
        <f>+IF(C35&gt;$G$13+$G$14,XX,C35+1)</f>
        <v>2029</v>
      </c>
      <c r="E36" s="169">
        <f>'(2.2)_Forward_Price_Curve'!T43</f>
        <v>2.1999999999999999E-2</v>
      </c>
      <c r="G36" s="18">
        <v>748756.09440000006</v>
      </c>
      <c r="I36" s="28">
        <f t="shared" si="10"/>
        <v>0</v>
      </c>
      <c r="K36" s="28">
        <v>15.5</v>
      </c>
      <c r="M36" s="28">
        <f t="shared" si="11"/>
        <v>0</v>
      </c>
      <c r="O36" s="270">
        <f>'(2.2)_Forward_Price_Curve'!AC43</f>
        <v>1.4021626326399876</v>
      </c>
      <c r="Q36" s="28"/>
      <c r="S36" s="18">
        <f t="shared" si="5"/>
        <v>12655.597279729142</v>
      </c>
      <c r="U36" s="18">
        <f t="shared" si="0"/>
        <v>37445.791465832874</v>
      </c>
      <c r="W36" s="18">
        <f t="shared" si="1"/>
        <v>-24790.194186103734</v>
      </c>
      <c r="Y36" s="271">
        <f t="shared" si="6"/>
        <v>-33.108504052937072</v>
      </c>
      <c r="Z36" s="235"/>
      <c r="AB36" s="146">
        <f>+IF(AB35&gt;$G$13+$G$14,XX,AB35+1)</f>
        <v>2029</v>
      </c>
      <c r="AC36" s="117"/>
      <c r="AD36" s="151">
        <f t="shared" si="2"/>
        <v>748756.09440000006</v>
      </c>
      <c r="AF36" s="154">
        <f t="shared" si="12"/>
        <v>121.09319947336317</v>
      </c>
      <c r="AH36" s="154">
        <f t="shared" si="13"/>
        <v>24.255493956313003</v>
      </c>
      <c r="AJ36" s="154">
        <f t="shared" si="14"/>
        <v>2.4753221200973905</v>
      </c>
      <c r="AL36" s="153">
        <f t="shared" si="7"/>
        <v>19546.992564006203</v>
      </c>
      <c r="AN36" s="154">
        <f>INDEX('(2.2)_Forward_Price_Curve'!$K:$K,MATCH($AB36,'(2.2)_Forward_Price_Curve'!$C:$C,0),1)</f>
        <v>4.7541666666666673</v>
      </c>
      <c r="AP36" s="154">
        <f t="shared" si="18"/>
        <v>31.229363777331283</v>
      </c>
      <c r="AR36" s="154">
        <f t="shared" si="15"/>
        <v>2.7932684026140278</v>
      </c>
      <c r="AS36" s="154"/>
      <c r="AT36" s="153">
        <f t="shared" si="3"/>
        <v>11971.138273569264</v>
      </c>
      <c r="AV36" s="153">
        <f t="shared" si="4"/>
        <v>25474.65319226361</v>
      </c>
      <c r="AW36" s="273"/>
      <c r="AX36" s="155">
        <f t="shared" si="8"/>
        <v>37445.791465832874</v>
      </c>
      <c r="AZ36" s="146">
        <f>+IF(AZ35&gt;$G$13+$G$14,XX,AZ35+1)</f>
        <v>2029</v>
      </c>
      <c r="BA36" s="117"/>
      <c r="BB36" s="154">
        <f t="shared" si="16"/>
        <v>78.860195659776707</v>
      </c>
      <c r="BD36" s="154">
        <f t="shared" si="17"/>
        <v>5.1927311659236066</v>
      </c>
      <c r="BF36" s="153">
        <f t="shared" si="9"/>
        <v>7575.8542904369388</v>
      </c>
      <c r="BH36" s="157"/>
    </row>
    <row r="37" spans="2:60" ht="12">
      <c r="B37" s="2"/>
      <c r="C37">
        <f>+IF(C36&gt;$G$13+$G$14,XX,C36+1)</f>
        <v>2030</v>
      </c>
      <c r="E37" s="169">
        <f>'(2.2)_Forward_Price_Curve'!T44</f>
        <v>2.1999999999999999E-2</v>
      </c>
      <c r="G37" s="18">
        <v>748756.09440000006</v>
      </c>
      <c r="I37" s="28">
        <f t="shared" si="10"/>
        <v>0</v>
      </c>
      <c r="K37" s="28">
        <v>15.5</v>
      </c>
      <c r="M37" s="28">
        <f t="shared" si="11"/>
        <v>0</v>
      </c>
      <c r="O37" s="270">
        <f>'(2.2)_Forward_Price_Curve'!AC44</f>
        <v>1.4335840474923813</v>
      </c>
      <c r="Q37" s="28"/>
      <c r="S37" s="18">
        <f t="shared" si="5"/>
        <v>12679.124255594541</v>
      </c>
      <c r="U37" s="18">
        <f t="shared" si="0"/>
        <v>39222.652884149589</v>
      </c>
      <c r="W37" s="18">
        <f t="shared" si="1"/>
        <v>-26543.528628555046</v>
      </c>
      <c r="Y37" s="271">
        <f t="shared" si="6"/>
        <v>-35.450167053164549</v>
      </c>
      <c r="Z37" s="235"/>
      <c r="AB37" s="146">
        <f>+IF(AB36&gt;$G$13+$G$14,XX,AB36+1)</f>
        <v>2030</v>
      </c>
      <c r="AC37" s="117"/>
      <c r="AD37" s="151">
        <f t="shared" si="2"/>
        <v>748756.09440000006</v>
      </c>
      <c r="AF37" s="154">
        <f t="shared" si="12"/>
        <v>123.75724986177717</v>
      </c>
      <c r="AH37" s="154">
        <f t="shared" si="13"/>
        <v>24.789114823351891</v>
      </c>
      <c r="AJ37" s="154">
        <f t="shared" si="14"/>
        <v>2.529779206739533</v>
      </c>
      <c r="AL37" s="153">
        <f t="shared" si="7"/>
        <v>19977.026400414336</v>
      </c>
      <c r="AN37" s="154">
        <f>INDEX('(2.2)_Forward_Price_Curve'!$K:$K,MATCH($AB37,'(2.2)_Forward_Price_Curve'!$C:$C,0),1)</f>
        <v>5.052529166666667</v>
      </c>
      <c r="AP37" s="154">
        <f t="shared" si="18"/>
        <v>33.189259528429758</v>
      </c>
      <c r="AR37" s="154">
        <f t="shared" si="15"/>
        <v>2.8547203074715366</v>
      </c>
      <c r="AS37" s="154"/>
      <c r="AT37" s="153">
        <f t="shared" si="3"/>
        <v>12234.503315587783</v>
      </c>
      <c r="AV37" s="153">
        <f t="shared" si="4"/>
        <v>26988.14956856181</v>
      </c>
      <c r="AW37" s="273"/>
      <c r="AX37" s="155">
        <f t="shared" si="8"/>
        <v>39222.652884149589</v>
      </c>
      <c r="AZ37" s="146">
        <f>+IF(AZ36&gt;$G$13+$G$14,XX,AZ36+1)</f>
        <v>2030</v>
      </c>
      <c r="BA37" s="117"/>
      <c r="BB37" s="154">
        <f t="shared" si="16"/>
        <v>80.595119964291797</v>
      </c>
      <c r="BD37" s="154">
        <f t="shared" si="17"/>
        <v>5.306971251573926</v>
      </c>
      <c r="BF37" s="153">
        <f t="shared" si="9"/>
        <v>7742.5230848265519</v>
      </c>
      <c r="BH37" s="157"/>
    </row>
    <row r="38" spans="2:60" ht="12">
      <c r="B38" s="2"/>
      <c r="C38">
        <f>+IF(C37&gt;$G$13+$G$14,XX,C37+1)</f>
        <v>2031</v>
      </c>
      <c r="E38" s="169">
        <f>'(2.2)_Forward_Price_Curve'!T45</f>
        <v>2.1999999999999999E-2</v>
      </c>
      <c r="G38" s="18">
        <v>748756.09440000006</v>
      </c>
      <c r="I38" s="28">
        <f t="shared" si="10"/>
        <v>0</v>
      </c>
      <c r="K38" s="28">
        <v>15.5</v>
      </c>
      <c r="M38" s="28">
        <f t="shared" si="11"/>
        <v>0</v>
      </c>
      <c r="O38" s="270">
        <f>'(2.2)_Forward_Price_Curve'!AC45</f>
        <v>1.4649463685254571</v>
      </c>
      <c r="Q38" s="28"/>
      <c r="S38" s="18">
        <f t="shared" si="5"/>
        <v>12702.606984602586</v>
      </c>
      <c r="U38" s="18">
        <f t="shared" si="0"/>
        <v>40214.387139548715</v>
      </c>
      <c r="W38" s="18">
        <f t="shared" si="1"/>
        <v>-27511.780154946129</v>
      </c>
      <c r="Y38" s="271">
        <f t="shared" si="6"/>
        <v>-36.743313825034193</v>
      </c>
      <c r="Z38" s="235"/>
      <c r="AB38" s="146">
        <f>+IF(AB37&gt;$G$13+$G$14,XX,AB37+1)</f>
        <v>2031</v>
      </c>
      <c r="AC38" s="117"/>
      <c r="AD38" s="151">
        <f t="shared" si="2"/>
        <v>748756.09440000006</v>
      </c>
      <c r="AF38" s="154">
        <f t="shared" si="12"/>
        <v>126.47990935873626</v>
      </c>
      <c r="AH38" s="154">
        <f t="shared" si="13"/>
        <v>25.334475349465635</v>
      </c>
      <c r="AJ38" s="154">
        <f t="shared" si="14"/>
        <v>2.5854343492878029</v>
      </c>
      <c r="AL38" s="153">
        <f t="shared" si="7"/>
        <v>20416.520981223453</v>
      </c>
      <c r="AN38" s="154">
        <f>INDEX('(2.2)_Forward_Price_Curve'!$K:$K,MATCH($AB38,'(2.2)_Forward_Price_Curve'!$C:$C,0),1)</f>
        <v>5.1898791666666666</v>
      </c>
      <c r="AP38" s="154">
        <f t="shared" si="18"/>
        <v>34.091489806743468</v>
      </c>
      <c r="AR38" s="154">
        <f t="shared" si="15"/>
        <v>2.9175241542359105</v>
      </c>
      <c r="AS38" s="154"/>
      <c r="AT38" s="153">
        <f t="shared" si="3"/>
        <v>12503.662388530716</v>
      </c>
      <c r="AV38" s="153">
        <f t="shared" si="4"/>
        <v>27710.724751017999</v>
      </c>
      <c r="AW38" s="273"/>
      <c r="AX38" s="155">
        <f t="shared" si="8"/>
        <v>40214.387139548715</v>
      </c>
      <c r="AZ38" s="146">
        <f>+IF(AZ37&gt;$G$13+$G$14,XX,AZ37+1)</f>
        <v>2031</v>
      </c>
      <c r="BA38" s="117"/>
      <c r="BB38" s="154">
        <f t="shared" si="16"/>
        <v>82.368212603506223</v>
      </c>
      <c r="BD38" s="154">
        <f t="shared" si="17"/>
        <v>5.4237246191085529</v>
      </c>
      <c r="BF38" s="153">
        <f t="shared" si="9"/>
        <v>7912.8585926927362</v>
      </c>
      <c r="BH38" s="157"/>
    </row>
    <row r="39" spans="2:60" ht="12">
      <c r="B39" s="2"/>
      <c r="C39">
        <f>+IF(C38&gt;$G$13+$G$14,XX,C38+1)</f>
        <v>2032</v>
      </c>
      <c r="E39" s="169">
        <f>'(2.2)_Forward_Price_Curve'!T46</f>
        <v>2.1000000000000001E-2</v>
      </c>
      <c r="G39" s="18">
        <v>748756.09440000006</v>
      </c>
      <c r="I39" s="28">
        <f t="shared" si="10"/>
        <v>0</v>
      </c>
      <c r="K39" s="28">
        <v>15.5</v>
      </c>
      <c r="M39" s="28">
        <f t="shared" si="11"/>
        <v>0</v>
      </c>
      <c r="O39" s="270">
        <f>'(2.2)_Forward_Price_Curve'!AC46</f>
        <v>1.4965465421812867</v>
      </c>
      <c r="Q39" s="28"/>
      <c r="S39" s="18">
        <f t="shared" si="5"/>
        <v>12726.267807211485</v>
      </c>
      <c r="U39" s="18">
        <f t="shared" si="0"/>
        <v>41225.235854679602</v>
      </c>
      <c r="W39" s="18">
        <f t="shared" si="1"/>
        <v>-28498.968047468115</v>
      </c>
      <c r="Y39" s="271">
        <f t="shared" si="6"/>
        <v>-38.061751030293998</v>
      </c>
      <c r="Z39" s="235"/>
      <c r="AB39" s="146">
        <f>+IF(AB38&gt;$G$13+$G$14,XX,AB38+1)</f>
        <v>2032</v>
      </c>
      <c r="AC39" s="117"/>
      <c r="AD39" s="151">
        <f t="shared" si="2"/>
        <v>748756.09440000006</v>
      </c>
      <c r="AF39" s="154">
        <f t="shared" si="12"/>
        <v>129.13598745526971</v>
      </c>
      <c r="AH39" s="154">
        <f t="shared" si="13"/>
        <v>25.866499331804409</v>
      </c>
      <c r="AJ39" s="154">
        <f t="shared" si="14"/>
        <v>2.6397284706228463</v>
      </c>
      <c r="AL39" s="153">
        <f t="shared" si="7"/>
        <v>20845.267921829145</v>
      </c>
      <c r="AN39" s="154">
        <f>INDEX('(2.2)_Forward_Price_Curve'!$K:$K,MATCH($AB39,'(2.2)_Forward_Price_Curve'!$C:$C,0),1)</f>
        <v>5.3326874999999996</v>
      </c>
      <c r="AP39" s="154">
        <f t="shared" si="18"/>
        <v>35.029575007535975</v>
      </c>
      <c r="AR39" s="154">
        <f t="shared" si="15"/>
        <v>2.9787921614748645</v>
      </c>
      <c r="AS39" s="154"/>
      <c r="AT39" s="153">
        <f t="shared" si="3"/>
        <v>12766.239298689863</v>
      </c>
      <c r="AV39" s="153">
        <f t="shared" si="4"/>
        <v>28458.996555989743</v>
      </c>
      <c r="AW39" s="273"/>
      <c r="AX39" s="155">
        <f t="shared" si="8"/>
        <v>41225.235854679602</v>
      </c>
      <c r="AZ39" s="146">
        <f>+IF(AZ38&gt;$G$13+$G$14,XX,AZ38+1)</f>
        <v>2032</v>
      </c>
      <c r="BA39" s="117"/>
      <c r="BB39" s="154">
        <f t="shared" si="16"/>
        <v>84.09794506817984</v>
      </c>
      <c r="BD39" s="154">
        <f t="shared" si="17"/>
        <v>5.5376228361098319</v>
      </c>
      <c r="BF39" s="153">
        <f t="shared" si="9"/>
        <v>8079.0286231392829</v>
      </c>
      <c r="BH39" s="157"/>
    </row>
    <row r="40" spans="2:60" ht="12">
      <c r="B40" s="2"/>
      <c r="C40">
        <f>+IF(C39&gt;$G$13+$G$14,XX,C39+1)</f>
        <v>2033</v>
      </c>
      <c r="E40" s="169">
        <f>'(2.2)_Forward_Price_Curve'!T47</f>
        <v>2.1000000000000001E-2</v>
      </c>
      <c r="G40" s="18">
        <v>748756.09440000006</v>
      </c>
      <c r="I40" s="28">
        <f t="shared" si="10"/>
        <v>0</v>
      </c>
      <c r="K40" s="28">
        <v>15.5</v>
      </c>
      <c r="M40" s="28">
        <f t="shared" si="11"/>
        <v>0</v>
      </c>
      <c r="O40" s="270">
        <f>'(2.2)_Forward_Price_Curve'!AC47</f>
        <v>1.5286401492284176</v>
      </c>
      <c r="Q40" s="28"/>
      <c r="S40" s="18">
        <f t="shared" si="5"/>
        <v>12750.298091079307</v>
      </c>
      <c r="U40" s="18">
        <f t="shared" si="0"/>
        <v>42445.919864479321</v>
      </c>
      <c r="W40" s="18">
        <f t="shared" si="1"/>
        <v>-29695.621773400017</v>
      </c>
      <c r="Y40" s="271">
        <f t="shared" si="6"/>
        <v>-39.65993999313752</v>
      </c>
      <c r="Z40" s="235"/>
      <c r="AB40" s="146">
        <f>+IF(AB39&gt;$G$13+$G$14,XX,AB39+1)</f>
        <v>2033</v>
      </c>
      <c r="AC40" s="117"/>
      <c r="AD40" s="151">
        <f t="shared" si="2"/>
        <v>748756.09440000006</v>
      </c>
      <c r="AF40" s="154">
        <f t="shared" si="12"/>
        <v>131.84784319183038</v>
      </c>
      <c r="AH40" s="154">
        <f t="shared" si="13"/>
        <v>26.409695817772299</v>
      </c>
      <c r="AJ40" s="154">
        <f t="shared" si="14"/>
        <v>2.6951627685059258</v>
      </c>
      <c r="AL40" s="153">
        <f t="shared" si="7"/>
        <v>21283.018548187552</v>
      </c>
      <c r="AN40" s="154">
        <f>INDEX('(2.2)_Forward_Price_Curve'!$K:$K,MATCH($AB40,'(2.2)_Forward_Price_Curve'!$C:$C,0),1)</f>
        <v>5.5168416666666671</v>
      </c>
      <c r="AP40" s="154">
        <f t="shared" si="18"/>
        <v>36.239254403562896</v>
      </c>
      <c r="AR40" s="154">
        <f t="shared" si="15"/>
        <v>3.0413467968658363</v>
      </c>
      <c r="AS40" s="154"/>
      <c r="AT40" s="153">
        <f t="shared" si="3"/>
        <v>13034.330323962346</v>
      </c>
      <c r="AV40" s="153">
        <f t="shared" si="4"/>
        <v>29411.589540516972</v>
      </c>
      <c r="AW40" s="273"/>
      <c r="AX40" s="155">
        <f t="shared" si="8"/>
        <v>42445.919864479321</v>
      </c>
      <c r="AZ40" s="146">
        <f>+IF(AZ39&gt;$G$13+$G$14,XX,AZ39+1)</f>
        <v>2033</v>
      </c>
      <c r="BA40" s="117"/>
      <c r="BB40" s="154">
        <f t="shared" si="16"/>
        <v>85.864001914611606</v>
      </c>
      <c r="BD40" s="154">
        <f t="shared" si="17"/>
        <v>5.6539129156681378</v>
      </c>
      <c r="BF40" s="153">
        <f t="shared" si="9"/>
        <v>8248.6882242252068</v>
      </c>
      <c r="BH40" s="157"/>
    </row>
    <row r="41" spans="2:60" ht="12">
      <c r="B41" s="2"/>
      <c r="C41">
        <f>+IF(C40&gt;$G$13+$G$14,XX,C40+1)</f>
        <v>2034</v>
      </c>
      <c r="E41" s="169">
        <f>'(2.2)_Forward_Price_Curve'!T48</f>
        <v>2.1000000000000001E-2</v>
      </c>
      <c r="G41" s="18">
        <v>748756.09440000006</v>
      </c>
      <c r="I41" s="28">
        <f t="shared" si="10"/>
        <v>0</v>
      </c>
      <c r="K41" s="28">
        <v>15.5</v>
      </c>
      <c r="M41" s="28">
        <f t="shared" si="11"/>
        <v>0</v>
      </c>
      <c r="O41" s="270">
        <f>'(2.2)_Forward_Price_Curve'!AC48</f>
        <v>1.5607569013547813</v>
      </c>
      <c r="Q41" s="28"/>
      <c r="S41" s="18">
        <f t="shared" si="5"/>
        <v>12774.345704966254</v>
      </c>
      <c r="U41" s="18">
        <f t="shared" si="0"/>
        <v>43610.752950956026</v>
      </c>
      <c r="W41" s="18">
        <f t="shared" si="1"/>
        <v>-30836.407245989772</v>
      </c>
      <c r="Y41" s="271">
        <f t="shared" si="6"/>
        <v>-41.18351419990762</v>
      </c>
      <c r="Z41" s="235"/>
      <c r="AB41" s="146">
        <f>+IF(AB40&gt;$G$13+$G$14,XX,AB40+1)</f>
        <v>2034</v>
      </c>
      <c r="AC41" s="117"/>
      <c r="AD41" s="151">
        <f t="shared" si="2"/>
        <v>748756.09440000006</v>
      </c>
      <c r="AF41" s="154">
        <f t="shared" si="12"/>
        <v>134.61664789885882</v>
      </c>
      <c r="AH41" s="154">
        <f t="shared" si="13"/>
        <v>26.964299429945516</v>
      </c>
      <c r="AJ41" s="154">
        <f t="shared" si="14"/>
        <v>2.7517611866445502</v>
      </c>
      <c r="AL41" s="153">
        <f t="shared" si="7"/>
        <v>21729.961937699492</v>
      </c>
      <c r="AN41" s="154">
        <f>INDEX('(2.2)_Forward_Price_Curve'!$K:$K,MATCH($AB41,'(2.2)_Forward_Price_Curve'!$C:$C,0),1)</f>
        <v>5.688295833333334</v>
      </c>
      <c r="AP41" s="154">
        <f t="shared" si="18"/>
        <v>37.365509521944496</v>
      </c>
      <c r="AR41" s="154">
        <f t="shared" si="15"/>
        <v>3.1052150796000184</v>
      </c>
      <c r="AS41" s="154"/>
      <c r="AT41" s="153">
        <f t="shared" si="3"/>
        <v>13308.051260765558</v>
      </c>
      <c r="AV41" s="153">
        <f>(AP41+AR41)*AD41/1000</f>
        <v>30302.701690190472</v>
      </c>
      <c r="AW41" s="273"/>
      <c r="AX41" s="155">
        <f t="shared" si="8"/>
        <v>43610.752950956026</v>
      </c>
      <c r="AZ41" s="146">
        <f>+IF(AZ40&gt;$G$13+$G$14,XX,AZ40+1)</f>
        <v>2034</v>
      </c>
      <c r="BA41" s="117"/>
      <c r="BB41" s="154">
        <f t="shared" si="16"/>
        <v>87.667145954818437</v>
      </c>
      <c r="BD41" s="154">
        <f t="shared" si="17"/>
        <v>5.7726450868971684</v>
      </c>
      <c r="BF41" s="153">
        <f t="shared" si="9"/>
        <v>8421.9106769339342</v>
      </c>
      <c r="BH41" s="157"/>
    </row>
    <row r="42" spans="2:60" ht="12">
      <c r="B42" s="2"/>
      <c r="C42">
        <f>+IF(C41&gt;$G$13+$G$14,XX,C41+1)</f>
        <v>2035</v>
      </c>
      <c r="E42" s="169">
        <f>'(2.2)_Forward_Price_Curve'!T49</f>
        <v>2.1000000000000001E-2</v>
      </c>
      <c r="G42" s="18">
        <v>748756.09440000006</v>
      </c>
      <c r="I42" s="28">
        <f t="shared" si="10"/>
        <v>0</v>
      </c>
      <c r="K42" s="28">
        <v>15.5</v>
      </c>
      <c r="M42" s="28">
        <f t="shared" si="11"/>
        <v>0</v>
      </c>
      <c r="O42" s="270">
        <f>'(2.2)_Forward_Price_Curve'!AC49</f>
        <v>1.5935251628391218</v>
      </c>
      <c r="Q42" s="28"/>
      <c r="S42" s="18">
        <f t="shared" si="5"/>
        <v>12798.881140455545</v>
      </c>
      <c r="U42" s="18">
        <f t="shared" si="0"/>
        <v>44714.709615353022</v>
      </c>
      <c r="W42" s="18">
        <f t="shared" si="1"/>
        <v>-31915.828474897477</v>
      </c>
      <c r="Y42" s="271">
        <f t="shared" si="6"/>
        <v>-42.625133489527798</v>
      </c>
      <c r="Z42" s="235"/>
      <c r="AB42" s="146">
        <f>+IF(AB41&gt;$G$13+$G$14,XX,AB41+1)</f>
        <v>2035</v>
      </c>
      <c r="AC42" s="117"/>
      <c r="AD42" s="151">
        <f t="shared" si="2"/>
        <v>748756.09440000006</v>
      </c>
      <c r="AF42" s="154">
        <f t="shared" si="12"/>
        <v>137.44359750473484</v>
      </c>
      <c r="AH42" s="154">
        <f t="shared" si="13"/>
        <v>27.53054971797437</v>
      </c>
      <c r="AJ42" s="154">
        <f t="shared" si="14"/>
        <v>2.8095481715640855</v>
      </c>
      <c r="AL42" s="153">
        <f t="shared" si="7"/>
        <v>22186.291138391181</v>
      </c>
      <c r="AN42" s="154">
        <f>INDEX('(2.2)_Forward_Price_Curve'!$K:$K,MATCH($AB42,'(2.2)_Forward_Price_Curve'!$C:$C,0),1)</f>
        <v>5.846000000000001</v>
      </c>
      <c r="AP42" s="154">
        <f t="shared" si="18"/>
        <v>38.401443079883336</v>
      </c>
      <c r="AR42" s="154">
        <f t="shared" si="15"/>
        <v>3.1704245962716184</v>
      </c>
      <c r="AS42" s="154"/>
      <c r="AT42" s="153">
        <f t="shared" si="3"/>
        <v>13587.520337241636</v>
      </c>
      <c r="AV42" s="153">
        <f t="shared" si="4"/>
        <v>31127.189278111386</v>
      </c>
      <c r="AW42" s="273"/>
      <c r="AX42" s="155">
        <f t="shared" si="8"/>
        <v>44714.709615353022</v>
      </c>
      <c r="AZ42" s="146">
        <f>+IF(AZ41&gt;$G$13+$G$14,XX,AZ41+1)</f>
        <v>2035</v>
      </c>
      <c r="BA42" s="117"/>
      <c r="BB42" s="154">
        <f t="shared" si="16"/>
        <v>89.508156019869617</v>
      </c>
      <c r="BD42" s="154">
        <f t="shared" si="17"/>
        <v>5.8938706337220088</v>
      </c>
      <c r="BF42" s="153">
        <f t="shared" si="9"/>
        <v>8598.7708011495452</v>
      </c>
      <c r="BH42" s="157"/>
    </row>
    <row r="43" spans="2:60" ht="12">
      <c r="B43" s="2"/>
      <c r="C43">
        <f>+IF(C42&gt;$G$13+$G$14,XX,C42+1)</f>
        <v>2036</v>
      </c>
      <c r="E43" s="169">
        <f>'(2.2)_Forward_Price_Curve'!T50</f>
        <v>2.1000000000000001E-2</v>
      </c>
      <c r="G43" s="18">
        <v>748756.09440000006</v>
      </c>
      <c r="I43" s="28">
        <f t="shared" si="10"/>
        <v>0</v>
      </c>
      <c r="K43" s="28">
        <v>15.5</v>
      </c>
      <c r="M43" s="28">
        <f t="shared" si="11"/>
        <v>0</v>
      </c>
      <c r="O43" s="270">
        <f>'(2.2)_Forward_Price_Curve'!AC50</f>
        <v>1.6267336732773778</v>
      </c>
      <c r="Q43" s="28"/>
      <c r="S43" s="18">
        <f t="shared" si="5"/>
        <v>12823.746215032135</v>
      </c>
      <c r="U43" s="18">
        <f t="shared" si="0"/>
        <v>46160.261649339373</v>
      </c>
      <c r="W43" s="18">
        <f t="shared" si="1"/>
        <v>-33336.515434307235</v>
      </c>
      <c r="Y43" s="271">
        <f t="shared" si="6"/>
        <v>-44.522529677732706</v>
      </c>
      <c r="Z43" s="235"/>
      <c r="AB43" s="146">
        <f>+IF(AB42&gt;$G$13+$G$14,XX,AB42+1)</f>
        <v>2036</v>
      </c>
      <c r="AC43" s="117"/>
      <c r="AD43" s="151">
        <f t="shared" si="2"/>
        <v>748756.09440000006</v>
      </c>
      <c r="AF43" s="154">
        <f t="shared" si="12"/>
        <v>140.32991305233426</v>
      </c>
      <c r="AH43" s="154">
        <f t="shared" si="13"/>
        <v>28.108691262051831</v>
      </c>
      <c r="AJ43" s="154">
        <f t="shared" si="14"/>
        <v>2.8685486831669311</v>
      </c>
      <c r="AL43" s="153">
        <f t="shared" si="7"/>
        <v>22652.203252297393</v>
      </c>
      <c r="AN43" s="154">
        <f>INDEX('(2.2)_Forward_Price_Curve'!$K:$K,MATCH($AB43,'(2.2)_Forward_Price_Curve'!$C:$C,0),1)</f>
        <v>6.0717541666666675</v>
      </c>
      <c r="AP43" s="154">
        <f t="shared" si="18"/>
        <v>39.88438625150436</v>
      </c>
      <c r="AR43" s="154">
        <f t="shared" si="15"/>
        <v>3.2370035127933221</v>
      </c>
      <c r="AS43" s="154"/>
      <c r="AT43" s="153">
        <f t="shared" si="3"/>
        <v>13872.858264323706</v>
      </c>
      <c r="AV43" s="153">
        <f t="shared" si="4"/>
        <v>32287.40338501567</v>
      </c>
      <c r="AW43" s="273"/>
      <c r="AX43" s="155">
        <f t="shared" si="8"/>
        <v>46160.261649339373</v>
      </c>
      <c r="AZ43" s="146">
        <f>+IF(AZ42&gt;$G$13+$G$14,XX,AZ42+1)</f>
        <v>2036</v>
      </c>
      <c r="BA43" s="117"/>
      <c r="BB43" s="154">
        <f t="shared" si="16"/>
        <v>91.387827296286872</v>
      </c>
      <c r="BD43" s="154">
        <f t="shared" si="17"/>
        <v>6.0176419170301703</v>
      </c>
      <c r="BF43" s="153">
        <f t="shared" si="9"/>
        <v>8779.3449879736872</v>
      </c>
      <c r="BH43" s="157"/>
    </row>
    <row r="44" spans="2:60" ht="12">
      <c r="B44" s="2"/>
      <c r="C44">
        <f>+IF(C43&gt;$G$13+$G$14,XX,C43+1)</f>
        <v>2037</v>
      </c>
      <c r="E44" s="169">
        <f>'(2.2)_Forward_Price_Curve'!T51</f>
        <v>2.1000000000000001E-2</v>
      </c>
      <c r="G44" s="18">
        <v>748756.09440000006</v>
      </c>
      <c r="I44" s="28">
        <f t="shared" si="10"/>
        <v>0</v>
      </c>
      <c r="K44" s="28">
        <v>15.5</v>
      </c>
      <c r="M44" s="28">
        <f t="shared" si="11"/>
        <v>0</v>
      </c>
      <c r="O44" s="270">
        <f>'(2.2)_Forward_Price_Curve'!AC51</f>
        <v>1.6606577113778709</v>
      </c>
      <c r="Q44" s="28"/>
      <c r="S44" s="18">
        <f t="shared" si="5"/>
        <v>12849.147045306539</v>
      </c>
      <c r="U44" s="18">
        <f t="shared" si="0"/>
        <v>47330.266663721719</v>
      </c>
      <c r="W44" s="18">
        <f t="shared" si="1"/>
        <v>-34481.119618415178</v>
      </c>
      <c r="Y44" s="271">
        <f t="shared" si="6"/>
        <v>-46.051203958541258</v>
      </c>
      <c r="Z44" s="235"/>
      <c r="AB44" s="146">
        <f>+IF(AB43&gt;$G$13+$G$14,XX,AB43+1)</f>
        <v>2037</v>
      </c>
      <c r="AC44" s="117"/>
      <c r="AD44" s="151">
        <f t="shared" si="2"/>
        <v>748756.09440000006</v>
      </c>
      <c r="AF44" s="154">
        <f t="shared" si="12"/>
        <v>143.27684122643328</v>
      </c>
      <c r="AH44" s="154">
        <f t="shared" si="13"/>
        <v>28.698973778554919</v>
      </c>
      <c r="AJ44" s="154">
        <f t="shared" si="14"/>
        <v>2.9287882055134364</v>
      </c>
      <c r="AL44" s="153">
        <f t="shared" si="7"/>
        <v>23127.899520595642</v>
      </c>
      <c r="AN44" s="154">
        <f>INDEX('(2.2)_Forward_Price_Curve'!$K:$K,MATCH($AB44,'(2.2)_Forward_Price_Curve'!$C:$C,0),1)</f>
        <v>6.240054166666666</v>
      </c>
      <c r="AP44" s="154">
        <f t="shared" si="18"/>
        <v>40.989922151323775</v>
      </c>
      <c r="AR44" s="154">
        <f t="shared" si="15"/>
        <v>3.3049805865619817</v>
      </c>
      <c r="AS44" s="154"/>
      <c r="AT44" s="153">
        <f t="shared" si="3"/>
        <v>14164.188287874509</v>
      </c>
      <c r="AV44" s="153">
        <f t="shared" si="4"/>
        <v>33166.07837584721</v>
      </c>
      <c r="AW44" s="273"/>
      <c r="AX44" s="155">
        <f t="shared" si="8"/>
        <v>47330.266663721719</v>
      </c>
      <c r="AZ44" s="146">
        <f>+IF(AZ43&gt;$G$13+$G$14,XX,AZ43+1)</f>
        <v>2037</v>
      </c>
      <c r="BA44" s="117"/>
      <c r="BB44" s="154">
        <f t="shared" si="16"/>
        <v>93.306971669508883</v>
      </c>
      <c r="BD44" s="154">
        <f t="shared" si="17"/>
        <v>6.1440123972878036</v>
      </c>
      <c r="BF44" s="153">
        <f t="shared" si="9"/>
        <v>8963.7112327211325</v>
      </c>
      <c r="BH44" s="157"/>
    </row>
    <row r="45" spans="2:60" ht="12">
      <c r="B45" s="2"/>
      <c r="C45">
        <f>+IF(C44&gt;$G$13+$G$14,XX,C44+1)</f>
        <v>2038</v>
      </c>
      <c r="E45" s="169">
        <f>'(2.2)_Forward_Price_Curve'!T52</f>
        <v>2.1000000000000001E-2</v>
      </c>
      <c r="G45" s="18">
        <v>748756.09440000006</v>
      </c>
      <c r="I45" s="28">
        <f t="shared" si="10"/>
        <v>0</v>
      </c>
      <c r="K45" s="28">
        <v>15.5</v>
      </c>
      <c r="M45" s="28">
        <f t="shared" si="11"/>
        <v>0</v>
      </c>
      <c r="O45" s="270">
        <f>'(2.2)_Forward_Price_Curve'!AC52</f>
        <v>1.6953423361778306</v>
      </c>
      <c r="Q45" s="28"/>
      <c r="S45" s="18">
        <f t="shared" si="5"/>
        <v>12875.117369507487</v>
      </c>
      <c r="U45" s="18">
        <f t="shared" si="0"/>
        <v>49255.310246663226</v>
      </c>
      <c r="W45" s="18">
        <f t="shared" si="1"/>
        <v>-36380.192877155743</v>
      </c>
      <c r="Y45" s="271">
        <f t="shared" si="6"/>
        <v>-48.587508200929229</v>
      </c>
      <c r="Z45" s="235"/>
      <c r="AB45" s="146">
        <f>+IF(AB44&gt;$G$13+$G$14,XX,AB44+1)</f>
        <v>2038</v>
      </c>
      <c r="AC45" s="117"/>
      <c r="AD45" s="151">
        <f t="shared" si="2"/>
        <v>748756.09440000006</v>
      </c>
      <c r="AF45" s="154">
        <f t="shared" si="12"/>
        <v>146.28565489218838</v>
      </c>
      <c r="AH45" s="154">
        <f t="shared" si="13"/>
        <v>29.301652227904569</v>
      </c>
      <c r="AJ45" s="154">
        <f t="shared" si="14"/>
        <v>2.9902927578292182</v>
      </c>
      <c r="AL45" s="153">
        <f t="shared" si="7"/>
        <v>23613.585410528147</v>
      </c>
      <c r="AN45" s="154">
        <f>INDEX('(2.2)_Forward_Price_Curve'!$K:$K,MATCH($AB45,'(2.2)_Forward_Price_Curve'!$C:$C,0),1)</f>
        <v>6.5604041666666673</v>
      </c>
      <c r="AP45" s="154">
        <f t="shared" si="18"/>
        <v>43.09425028862119</v>
      </c>
      <c r="AR45" s="154">
        <f t="shared" si="15"/>
        <v>3.3743851788797832</v>
      </c>
      <c r="AS45" s="154"/>
      <c r="AT45" s="153">
        <f>AL45-BF45</f>
        <v>14461.636241919872</v>
      </c>
      <c r="AV45" s="153">
        <f t="shared" si="4"/>
        <v>34793.674004743356</v>
      </c>
      <c r="AW45" s="273"/>
      <c r="AX45" s="155">
        <f>AT45+AV45</f>
        <v>49255.310246663226</v>
      </c>
      <c r="AZ45" s="146">
        <f>+IF(AZ44&gt;$G$13+$G$14,XX,AZ44+1)</f>
        <v>2038</v>
      </c>
      <c r="BA45" s="117"/>
      <c r="BB45" s="154">
        <f t="shared" si="16"/>
        <v>95.266418074568563</v>
      </c>
      <c r="BD45" s="154">
        <f t="shared" si="17"/>
        <v>6.2730366576308469</v>
      </c>
      <c r="BF45" s="153">
        <f t="shared" si="9"/>
        <v>9151.9491686082747</v>
      </c>
      <c r="BH45" s="157"/>
    </row>
    <row r="46" spans="2:60" ht="12">
      <c r="B46" s="2"/>
      <c r="C46">
        <f>+IF(C45&gt;$G$13+$G$14,XX,C45+1)</f>
        <v>2039</v>
      </c>
      <c r="E46" s="169">
        <f>'(2.2)_Forward_Price_Curve'!T53</f>
        <v>2.1000000000000001E-2</v>
      </c>
      <c r="G46" s="18">
        <v>748756.09440000006</v>
      </c>
      <c r="I46" s="28">
        <f t="shared" si="10"/>
        <v>0</v>
      </c>
      <c r="K46" s="28">
        <v>15.5</v>
      </c>
      <c r="M46" s="28">
        <f t="shared" si="11"/>
        <v>0</v>
      </c>
      <c r="O46" s="270">
        <f>'(2.2)_Forward_Price_Curve'!AC53</f>
        <v>1.730529504666237</v>
      </c>
      <c r="Q46" s="28"/>
      <c r="S46" s="18">
        <f t="shared" si="5"/>
        <v>12901.463976357858</v>
      </c>
      <c r="U46" s="18">
        <f t="shared" si="0"/>
        <v>50654.018191029012</v>
      </c>
      <c r="W46" s="18">
        <f t="shared" si="1"/>
        <v>-37752.554214671152</v>
      </c>
      <c r="Y46" s="271">
        <f>+W46*1000/G46</f>
        <v>-50.42036318238366</v>
      </c>
      <c r="Z46" s="235"/>
      <c r="AB46" s="146">
        <f>+IF(AB45&gt;$G$13+$G$14,XX,AB45+1)</f>
        <v>2039</v>
      </c>
      <c r="AC46" s="117"/>
      <c r="AD46" s="151">
        <f t="shared" si="2"/>
        <v>748756.09440000006</v>
      </c>
      <c r="AF46" s="154">
        <f t="shared" si="12"/>
        <v>149.35765364492431</v>
      </c>
      <c r="AH46" s="154">
        <f t="shared" si="13"/>
        <v>29.916986924690562</v>
      </c>
      <c r="AJ46" s="154">
        <f t="shared" si="14"/>
        <v>3.0530889057436315</v>
      </c>
      <c r="AL46" s="153">
        <f t="shared" si="7"/>
        <v>24109.470704149237</v>
      </c>
      <c r="AN46" s="154">
        <f>INDEX('(2.2)_Forward_Price_Curve'!$K:$K,MATCH($AB46,'(2.2)_Forward_Price_Curve'!$C:$C,0),1)</f>
        <v>6.7722499999999988</v>
      </c>
      <c r="AP46" s="154">
        <f t="shared" si="18"/>
        <v>44.485831833345848</v>
      </c>
      <c r="AR46" s="154">
        <f t="shared" si="15"/>
        <v>3.4452472676362582</v>
      </c>
      <c r="AS46" s="154"/>
      <c r="AT46" s="153">
        <f t="shared" si="3"/>
        <v>14765.330603000188</v>
      </c>
      <c r="AV46" s="153">
        <f t="shared" si="4"/>
        <v>35888.687588028828</v>
      </c>
      <c r="AW46" s="273"/>
      <c r="AX46" s="155">
        <f t="shared" si="8"/>
        <v>50654.018191029012</v>
      </c>
      <c r="AZ46" s="146">
        <f>+IF(AZ45&gt;$G$13+$G$14,XX,AZ45+1)</f>
        <v>2039</v>
      </c>
      <c r="BA46" s="117"/>
      <c r="BB46" s="154">
        <f t="shared" si="16"/>
        <v>97.267012854134492</v>
      </c>
      <c r="BD46" s="154">
        <f t="shared" si="17"/>
        <v>6.4047704274410941</v>
      </c>
      <c r="BF46" s="153">
        <f t="shared" si="9"/>
        <v>9344.1401011490489</v>
      </c>
      <c r="BH46" s="157"/>
    </row>
    <row r="47" spans="2:60" ht="12">
      <c r="B47" s="2"/>
      <c r="C47">
        <f>+IF(C46&gt;$G$13+$G$14,XX,C46+1)</f>
        <v>2040</v>
      </c>
      <c r="E47" s="169">
        <f>'(2.2)_Forward_Price_Curve'!T54</f>
        <v>2.1000000000000001E-2</v>
      </c>
      <c r="G47" s="18">
        <v>748756.09440000006</v>
      </c>
      <c r="I47" s="28">
        <f t="shared" si="10"/>
        <v>0</v>
      </c>
      <c r="K47" s="28">
        <v>15.5</v>
      </c>
      <c r="M47" s="28"/>
      <c r="O47" s="270">
        <f>'(2.2)_Forward_Price_Curve'!AC54</f>
        <v>1.7664344168351047</v>
      </c>
      <c r="Q47" s="28"/>
      <c r="S47" s="18">
        <f t="shared" si="5"/>
        <v>12928.347998163195</v>
      </c>
      <c r="U47" s="18">
        <f t="shared" si="0"/>
        <v>52511.158710388816</v>
      </c>
      <c r="W47" s="18">
        <f t="shared" si="1"/>
        <v>-39582.810712225619</v>
      </c>
      <c r="Y47" s="271">
        <f t="shared" si="6"/>
        <v>-52.864759309831683</v>
      </c>
      <c r="Z47" s="235"/>
      <c r="AB47" s="146">
        <f>+IF(AB46&gt;$G$13+$G$14,XX,AB46+1)</f>
        <v>2040</v>
      </c>
      <c r="AC47" s="117"/>
      <c r="AD47" s="151">
        <f t="shared" si="2"/>
        <v>748756.09440000006</v>
      </c>
      <c r="AF47" s="154">
        <f t="shared" si="12"/>
        <v>152.49416437146772</v>
      </c>
      <c r="AH47" s="154">
        <f t="shared" si="13"/>
        <v>30.545243650109061</v>
      </c>
      <c r="AJ47" s="154">
        <f t="shared" si="14"/>
        <v>3.1172037727642476</v>
      </c>
      <c r="AL47" s="153">
        <f t="shared" si="7"/>
        <v>24615.769588936371</v>
      </c>
      <c r="AN47" s="154">
        <f>INDEX('(2.2)_Forward_Price_Curve'!$K:$K,MATCH($AB47,'(2.2)_Forward_Price_Curve'!$C:$C,0),1)</f>
        <v>7.075779166666667</v>
      </c>
      <c r="AP47" s="154">
        <f t="shared" si="18"/>
        <v>46.479666595034949</v>
      </c>
      <c r="AR47" s="154">
        <f t="shared" si="15"/>
        <v>3.5175974602566193</v>
      </c>
      <c r="AS47" s="154"/>
      <c r="AT47" s="153">
        <f t="shared" si="3"/>
        <v>15075.402545663193</v>
      </c>
      <c r="AV47" s="153">
        <f t="shared" si="4"/>
        <v>37435.756164725623</v>
      </c>
      <c r="AW47" s="273"/>
      <c r="AX47" s="155">
        <f t="shared" si="8"/>
        <v>52511.158710388816</v>
      </c>
      <c r="AZ47" s="146">
        <f>+IF(AZ46&gt;$G$13+$G$14,XX,AZ46+1)</f>
        <v>2040</v>
      </c>
      <c r="BA47" s="117"/>
      <c r="BB47" s="154">
        <f t="shared" si="16"/>
        <v>99.309620124071301</v>
      </c>
      <c r="BD47" s="154">
        <f t="shared" si="17"/>
        <v>6.5392706064173565</v>
      </c>
      <c r="BF47" s="153">
        <f t="shared" si="9"/>
        <v>9540.3670432731778</v>
      </c>
      <c r="BH47" s="157"/>
    </row>
    <row r="48" spans="2:60" ht="12">
      <c r="B48" s="2"/>
      <c r="E48" s="169"/>
      <c r="G48" s="18"/>
      <c r="I48" s="28"/>
      <c r="K48" s="28"/>
      <c r="M48" s="28"/>
      <c r="O48" s="270"/>
      <c r="Q48" s="28"/>
      <c r="S48" s="18"/>
      <c r="U48" s="18"/>
      <c r="W48" s="18"/>
      <c r="Y48" s="271"/>
      <c r="Z48" s="235"/>
      <c r="AB48" s="146"/>
      <c r="AC48" s="117"/>
      <c r="AD48" s="151"/>
      <c r="AF48" s="154"/>
      <c r="AH48" s="154"/>
      <c r="AJ48" s="154"/>
      <c r="AL48" s="153"/>
      <c r="AN48" s="154"/>
      <c r="AP48" s="154"/>
      <c r="AR48" s="154"/>
      <c r="AS48" s="154"/>
      <c r="AT48" s="153"/>
      <c r="AV48" s="153"/>
      <c r="AW48" s="273"/>
      <c r="AX48" s="155"/>
      <c r="AZ48" s="146"/>
      <c r="BA48" s="117"/>
      <c r="BB48" s="154"/>
      <c r="BD48" s="154"/>
      <c r="BF48" s="153"/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E50" s="169"/>
      <c r="G50" s="18"/>
      <c r="I50" s="28"/>
      <c r="K50" s="28"/>
      <c r="M50" s="28"/>
      <c r="O50" s="270"/>
      <c r="Q50" s="28"/>
      <c r="S50" s="18"/>
      <c r="U50" s="18"/>
      <c r="W50" s="18"/>
      <c r="Y50" s="271"/>
      <c r="Z50" s="235"/>
      <c r="AB50" s="146"/>
      <c r="AC50" s="117"/>
      <c r="AD50" s="151"/>
      <c r="AF50" s="154"/>
      <c r="AH50" s="154"/>
      <c r="AJ50" s="154"/>
      <c r="AL50" s="153"/>
      <c r="AN50" s="154"/>
      <c r="AP50" s="154"/>
      <c r="AR50" s="154"/>
      <c r="AS50" s="154"/>
      <c r="AT50" s="153"/>
      <c r="AV50" s="153"/>
      <c r="AW50" s="273"/>
      <c r="AX50" s="155"/>
      <c r="AZ50" s="146"/>
      <c r="BA50" s="117"/>
      <c r="BB50" s="154"/>
      <c r="BD50" s="154"/>
      <c r="BF50" s="153"/>
      <c r="BH50" s="157"/>
    </row>
    <row r="51" spans="2:60" ht="12">
      <c r="B51" s="2"/>
      <c r="E51" s="169"/>
      <c r="G51" s="18"/>
      <c r="I51" s="28"/>
      <c r="K51" s="28"/>
      <c r="M51" s="28"/>
      <c r="O51" s="270"/>
      <c r="Q51" s="28"/>
      <c r="S51" s="18"/>
      <c r="U51" s="18"/>
      <c r="W51" s="18"/>
      <c r="Y51" s="271"/>
      <c r="Z51" s="235"/>
      <c r="AB51" s="146"/>
      <c r="AC51" s="117"/>
      <c r="AD51" s="151"/>
      <c r="AF51" s="154"/>
      <c r="AH51" s="154"/>
      <c r="AJ51" s="154"/>
      <c r="AL51" s="153"/>
      <c r="AN51" s="154"/>
      <c r="AP51" s="154"/>
      <c r="AR51" s="154"/>
      <c r="AS51" s="154"/>
      <c r="AT51" s="153"/>
      <c r="AV51" s="153"/>
      <c r="AW51" s="273"/>
      <c r="AX51" s="155"/>
      <c r="AZ51" s="146"/>
      <c r="BA51" s="117"/>
      <c r="BB51" s="154"/>
      <c r="BD51" s="154"/>
      <c r="BF51" s="153"/>
      <c r="BH51" s="157"/>
    </row>
    <row r="52" spans="2:60" ht="12">
      <c r="B52" s="2"/>
      <c r="E52" s="169"/>
      <c r="G52" s="18"/>
      <c r="I52" s="28"/>
      <c r="K52" s="28"/>
      <c r="M52" s="28"/>
      <c r="O52" s="270"/>
      <c r="Q52" s="28" t="s">
        <v>299</v>
      </c>
      <c r="S52" s="18"/>
      <c r="U52" s="18"/>
      <c r="W52" s="18"/>
      <c r="Y52" s="271"/>
      <c r="Z52" s="235"/>
      <c r="AB52" s="146"/>
      <c r="AC52" s="117"/>
      <c r="AD52" s="151"/>
      <c r="AF52" s="154"/>
      <c r="AH52" s="154"/>
      <c r="AJ52" s="154"/>
      <c r="AL52" s="153"/>
      <c r="AN52" s="154"/>
      <c r="AP52" s="154"/>
      <c r="AR52" s="154"/>
      <c r="AS52" s="154"/>
      <c r="AT52" s="153"/>
      <c r="AV52" s="153"/>
      <c r="AW52" s="273"/>
      <c r="AX52" s="155"/>
      <c r="AZ52" s="146"/>
      <c r="BA52" s="117"/>
      <c r="BB52" s="154"/>
      <c r="BD52" s="154"/>
      <c r="BF52" s="153"/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20-year Nominal Levelized at 6.57%</v>
      </c>
      <c r="E58" s="169"/>
      <c r="G58" s="18">
        <f>+-PMT($G$18,$G$14,NPV($G$18,G28:G56))</f>
        <v>748756.09439999948</v>
      </c>
      <c r="I58" s="28">
        <f>+-PMT($G$18,$G$14,NPV($G$18,I28:I56))</f>
        <v>0</v>
      </c>
      <c r="J58" s="28"/>
      <c r="K58" s="28">
        <f>+-PMT($G$18,$G$14,NPV($G$18,K28:K56))</f>
        <v>15.499999999999993</v>
      </c>
      <c r="M58" s="28">
        <f>+-PMT($G$18,$G$14,NPV($G$18,M28:M56))</f>
        <v>0</v>
      </c>
      <c r="O58" s="28">
        <f>+-PMT($G$18,$G$14,NPV($G$18,O28:O56))</f>
        <v>1.3915143264500005</v>
      </c>
      <c r="Q58" s="28">
        <f>+-PMT($G$18,$G$14,NPV($G$18,Q28:Q56))</f>
        <v>0</v>
      </c>
      <c r="S58" s="18">
        <f>+-PMT($G$18,$G$14,NPV($G$18,S28:S56))</f>
        <v>12647.624295574342</v>
      </c>
      <c r="U58" s="18">
        <f>+-PMT($G$18,$G$14,NPV($G$18,U28:U56))</f>
        <v>36666.223596023403</v>
      </c>
      <c r="W58" s="18">
        <f>+-PMT($G$18,$G$14,NPV($G$18,W28:W56))</f>
        <v>-24018.599300449048</v>
      </c>
      <c r="Y58" s="271">
        <f>+-PMT($G$18,$G$14,NPV($G$18,Y28:Y56))</f>
        <v>-32.078001741936873</v>
      </c>
      <c r="Z58" s="235"/>
      <c r="AB58" s="2"/>
      <c r="AD58" s="151">
        <f>+-PMT($G$18,$G$14,NPV($G$18,AD28:AD56))</f>
        <v>748756.09439999948</v>
      </c>
      <c r="AF58" s="154">
        <f>+-PMT($G$18,$G$14,NPV($G$18,AF28:AF56))</f>
        <v>120.24366524670354</v>
      </c>
      <c r="AH58" s="154">
        <f>+-PMT($G$18,$G$14,NPV($G$18,AH28:AH56))</f>
        <v>24.085328559824685</v>
      </c>
      <c r="AJ58" s="154">
        <f>+-PMT($G$18,$G$14,NPV($G$18,AJ28:AJ56))</f>
        <v>2.4579563978918837</v>
      </c>
      <c r="AL58" s="153">
        <f>+-PMT($G$18,$G$14,NPV($G$18,AL28:AL56))</f>
        <v>19409.859849009783</v>
      </c>
      <c r="AN58" s="154">
        <f>+-PMT($G$18,$G$14,NPV($G$18,AN28:AN56))</f>
        <v>4.6157267710799834</v>
      </c>
      <c r="AP58" s="154">
        <f>+-PMT($G$18,$G$14,NPV($G$18,AP28:AP56))</f>
        <v>30.31997414846419</v>
      </c>
      <c r="AR58" s="154">
        <f>+-PMT($G$18,$G$14,NPV($G$18,AR28:AR56))</f>
        <v>2.7736721154353288</v>
      </c>
      <c r="AS58" s="154"/>
      <c r="AT58" s="153">
        <f>+-PMT($G$18,$G$14,NPV($G$18,AT28:AT56))</f>
        <v>11887.154270010835</v>
      </c>
      <c r="AV58" s="153">
        <f>+-PMT($G$18,$G$14,NPV($G$18,AV28:AV56))</f>
        <v>24779.069326012555</v>
      </c>
      <c r="AW58" s="273"/>
      <c r="AX58" s="155">
        <f>+-PMT($G$18,$G$14,NPV($G$18,AX28:AX56))</f>
        <v>36666.223596023403</v>
      </c>
      <c r="AZ58" s="2"/>
      <c r="BB58" s="154">
        <f>+-PMT($G$18,$G$14,NPV($G$18,BB28:BB56))</f>
        <v>78.306948775348715</v>
      </c>
      <c r="BD58" s="154">
        <f>+-PMT($G$18,$G$14,NPV($G$18,BD28:BD56))</f>
        <v>5.1563013509176479</v>
      </c>
      <c r="BF58" s="153">
        <f>+-PMT($G$18,$G$14,NPV($G$18,BF28:BF56))</f>
        <v>7522.7055789989518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AD7A-00A3-4716-A679-0469E63A6CCB}">
  <sheetPr codeName="Sheet46">
    <tabColor theme="0" tint="-0.249977111117893"/>
    <pageSetUpPr fitToPage="1"/>
  </sheetPr>
  <dimension ref="A1:BH9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307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346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199.8</v>
      </c>
      <c r="H11" s="252"/>
      <c r="AB11" s="122" t="s">
        <v>99</v>
      </c>
      <c r="AC11" s="123"/>
      <c r="AD11" s="123"/>
      <c r="AE11" s="123"/>
      <c r="AF11" s="281">
        <f>+G11*(G12/AJ16)</f>
        <v>121.6102191485558</v>
      </c>
      <c r="AG11" s="127"/>
      <c r="AH11" s="123" t="s">
        <v>100</v>
      </c>
      <c r="AI11" s="124"/>
      <c r="AJ11" s="166">
        <f>'(2.1)_Proxy Resources'!N53</f>
        <v>19.805241420865066</v>
      </c>
      <c r="AK11" s="235"/>
      <c r="AZ11" s="122" t="s">
        <v>99</v>
      </c>
      <c r="BA11" s="123"/>
      <c r="BB11" s="123"/>
      <c r="BC11" s="123"/>
      <c r="BD11" s="134">
        <f>(AF11*AF13-G11*G19)</f>
        <v>90.041819148555803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0.42780000000000001</v>
      </c>
      <c r="H12" s="252"/>
      <c r="AB12" s="122" t="s">
        <v>32</v>
      </c>
      <c r="AC12" s="123"/>
      <c r="AD12" s="123"/>
      <c r="AE12" s="123"/>
      <c r="AF12" s="131">
        <f>+AD68/8760/AF11</f>
        <v>0.65212333946486023</v>
      </c>
      <c r="AG12" s="127"/>
      <c r="AH12" s="117" t="s">
        <v>101</v>
      </c>
      <c r="AI12" s="118"/>
      <c r="AJ12" s="117">
        <v>2016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2020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Resources'!O53</f>
        <v>2.02116486562735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30</v>
      </c>
      <c r="H14" s="252"/>
      <c r="AB14" s="122" t="s">
        <v>104</v>
      </c>
      <c r="AC14" s="123"/>
      <c r="AD14" s="123"/>
      <c r="AE14" s="123"/>
      <c r="AF14" s="134">
        <f>'(2.1)_Proxy Resources'!H53*(1+E28)</f>
        <v>6568.8407594737137</v>
      </c>
      <c r="AG14" s="127"/>
      <c r="AH14" s="117"/>
      <c r="AI14" s="118"/>
      <c r="AJ14" s="166"/>
      <c r="AK14" s="235"/>
      <c r="AZ14" s="122" t="s">
        <v>192</v>
      </c>
      <c r="BA14" s="123"/>
      <c r="BB14" s="123"/>
      <c r="BC14" s="123"/>
      <c r="BD14" s="167">
        <f>'(2.1)_Proxy Resources'!J95</f>
        <v>747</v>
      </c>
      <c r="BE14" s="132"/>
    </row>
    <row r="15" spans="1:57" ht="12">
      <c r="A15" t="s">
        <v>288</v>
      </c>
      <c r="B15" s="250"/>
      <c r="C15" s="231" t="s">
        <v>107</v>
      </c>
      <c r="D15" s="231"/>
      <c r="E15" s="231"/>
      <c r="F15" s="231"/>
      <c r="G15" s="283">
        <v>52.931829999999998</v>
      </c>
      <c r="H15" s="252"/>
      <c r="AB15" s="122" t="s">
        <v>232</v>
      </c>
      <c r="AC15" s="123"/>
      <c r="AD15" s="123"/>
      <c r="AE15" s="123"/>
      <c r="AF15" s="167">
        <f>'(2.1)_Proxy Resources'!J53</f>
        <v>1362.6215812395926</v>
      </c>
      <c r="AG15" s="127"/>
      <c r="AH15" s="117" t="s">
        <v>145</v>
      </c>
      <c r="AI15" s="118"/>
      <c r="AJ15" s="166">
        <f>'(2.1)_Proxy Resources'!P53</f>
        <v>2.2807762714164963</v>
      </c>
      <c r="AK15" s="235"/>
      <c r="AZ15" s="122" t="s">
        <v>108</v>
      </c>
      <c r="BA15" s="123"/>
      <c r="BB15" s="123"/>
      <c r="BC15" s="123"/>
      <c r="BD15" s="136">
        <f>'(2.1)_Proxy Resources'!K95</f>
        <v>8.6199999999999999E-2</v>
      </c>
      <c r="BE15" s="132"/>
    </row>
    <row r="16" spans="1:57" ht="12">
      <c r="A16" t="s">
        <v>288</v>
      </c>
      <c r="B16" s="250"/>
      <c r="C16" s="231" t="s">
        <v>109</v>
      </c>
      <c r="D16" s="231"/>
      <c r="E16" s="231"/>
      <c r="F16" s="231"/>
      <c r="G16" s="283">
        <v>1</v>
      </c>
      <c r="H16" s="252"/>
      <c r="AB16" s="122" t="s">
        <v>108</v>
      </c>
      <c r="AC16" s="123"/>
      <c r="AD16" s="123"/>
      <c r="AE16" s="123"/>
      <c r="AF16" s="136">
        <f>'(2.1)_Proxy Resources'!K52</f>
        <v>7.2562879502455491E-2</v>
      </c>
      <c r="AG16" s="127"/>
      <c r="AH16" s="117" t="s">
        <v>110</v>
      </c>
      <c r="AI16" s="124"/>
      <c r="AJ16" s="137">
        <f>'(2.1)_Proxy Resources'!D53</f>
        <v>0.70285573530285894</v>
      </c>
      <c r="AK16" s="235"/>
      <c r="AZ16" s="122" t="s">
        <v>100</v>
      </c>
      <c r="BA16" s="124"/>
      <c r="BB16" s="166">
        <f>'(2.1)_Proxy Resources'!N95</f>
        <v>4.24</v>
      </c>
      <c r="BE16" s="130"/>
    </row>
    <row r="17" spans="1:60" ht="12">
      <c r="A17" t="s">
        <v>288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'(2.2)_Forward_Price_Curve'!AA8</f>
        <v>6.5699999999999995E-2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'(2.2)_Forward_Price_Curve'!L103</f>
        <v>0.158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2020</v>
      </c>
      <c r="E28" s="169">
        <f>'(2.2)_Forward_Price_Curve'!T35</f>
        <v>2.4E-2</v>
      </c>
      <c r="G28" s="18">
        <v>2051.3865600000004</v>
      </c>
      <c r="I28" s="268">
        <f>$G$15*(1+E28)</f>
        <v>54.202193919999999</v>
      </c>
      <c r="J28" s="268"/>
      <c r="K28" s="268">
        <f>$G$16*(1+E28)</f>
        <v>1.024</v>
      </c>
      <c r="L28" s="269"/>
      <c r="M28" s="268">
        <f>$G$17</f>
        <v>0</v>
      </c>
      <c r="O28" s="270">
        <f>'(2.2)_Forward_Price_Curve'!AC34</f>
        <v>1.1390234818202254</v>
      </c>
      <c r="Q28" s="28">
        <v>0</v>
      </c>
      <c r="S28" s="18">
        <f>(I28*$G$11*1000+(K28+M28+O28+Q28)*G28)/1000</f>
        <v>10834.03554251557</v>
      </c>
      <c r="U28" s="18">
        <f t="shared" ref="U28:U57" si="0">AX28</f>
        <v>8496.5444159138751</v>
      </c>
      <c r="W28" s="18">
        <f t="shared" ref="W28:W57" si="1">S28-U28</f>
        <v>2337.4911266016952</v>
      </c>
      <c r="Y28" s="271">
        <f>+W28*1000/G28</f>
        <v>1139.4688705583089</v>
      </c>
      <c r="Z28" s="235"/>
      <c r="AB28" s="146">
        <f>$C$28</f>
        <v>2020</v>
      </c>
      <c r="AC28" s="117"/>
      <c r="AD28" s="151">
        <f t="shared" ref="AD28:AD35" si="2">G28</f>
        <v>2051.3865600000004</v>
      </c>
      <c r="AF28" s="152">
        <f>$AF$15*$AF$16*(1+E28)</f>
        <v>101.24876350150033</v>
      </c>
      <c r="AG28" s="272"/>
      <c r="AH28" s="152">
        <f>$AJ$11*(1+E28)</f>
        <v>20.280567214965828</v>
      </c>
      <c r="AI28" s="272"/>
      <c r="AJ28" s="152">
        <f>$AJ$13*(1+E28)</f>
        <v>2.0696728224024064</v>
      </c>
      <c r="AK28" s="272"/>
      <c r="AL28" s="153">
        <f>((AF28+AH28)*$AF$11*1000+AJ28*AD28)/1000</f>
        <v>14783.454240418238</v>
      </c>
      <c r="AN28" s="154">
        <f>INDEX('(2.2)_Forward_Price_Curve'!$K:$K,MATCH($AB28,'(2.2)_Forward_Price_Curve'!$C:$C,0),1)</f>
        <v>2.6944208333333339</v>
      </c>
      <c r="AO28" s="279"/>
      <c r="AP28" s="154">
        <f>AN28*$AF$14/1000+$AJ$14/(1+E29)</f>
        <v>17.699221393175133</v>
      </c>
      <c r="AQ28" s="272"/>
      <c r="AR28" s="152">
        <f>$AJ$15*(1+E28)</f>
        <v>2.3355149019304924</v>
      </c>
      <c r="AS28" s="152"/>
      <c r="AT28" s="153">
        <f t="shared" ref="AT28:AT35" si="3">AL28-BF28</f>
        <v>8455.4454271449504</v>
      </c>
      <c r="AU28" s="272"/>
      <c r="AV28" s="153">
        <f t="shared" ref="AV28:AV35" si="4">(AP28+AR28)*AD28/1000</f>
        <v>41.098988768923874</v>
      </c>
      <c r="AW28" s="273"/>
      <c r="AX28" s="155">
        <f>AT28+AV28</f>
        <v>8496.5444159138751</v>
      </c>
      <c r="AZ28" s="146">
        <f>$C$28</f>
        <v>2020</v>
      </c>
      <c r="BA28" s="117"/>
      <c r="BB28" s="152">
        <f>$BD$14*$BD$15*(1+E28)</f>
        <v>65.936793600000001</v>
      </c>
      <c r="BD28" s="152">
        <f>$BB$16*(1+E28)</f>
        <v>4.3417600000000007</v>
      </c>
      <c r="BE28" s="272"/>
      <c r="BF28" s="153">
        <f>(BB28+BD28)*$BD$11</f>
        <v>6328.0088132732863</v>
      </c>
      <c r="BG28" s="272"/>
      <c r="BH28" s="156"/>
    </row>
    <row r="29" spans="1:60" ht="12">
      <c r="B29" s="2"/>
      <c r="C29">
        <f>+IF(C28&gt;$G$13+$G$14,XX,C28+1)</f>
        <v>2021</v>
      </c>
      <c r="E29" s="169">
        <f>'(2.2)_Forward_Price_Curve'!T36</f>
        <v>2.4E-2</v>
      </c>
      <c r="G29" s="18">
        <v>748756.09440000006</v>
      </c>
      <c r="I29" s="28">
        <f>I28*(1+$E29)</f>
        <v>55.503046574080003</v>
      </c>
      <c r="K29" s="28">
        <f>K28*(1+$E29)</f>
        <v>1.048576</v>
      </c>
      <c r="M29" s="268">
        <f t="shared" ref="M29:M56" si="5">$G$17</f>
        <v>0</v>
      </c>
      <c r="O29" s="270">
        <f>'(2.2)_Forward_Price_Curve'!AC35</f>
        <v>1.1679956801767024</v>
      </c>
      <c r="Q29" s="28">
        <v>-34.476814342354771</v>
      </c>
      <c r="S29" s="18">
        <f t="shared" ref="S29:S57" si="6">(I29*$G$11*1000+(K29+M29+O29+Q29)*G29)/1000</f>
        <v>-13065.544594627529</v>
      </c>
      <c r="U29" s="18">
        <f t="shared" si="0"/>
        <v>26180.841541295064</v>
      </c>
      <c r="W29" s="18">
        <f t="shared" si="1"/>
        <v>-39246.386135922592</v>
      </c>
      <c r="Y29" s="271">
        <f t="shared" ref="Y29:Y57" si="7">+W29*1000/G29</f>
        <v>-52.415448006966614</v>
      </c>
      <c r="Z29" s="235"/>
      <c r="AB29" s="146">
        <f>+IF(AB28&gt;$G$13+$G$14,XX,AB28+1)</f>
        <v>2021</v>
      </c>
      <c r="AC29" s="117"/>
      <c r="AD29" s="151">
        <f t="shared" si="2"/>
        <v>748756.09440000006</v>
      </c>
      <c r="AF29" s="154">
        <f>AF28*(1+$E29)</f>
        <v>103.67873382553634</v>
      </c>
      <c r="AH29" s="154">
        <f>AH28*(1+$E29)</f>
        <v>20.767300828125009</v>
      </c>
      <c r="AJ29" s="154">
        <f>AJ28*(1+$E29)</f>
        <v>2.1193449701400642</v>
      </c>
      <c r="AL29" s="153">
        <f t="shared" ref="AL29:AL35" si="8">((AF29+AH29)*$AF$11*1000+AJ29*AD29)/1000</f>
        <v>16720.782008928887</v>
      </c>
      <c r="AN29" s="154">
        <f>INDEX('(2.2)_Forward_Price_Curve'!$K:$K,MATCH($AB29,'(2.2)_Forward_Price_Curve'!$C:$C,0),1)</f>
        <v>2.8767624999999999</v>
      </c>
      <c r="AP29" s="154">
        <f>AN29*$AF$14/1000+$AJ$14</f>
        <v>18.896994765325498</v>
      </c>
      <c r="AR29" s="154">
        <f>AR28*(1+$E29)</f>
        <v>2.3915672595768243</v>
      </c>
      <c r="AS29" s="154"/>
      <c r="AT29" s="153">
        <f t="shared" si="3"/>
        <v>10240.900984137043</v>
      </c>
      <c r="AV29" s="153">
        <f t="shared" si="4"/>
        <v>15939.940557158019</v>
      </c>
      <c r="AW29" s="273"/>
      <c r="AX29" s="155">
        <f t="shared" ref="AX29:AX35" si="9">AT29+AV29</f>
        <v>26180.841541295064</v>
      </c>
      <c r="AZ29" s="146">
        <f>+IF(AZ28&gt;$G$13+$G$14,XX,AZ28+1)</f>
        <v>2021</v>
      </c>
      <c r="BA29" s="117"/>
      <c r="BB29" s="154">
        <f>BB28*(1+$E29)</f>
        <v>67.519276646400002</v>
      </c>
      <c r="BD29" s="154">
        <f>BD28*(1+$E29)</f>
        <v>4.445962240000001</v>
      </c>
      <c r="BF29" s="153">
        <f t="shared" ref="BF29:BF35" si="10">(BB29+BD29)*$BD$11</f>
        <v>6479.8810247918445</v>
      </c>
      <c r="BH29" s="157"/>
    </row>
    <row r="30" spans="1:60" ht="12">
      <c r="B30" s="2"/>
      <c r="C30">
        <f>+IF(C29&gt;$G$13+$G$14,XX,C29+1)</f>
        <v>2022</v>
      </c>
      <c r="E30" s="169">
        <f>'(2.2)_Forward_Price_Curve'!T37</f>
        <v>2.4E-2</v>
      </c>
      <c r="G30" s="18">
        <v>748756.09440000006</v>
      </c>
      <c r="I30" s="28">
        <f t="shared" ref="I30:I57" si="11">I29*(1+$E30)</f>
        <v>56.835119691857926</v>
      </c>
      <c r="K30" s="28">
        <f t="shared" ref="K30:K57" si="12">K29*(1+$E30)</f>
        <v>1.0737418240000001</v>
      </c>
      <c r="M30" s="268">
        <f t="shared" si="5"/>
        <v>0</v>
      </c>
      <c r="O30" s="270">
        <f>'(2.2)_Forward_Price_Curve'!AC36</f>
        <v>1.1974836718320334</v>
      </c>
      <c r="Q30" s="28">
        <v>-34.476814342354771</v>
      </c>
      <c r="S30" s="18">
        <f t="shared" si="6"/>
        <v>-12758.474008141353</v>
      </c>
      <c r="U30" s="18">
        <f t="shared" si="0"/>
        <v>27124.205957554488</v>
      </c>
      <c r="W30" s="18">
        <f t="shared" si="1"/>
        <v>-39882.679965695839</v>
      </c>
      <c r="Y30" s="271">
        <f t="shared" si="7"/>
        <v>-53.265249209964672</v>
      </c>
      <c r="Z30" s="235"/>
      <c r="AB30" s="146">
        <f>+IF(AB29&gt;$G$13+$G$14,XX,AB29+1)</f>
        <v>2022</v>
      </c>
      <c r="AC30" s="117"/>
      <c r="AD30" s="151">
        <f t="shared" si="2"/>
        <v>748756.09440000006</v>
      </c>
      <c r="AF30" s="154">
        <f t="shared" ref="AF30:AF57" si="13">AF29*(1+$E30)</f>
        <v>106.16702343734921</v>
      </c>
      <c r="AH30" s="154">
        <f t="shared" ref="AH30:AH57" si="14">AH29*(1+$E30)</f>
        <v>21.265716048000009</v>
      </c>
      <c r="AJ30" s="154">
        <f t="shared" ref="AJ30:AJ57" si="15">AJ29*(1+$E30)</f>
        <v>2.1702092494234257</v>
      </c>
      <c r="AL30" s="153">
        <f t="shared" si="8"/>
        <v>17122.080777143179</v>
      </c>
      <c r="AN30" s="154">
        <f>INDEX('(2.2)_Forward_Price_Curve'!$K:$K,MATCH($AB30,'(2.2)_Forward_Price_Curve'!$C:$C,0),1)</f>
        <v>3.0098541666666665</v>
      </c>
      <c r="AP30" s="154">
        <f>AN30*$AF$14/1000+$AJ$14*(1+E30)</f>
        <v>19.771252730071787</v>
      </c>
      <c r="AR30" s="154">
        <f t="shared" ref="AR30:AR57" si="16">AR29*(1+$E30)</f>
        <v>2.4489648738066681</v>
      </c>
      <c r="AS30" s="154"/>
      <c r="AT30" s="153">
        <f t="shared" si="3"/>
        <v>10486.682607756331</v>
      </c>
      <c r="AV30" s="153">
        <f t="shared" si="4"/>
        <v>16637.523349798157</v>
      </c>
      <c r="AW30" s="273"/>
      <c r="AX30" s="155">
        <f t="shared" si="9"/>
        <v>27124.205957554488</v>
      </c>
      <c r="AZ30" s="146">
        <f>+IF(AZ29&gt;$G$13+$G$14,XX,AZ29+1)</f>
        <v>2022</v>
      </c>
      <c r="BA30" s="117"/>
      <c r="BB30" s="154">
        <f t="shared" ref="BB30:BB57" si="17">BB29*(1+$E30)</f>
        <v>69.139739285913606</v>
      </c>
      <c r="BD30" s="154">
        <f t="shared" ref="BD30:BD57" si="18">BD29*(1+$E30)</f>
        <v>4.5526653337600012</v>
      </c>
      <c r="BF30" s="153">
        <f t="shared" si="10"/>
        <v>6635.3981693868491</v>
      </c>
      <c r="BH30" s="157"/>
    </row>
    <row r="31" spans="1:60" ht="12">
      <c r="B31" s="2"/>
      <c r="C31">
        <f>+IF(C30&gt;$G$13+$G$14,XX,C30+1)</f>
        <v>2023</v>
      </c>
      <c r="E31" s="169">
        <f>'(2.2)_Forward_Price_Curve'!T38</f>
        <v>2.3E-2</v>
      </c>
      <c r="G31" s="18">
        <v>748756.09440000006</v>
      </c>
      <c r="I31" s="28">
        <f t="shared" si="11"/>
        <v>58.14232744477065</v>
      </c>
      <c r="K31" s="28">
        <f t="shared" si="12"/>
        <v>1.0984378859519999</v>
      </c>
      <c r="M31" s="268">
        <f t="shared" si="5"/>
        <v>0</v>
      </c>
      <c r="O31" s="270">
        <f>'(2.2)_Forward_Price_Curve'!AC37</f>
        <v>1.2269144627008759</v>
      </c>
      <c r="Q31" s="28">
        <v>-35.802845663214576</v>
      </c>
      <c r="S31" s="18">
        <f t="shared" si="6"/>
        <v>-13449.640121048154</v>
      </c>
      <c r="U31" s="18">
        <f t="shared" si="0"/>
        <v>29705.703969136921</v>
      </c>
      <c r="W31" s="18">
        <f t="shared" si="1"/>
        <v>-43155.344090185077</v>
      </c>
      <c r="Y31" s="271">
        <f t="shared" si="7"/>
        <v>-57.636050528265422</v>
      </c>
      <c r="Z31" s="235"/>
      <c r="AB31" s="146">
        <f>+IF(AB30&gt;$G$13+$G$14,XX,AB30+1)</f>
        <v>2023</v>
      </c>
      <c r="AC31" s="117"/>
      <c r="AD31" s="151">
        <f t="shared" si="2"/>
        <v>748756.09440000006</v>
      </c>
      <c r="AF31" s="154">
        <f t="shared" si="13"/>
        <v>108.60886497640824</v>
      </c>
      <c r="AH31" s="154">
        <f t="shared" si="14"/>
        <v>21.754827517104008</v>
      </c>
      <c r="AJ31" s="154">
        <f t="shared" si="15"/>
        <v>2.2201240621601643</v>
      </c>
      <c r="AL31" s="153">
        <f t="shared" si="8"/>
        <v>17515.888635017469</v>
      </c>
      <c r="AN31" s="154">
        <f>INDEX('(2.2)_Forward_Price_Curve'!$K:$K,MATCH($AB31,'(2.2)_Forward_Price_Curve'!$C:$C,0),1)</f>
        <v>3.4771000000000001</v>
      </c>
      <c r="AP31" s="154">
        <f>AN31*$AF$14/1000+$AJ$14*(1+E31)</f>
        <v>22.84051620476605</v>
      </c>
      <c r="AR31" s="154">
        <f t="shared" si="16"/>
        <v>2.5052910659042213</v>
      </c>
      <c r="AS31" s="154"/>
      <c r="AT31" s="153">
        <f t="shared" si="3"/>
        <v>10727.876307734723</v>
      </c>
      <c r="AV31" s="153">
        <f t="shared" si="4"/>
        <v>18977.827661402196</v>
      </c>
      <c r="AW31" s="273"/>
      <c r="AX31" s="155">
        <f t="shared" si="9"/>
        <v>29705.703969136921</v>
      </c>
      <c r="AZ31" s="146">
        <f>+IF(AZ30&gt;$G$13+$G$14,XX,AZ30+1)</f>
        <v>2023</v>
      </c>
      <c r="BA31" s="117"/>
      <c r="BB31" s="154">
        <f t="shared" si="17"/>
        <v>70.729953289489615</v>
      </c>
      <c r="BD31" s="154">
        <f t="shared" si="18"/>
        <v>4.6573766364364806</v>
      </c>
      <c r="BF31" s="153">
        <f t="shared" si="10"/>
        <v>6788.0123272827459</v>
      </c>
      <c r="BH31" s="157"/>
    </row>
    <row r="32" spans="1:60" ht="12">
      <c r="B32" s="2"/>
      <c r="C32">
        <f>+IF(C31&gt;$G$13+$G$14,XX,C31+1)</f>
        <v>2024</v>
      </c>
      <c r="E32" s="169">
        <f>'(2.2)_Forward_Price_Curve'!T39</f>
        <v>2.1999999999999999E-2</v>
      </c>
      <c r="G32" s="18">
        <v>748756.09440000006</v>
      </c>
      <c r="I32" s="28">
        <f t="shared" si="11"/>
        <v>59.421458648555607</v>
      </c>
      <c r="K32" s="28">
        <f t="shared" si="12"/>
        <v>1.1226035194429438</v>
      </c>
      <c r="M32" s="268">
        <f t="shared" si="5"/>
        <v>0</v>
      </c>
      <c r="O32" s="270">
        <f>'(2.2)_Forward_Price_Curve'!AC38</f>
        <v>1.2554480395092353</v>
      </c>
      <c r="Q32" s="28">
        <v>-35.802845663214576</v>
      </c>
      <c r="S32" s="18">
        <f t="shared" si="6"/>
        <v>-13154.610851650252</v>
      </c>
      <c r="U32" s="18">
        <f t="shared" si="0"/>
        <v>32327.533684908347</v>
      </c>
      <c r="W32" s="18">
        <f t="shared" si="1"/>
        <v>-45482.144536558597</v>
      </c>
      <c r="Y32" s="271">
        <f t="shared" si="7"/>
        <v>-60.743605129524532</v>
      </c>
      <c r="Z32" s="235"/>
      <c r="AB32" s="146">
        <f>+IF(AB31&gt;$G$13+$G$14,XX,AB31+1)</f>
        <v>2024</v>
      </c>
      <c r="AC32" s="117"/>
      <c r="AD32" s="151">
        <f t="shared" si="2"/>
        <v>748756.09440000006</v>
      </c>
      <c r="AF32" s="154">
        <f t="shared" si="13"/>
        <v>110.99826000588922</v>
      </c>
      <c r="AH32" s="154">
        <f t="shared" si="14"/>
        <v>22.233433722480296</v>
      </c>
      <c r="AJ32" s="154">
        <f t="shared" si="15"/>
        <v>2.2689667915276881</v>
      </c>
      <c r="AL32" s="153">
        <f t="shared" si="8"/>
        <v>17901.238184987855</v>
      </c>
      <c r="AN32" s="154">
        <f>INDEX('(2.2)_Forward_Price_Curve'!$K:$K,MATCH($AB32,'(2.2)_Forward_Price_Curve'!$C:$C,0),1)</f>
        <v>3.9537833333333325</v>
      </c>
      <c r="AP32" s="154">
        <f t="shared" ref="AP32:AP35" si="19">AN32*$AF$14/1000+$AJ$14*(1+E32)</f>
        <v>25.971773114127839</v>
      </c>
      <c r="AR32" s="154">
        <f t="shared" si="16"/>
        <v>2.5604074693541143</v>
      </c>
      <c r="AS32" s="154"/>
      <c r="AT32" s="153">
        <f t="shared" si="3"/>
        <v>10963.889586504887</v>
      </c>
      <c r="AV32" s="153">
        <f t="shared" si="4"/>
        <v>21363.64409840346</v>
      </c>
      <c r="AW32" s="273"/>
      <c r="AX32" s="155">
        <f t="shared" si="9"/>
        <v>32327.533684908347</v>
      </c>
      <c r="AZ32" s="146">
        <f>+IF(AZ31&gt;$G$13+$G$14,XX,AZ31+1)</f>
        <v>2024</v>
      </c>
      <c r="BA32" s="117"/>
      <c r="BB32" s="154">
        <f t="shared" si="17"/>
        <v>72.286012261858389</v>
      </c>
      <c r="BD32" s="154">
        <f t="shared" si="18"/>
        <v>4.7598389224380835</v>
      </c>
      <c r="BF32" s="153">
        <f t="shared" si="10"/>
        <v>6937.3485984829667</v>
      </c>
      <c r="BH32" s="157"/>
    </row>
    <row r="33" spans="2:60" ht="12">
      <c r="B33" s="2"/>
      <c r="C33">
        <f>+IF(C32&gt;$G$13+$G$14,XX,C32+1)</f>
        <v>2025</v>
      </c>
      <c r="E33" s="169">
        <f>'(2.2)_Forward_Price_Curve'!T40</f>
        <v>2.1999999999999999E-2</v>
      </c>
      <c r="G33" s="18">
        <v>748756.09440000006</v>
      </c>
      <c r="I33" s="28">
        <f t="shared" si="11"/>
        <v>60.728730738823835</v>
      </c>
      <c r="K33" s="28">
        <f t="shared" si="12"/>
        <v>1.1473007968706885</v>
      </c>
      <c r="M33" s="268">
        <f t="shared" si="5"/>
        <v>0</v>
      </c>
      <c r="O33" s="270">
        <f>'(2.2)_Forward_Price_Curve'!AC39</f>
        <v>1.2834505366016622</v>
      </c>
      <c r="Q33" s="28">
        <v>-37.128876984074367</v>
      </c>
      <c r="S33" s="18">
        <f t="shared" si="6"/>
        <v>-13846.832643528222</v>
      </c>
      <c r="U33" s="18">
        <f t="shared" si="0"/>
        <v>33372.723814970923</v>
      </c>
      <c r="W33" s="18">
        <f t="shared" si="1"/>
        <v>-47219.556458499144</v>
      </c>
      <c r="Y33" s="271">
        <f t="shared" si="7"/>
        <v>-63.064002833042096</v>
      </c>
      <c r="Z33" s="235"/>
      <c r="AB33" s="146">
        <f>+IF(AB32&gt;$G$13+$G$14,XX,AB32+1)</f>
        <v>2025</v>
      </c>
      <c r="AC33" s="117"/>
      <c r="AD33" s="151">
        <f t="shared" si="2"/>
        <v>748756.09440000006</v>
      </c>
      <c r="AF33" s="154">
        <f t="shared" si="13"/>
        <v>113.44022172601879</v>
      </c>
      <c r="AH33" s="154">
        <f t="shared" si="14"/>
        <v>22.722569264374862</v>
      </c>
      <c r="AJ33" s="154">
        <f t="shared" si="15"/>
        <v>2.3188840609412971</v>
      </c>
      <c r="AL33" s="153">
        <f t="shared" si="8"/>
        <v>18295.06542505759</v>
      </c>
      <c r="AN33" s="154">
        <f>INDEX('(2.2)_Forward_Price_Curve'!$K:$K,MATCH($AB33,'(2.2)_Forward_Price_Curve'!$C:$C,0),1)</f>
        <v>4.1086708333333339</v>
      </c>
      <c r="AP33" s="154">
        <f t="shared" si="19"/>
        <v>26.989204437260831</v>
      </c>
      <c r="AR33" s="154">
        <f t="shared" si="16"/>
        <v>2.6167364336799048</v>
      </c>
      <c r="AS33" s="154"/>
      <c r="AT33" s="153">
        <f t="shared" si="3"/>
        <v>11205.095157407999</v>
      </c>
      <c r="AV33" s="153">
        <f t="shared" si="4"/>
        <v>22167.628657562924</v>
      </c>
      <c r="AW33" s="273"/>
      <c r="AX33" s="155">
        <f t="shared" si="9"/>
        <v>33372.723814970923</v>
      </c>
      <c r="AZ33" s="146">
        <f>+IF(AZ32&gt;$G$13+$G$14,XX,AZ32+1)</f>
        <v>2025</v>
      </c>
      <c r="BA33" s="117"/>
      <c r="BB33" s="154">
        <f t="shared" si="17"/>
        <v>73.876304531619269</v>
      </c>
      <c r="BD33" s="154">
        <f t="shared" si="18"/>
        <v>4.8645553787317217</v>
      </c>
      <c r="BF33" s="153">
        <f t="shared" si="10"/>
        <v>7089.9702676495917</v>
      </c>
      <c r="BH33" s="157"/>
    </row>
    <row r="34" spans="2:60" ht="12">
      <c r="B34" s="2"/>
      <c r="C34">
        <f>+IF(C33&gt;$G$13+$G$14,XX,C33+1)</f>
        <v>2026</v>
      </c>
      <c r="E34" s="169">
        <f>'(2.2)_Forward_Price_Curve'!T41</f>
        <v>2.1999999999999999E-2</v>
      </c>
      <c r="G34" s="18">
        <v>748756.09440000006</v>
      </c>
      <c r="I34" s="28">
        <f t="shared" si="11"/>
        <v>62.064762815077962</v>
      </c>
      <c r="K34" s="28">
        <f t="shared" si="12"/>
        <v>1.1725414144018438</v>
      </c>
      <c r="M34" s="268">
        <f t="shared" si="5"/>
        <v>0</v>
      </c>
      <c r="O34" s="270">
        <f>'(2.2)_Forward_Price_Curve'!AC40</f>
        <v>1.3117597482561225</v>
      </c>
      <c r="Q34" s="28">
        <v>-37.128876984074367</v>
      </c>
      <c r="S34" s="18">
        <f t="shared" si="6"/>
        <v>-13539.797673735842</v>
      </c>
      <c r="U34" s="18">
        <f t="shared" si="0"/>
        <v>34045.14005838157</v>
      </c>
      <c r="W34" s="18">
        <f t="shared" si="1"/>
        <v>-47584.937732117411</v>
      </c>
      <c r="Y34" s="271">
        <f t="shared" si="7"/>
        <v>-63.551987206526306</v>
      </c>
      <c r="Z34" s="235"/>
      <c r="AB34" s="146">
        <f>+IF(AB33&gt;$G$13+$G$14,XX,AB33+1)</f>
        <v>2026</v>
      </c>
      <c r="AC34" s="117"/>
      <c r="AD34" s="151">
        <f t="shared" si="2"/>
        <v>748756.09440000006</v>
      </c>
      <c r="AF34" s="154">
        <f t="shared" si="13"/>
        <v>115.93590660399121</v>
      </c>
      <c r="AH34" s="154">
        <f t="shared" si="14"/>
        <v>23.222465788191109</v>
      </c>
      <c r="AJ34" s="154">
        <f t="shared" si="15"/>
        <v>2.3698995102820057</v>
      </c>
      <c r="AL34" s="153">
        <f t="shared" si="8"/>
        <v>18697.55686440886</v>
      </c>
      <c r="AN34" s="154">
        <f>INDEX('(2.2)_Forward_Price_Curve'!$K:$K,MATCH($AB34,'(2.2)_Forward_Price_Curve'!$C:$C,0),1)</f>
        <v>4.1864999999999997</v>
      </c>
      <c r="AP34" s="154">
        <f t="shared" si="19"/>
        <v>27.500451839536701</v>
      </c>
      <c r="AR34" s="154">
        <f t="shared" si="16"/>
        <v>2.6743046352208628</v>
      </c>
      <c r="AS34" s="154"/>
      <c r="AT34" s="153">
        <f t="shared" si="3"/>
        <v>11451.607250870977</v>
      </c>
      <c r="AV34" s="153">
        <f t="shared" si="4"/>
        <v>22593.53280751059</v>
      </c>
      <c r="AW34" s="273"/>
      <c r="AX34" s="155">
        <f t="shared" si="9"/>
        <v>34045.14005838157</v>
      </c>
      <c r="AZ34" s="146">
        <f>+IF(AZ33&gt;$G$13+$G$14,XX,AZ33+1)</f>
        <v>2026</v>
      </c>
      <c r="BA34" s="117"/>
      <c r="BB34" s="154">
        <f t="shared" si="17"/>
        <v>75.501583231314896</v>
      </c>
      <c r="BD34" s="154">
        <f t="shared" si="18"/>
        <v>4.9715755970638194</v>
      </c>
      <c r="BF34" s="153">
        <f t="shared" si="10"/>
        <v>7245.9496135378831</v>
      </c>
      <c r="BH34" s="157"/>
    </row>
    <row r="35" spans="2:60" ht="12">
      <c r="B35" s="2"/>
      <c r="C35">
        <f>+IF(C34&gt;$G$13+$G$14,XX,C34+1)</f>
        <v>2027</v>
      </c>
      <c r="E35" s="169">
        <f>'(2.2)_Forward_Price_Curve'!T42</f>
        <v>2.1999999999999999E-2</v>
      </c>
      <c r="G35" s="18">
        <v>748756.09440000006</v>
      </c>
      <c r="I35" s="28">
        <f t="shared" si="11"/>
        <v>63.430187597009677</v>
      </c>
      <c r="K35" s="28">
        <f t="shared" si="12"/>
        <v>1.1983373255186844</v>
      </c>
      <c r="M35" s="268">
        <f t="shared" si="5"/>
        <v>0</v>
      </c>
      <c r="O35" s="270">
        <f>'(2.2)_Forward_Price_Curve'!AC41</f>
        <v>1.3408534982838876</v>
      </c>
      <c r="Q35" s="28">
        <v>-38.454908304934172</v>
      </c>
      <c r="S35" s="18">
        <f t="shared" si="6"/>
        <v>-14218.760866863369</v>
      </c>
      <c r="U35" s="18">
        <f t="shared" si="0"/>
        <v>35673.108586938193</v>
      </c>
      <c r="W35" s="18">
        <f t="shared" si="1"/>
        <v>-49891.869453801562</v>
      </c>
      <c r="Y35" s="271">
        <f t="shared" si="7"/>
        <v>-66.633006164419086</v>
      </c>
      <c r="Z35" s="235"/>
      <c r="AB35" s="146">
        <f>+IF(AB34&gt;$G$13+$G$14,XX,AB34+1)</f>
        <v>2027</v>
      </c>
      <c r="AC35" s="117"/>
      <c r="AD35" s="151">
        <f t="shared" si="2"/>
        <v>748756.09440000006</v>
      </c>
      <c r="AF35" s="154">
        <f t="shared" si="13"/>
        <v>118.48649654927902</v>
      </c>
      <c r="AH35" s="154">
        <f t="shared" si="14"/>
        <v>23.733360035531312</v>
      </c>
      <c r="AJ35" s="154">
        <f t="shared" si="15"/>
        <v>2.4220372995082098</v>
      </c>
      <c r="AL35" s="153">
        <f t="shared" si="8"/>
        <v>19108.903115425856</v>
      </c>
      <c r="AN35" s="154">
        <f>INDEX('(2.2)_Forward_Price_Curve'!$K:$K,MATCH($AB35,'(2.2)_Forward_Price_Curve'!$C:$C,0),1)</f>
        <v>4.4573125000000005</v>
      </c>
      <c r="AP35" s="154">
        <f t="shared" si="19"/>
        <v>29.279376027711681</v>
      </c>
      <c r="AR35" s="154">
        <f t="shared" si="16"/>
        <v>2.733139337195722</v>
      </c>
      <c r="AS35" s="154"/>
      <c r="AT35" s="153">
        <f t="shared" si="3"/>
        <v>11703.542610390141</v>
      </c>
      <c r="AV35" s="153">
        <f t="shared" si="4"/>
        <v>23969.565976548056</v>
      </c>
      <c r="AW35" s="273"/>
      <c r="AX35" s="155">
        <f t="shared" si="9"/>
        <v>35673.108586938193</v>
      </c>
      <c r="AZ35" s="146">
        <f>+IF(AZ34&gt;$G$13+$G$14,XX,AZ34+1)</f>
        <v>2027</v>
      </c>
      <c r="BA35" s="117"/>
      <c r="BB35" s="154">
        <f t="shared" si="17"/>
        <v>77.162618062403823</v>
      </c>
      <c r="BD35" s="154">
        <f t="shared" si="18"/>
        <v>5.0809502601992236</v>
      </c>
      <c r="BF35" s="153">
        <f t="shared" si="10"/>
        <v>7405.3605050357155</v>
      </c>
      <c r="BH35" s="157"/>
    </row>
    <row r="36" spans="2:60" ht="12">
      <c r="B36" s="2"/>
      <c r="C36">
        <f>+IF(C35&gt;$G$13+$G$14,XX,C35+1)</f>
        <v>2028</v>
      </c>
      <c r="E36" s="169">
        <f>'(2.2)_Forward_Price_Curve'!T43</f>
        <v>2.1999999999999999E-2</v>
      </c>
      <c r="G36" s="18">
        <v>748756.09440000006</v>
      </c>
      <c r="I36" s="28">
        <f t="shared" si="11"/>
        <v>64.825651724143896</v>
      </c>
      <c r="K36" s="28">
        <f t="shared" si="12"/>
        <v>1.2247007466800954</v>
      </c>
      <c r="M36" s="268">
        <f t="shared" si="5"/>
        <v>0</v>
      </c>
      <c r="O36" s="270">
        <f>'(2.2)_Forward_Price_Curve'!AC42</f>
        <v>1.3709529466223729</v>
      </c>
      <c r="Q36" s="28">
        <v>-38.454908304934172</v>
      </c>
      <c r="S36" s="18">
        <f t="shared" si="6"/>
        <v>-13897.670216616596</v>
      </c>
      <c r="U36" s="18">
        <f t="shared" si="0"/>
        <v>36744.322769332575</v>
      </c>
      <c r="W36" s="18">
        <f t="shared" si="1"/>
        <v>-50641.992985949168</v>
      </c>
      <c r="Y36" s="271">
        <f t="shared" si="7"/>
        <v>-67.634832443707936</v>
      </c>
      <c r="Z36" s="235"/>
      <c r="AB36" s="146">
        <f>+IF(AB35&gt;$G$13+$G$14,XX,AB35+1)</f>
        <v>2028</v>
      </c>
      <c r="AC36" s="117"/>
      <c r="AD36" s="151">
        <f t="shared" ref="AD36:AD57" si="20">G36</f>
        <v>748756.09440000006</v>
      </c>
      <c r="AF36" s="154">
        <f t="shared" si="13"/>
        <v>121.09319947336317</v>
      </c>
      <c r="AH36" s="154">
        <f t="shared" si="14"/>
        <v>24.255493956313003</v>
      </c>
      <c r="AJ36" s="154">
        <f t="shared" si="15"/>
        <v>2.4753221200973905</v>
      </c>
      <c r="AL36" s="153">
        <f t="shared" ref="AL36:AL57" si="21">((AF36+AH36)*$AF$11*1000+AJ36*AD36)/1000</f>
        <v>19529.298983965225</v>
      </c>
      <c r="AN36" s="154">
        <f>INDEX('(2.2)_Forward_Price_Curve'!$K:$K,MATCH($AB36,'(2.2)_Forward_Price_Curve'!$C:$C,0),1)</f>
        <v>4.6136041666666676</v>
      </c>
      <c r="AP36" s="154">
        <f t="shared" ref="AP36:AP57" si="22">AN36*$AF$14/1000+$AJ$14*(1+E36)</f>
        <v>30.30603109807776</v>
      </c>
      <c r="AR36" s="154">
        <f t="shared" si="16"/>
        <v>2.7932684026140278</v>
      </c>
      <c r="AS36" s="154"/>
      <c r="AT36" s="153">
        <f t="shared" ref="AT36:AT57" si="23">AL36-BF36</f>
        <v>11961.020547818724</v>
      </c>
      <c r="AV36" s="153">
        <f t="shared" ref="AV36:AV57" si="24">(AP36+AR36)*AD36/1000</f>
        <v>24783.302221513852</v>
      </c>
      <c r="AW36" s="273"/>
      <c r="AX36" s="155">
        <f t="shared" ref="AX36:AX57" si="25">AT36+AV36</f>
        <v>36744.322769332575</v>
      </c>
      <c r="AZ36" s="146">
        <f>+IF(AZ35&gt;$G$13+$G$14,XX,AZ35+1)</f>
        <v>2028</v>
      </c>
      <c r="BA36" s="117"/>
      <c r="BB36" s="154">
        <f t="shared" si="17"/>
        <v>78.860195659776707</v>
      </c>
      <c r="BD36" s="154">
        <f t="shared" si="18"/>
        <v>5.1927311659236066</v>
      </c>
      <c r="BF36" s="153">
        <f t="shared" ref="BF36:BF57" si="26">(BB36+BD36)*$BD$11</f>
        <v>7568.2784361465019</v>
      </c>
      <c r="BH36" s="157"/>
    </row>
    <row r="37" spans="2:60" ht="12">
      <c r="B37" s="2"/>
      <c r="C37">
        <f>+IF(C36&gt;$G$13+$G$14,XX,C36+1)</f>
        <v>2029</v>
      </c>
      <c r="E37" s="169">
        <f>'(2.2)_Forward_Price_Curve'!T44</f>
        <v>2.1999999999999999E-2</v>
      </c>
      <c r="G37" s="18">
        <v>748756.09440000006</v>
      </c>
      <c r="I37" s="28">
        <f t="shared" si="11"/>
        <v>66.251816062075065</v>
      </c>
      <c r="K37" s="28">
        <f t="shared" si="12"/>
        <v>1.2516441631070576</v>
      </c>
      <c r="M37" s="268">
        <f t="shared" si="5"/>
        <v>0</v>
      </c>
      <c r="O37" s="270">
        <f>'(2.2)_Forward_Price_Curve'!AC43</f>
        <v>1.4021626326399876</v>
      </c>
      <c r="Q37" s="28">
        <v>-39.780939625793962</v>
      </c>
      <c r="S37" s="18">
        <f t="shared" si="6"/>
        <v>-14562.054124893355</v>
      </c>
      <c r="U37" s="18">
        <f t="shared" si="0"/>
        <v>37744.828680408893</v>
      </c>
      <c r="W37" s="18">
        <f t="shared" si="1"/>
        <v>-52306.882805302244</v>
      </c>
      <c r="Y37" s="271">
        <f t="shared" si="7"/>
        <v>-69.858373369524642</v>
      </c>
      <c r="Z37" s="235"/>
      <c r="AB37" s="146">
        <f>+IF(AB36&gt;$G$13+$G$14,XX,AB36+1)</f>
        <v>2029</v>
      </c>
      <c r="AC37" s="117"/>
      <c r="AD37" s="151">
        <f t="shared" si="20"/>
        <v>748756.09440000006</v>
      </c>
      <c r="AF37" s="154">
        <f t="shared" si="13"/>
        <v>123.75724986177717</v>
      </c>
      <c r="AH37" s="154">
        <f t="shared" si="14"/>
        <v>24.789114823351891</v>
      </c>
      <c r="AJ37" s="154">
        <f t="shared" si="15"/>
        <v>2.529779206739533</v>
      </c>
      <c r="AL37" s="153">
        <f t="shared" si="21"/>
        <v>19958.943561612461</v>
      </c>
      <c r="AN37" s="154">
        <f>INDEX('(2.2)_Forward_Price_Curve'!$K:$K,MATCH($AB37,'(2.2)_Forward_Price_Curve'!$C:$C,0),1)</f>
        <v>4.7541666666666673</v>
      </c>
      <c r="AP37" s="154">
        <f t="shared" si="22"/>
        <v>31.229363777331283</v>
      </c>
      <c r="AR37" s="154">
        <f t="shared" si="16"/>
        <v>2.8547203074715366</v>
      </c>
      <c r="AS37" s="154"/>
      <c r="AT37" s="153">
        <f t="shared" si="23"/>
        <v>12224.162999870736</v>
      </c>
      <c r="AV37" s="153">
        <f t="shared" si="24"/>
        <v>25520.665680538157</v>
      </c>
      <c r="AW37" s="273"/>
      <c r="AX37" s="155">
        <f t="shared" si="25"/>
        <v>37744.828680408893</v>
      </c>
      <c r="AZ37" s="146">
        <f>+IF(AZ36&gt;$G$13+$G$14,XX,AZ36+1)</f>
        <v>2029</v>
      </c>
      <c r="BA37" s="117"/>
      <c r="BB37" s="154">
        <f t="shared" si="17"/>
        <v>80.595119964291797</v>
      </c>
      <c r="BD37" s="154">
        <f t="shared" si="18"/>
        <v>5.306971251573926</v>
      </c>
      <c r="BF37" s="153">
        <f t="shared" si="26"/>
        <v>7734.7805617417253</v>
      </c>
      <c r="BH37" s="157"/>
    </row>
    <row r="38" spans="2:60" ht="12">
      <c r="B38" s="2"/>
      <c r="C38">
        <f>+IF(C37&gt;$G$13+$G$14,XX,C37+1)</f>
        <v>2030</v>
      </c>
      <c r="E38" s="169">
        <f>'(2.2)_Forward_Price_Curve'!T45</f>
        <v>2.1999999999999999E-2</v>
      </c>
      <c r="G38" s="18">
        <v>748756.09440000006</v>
      </c>
      <c r="I38" s="28">
        <f t="shared" si="11"/>
        <v>67.709356015440719</v>
      </c>
      <c r="J38" s="268"/>
      <c r="K38" s="28">
        <f t="shared" si="12"/>
        <v>1.2791803346954129</v>
      </c>
      <c r="L38" s="269"/>
      <c r="M38" s="268">
        <f t="shared" si="5"/>
        <v>0</v>
      </c>
      <c r="O38" s="270">
        <f>'(2.2)_Forward_Price_Curve'!AC44</f>
        <v>1.4335840474923813</v>
      </c>
      <c r="Q38" s="28">
        <v>-41.10697094665376</v>
      </c>
      <c r="S38" s="18">
        <f>(I38*$G$11*1000+(K38+M38+O38+Q38)*G38)/1000</f>
        <v>-15219.566822911325</v>
      </c>
      <c r="U38" s="18">
        <f t="shared" ref="U38:U47" si="27">AX38</f>
        <v>39528.268917446287</v>
      </c>
      <c r="W38" s="18">
        <f t="shared" ref="W38:W47" si="28">S38-U38</f>
        <v>-54747.835740357608</v>
      </c>
      <c r="Y38" s="271">
        <f>+W38*1000/G38</f>
        <v>-73.118384143809379</v>
      </c>
      <c r="Z38" s="235"/>
      <c r="AB38" s="146">
        <f>+IF(AB37&gt;$G$13+$G$14,XX,AB37+1)</f>
        <v>2030</v>
      </c>
      <c r="AC38" s="117"/>
      <c r="AD38" s="151">
        <f t="shared" si="20"/>
        <v>748756.09440000006</v>
      </c>
      <c r="AF38" s="154">
        <f t="shared" si="13"/>
        <v>126.47990935873626</v>
      </c>
      <c r="AH38" s="154">
        <f t="shared" si="14"/>
        <v>25.334475349465635</v>
      </c>
      <c r="AJ38" s="154">
        <f t="shared" si="15"/>
        <v>2.5854343492878029</v>
      </c>
      <c r="AL38" s="153">
        <f t="shared" si="21"/>
        <v>20398.040319967928</v>
      </c>
      <c r="AN38" s="154">
        <f>INDEX('(2.2)_Forward_Price_Curve'!$K:$K,MATCH($AB38,'(2.2)_Forward_Price_Curve'!$C:$C,0),1)</f>
        <v>5.052529166666667</v>
      </c>
      <c r="AP38" s="154">
        <f t="shared" si="22"/>
        <v>33.189259528429758</v>
      </c>
      <c r="AR38" s="154">
        <f t="shared" si="16"/>
        <v>2.9175241542359105</v>
      </c>
      <c r="AS38" s="154"/>
      <c r="AT38" s="153">
        <f t="shared" si="23"/>
        <v>12493.094585867882</v>
      </c>
      <c r="AV38" s="153">
        <f t="shared" si="24"/>
        <v>27035.174331578401</v>
      </c>
      <c r="AW38" s="273"/>
      <c r="AX38" s="155">
        <f t="shared" si="25"/>
        <v>39528.268917446287</v>
      </c>
      <c r="AZ38" s="146">
        <f>+IF(AZ37&gt;$G$13+$G$14,XX,AZ37+1)</f>
        <v>2030</v>
      </c>
      <c r="BA38" s="117"/>
      <c r="BB38" s="154">
        <f t="shared" si="17"/>
        <v>82.368212603506223</v>
      </c>
      <c r="BD38" s="154">
        <f t="shared" si="18"/>
        <v>5.4237246191085529</v>
      </c>
      <c r="BF38" s="153">
        <f t="shared" si="26"/>
        <v>7904.9457341000443</v>
      </c>
      <c r="BG38" s="272"/>
      <c r="BH38" s="156"/>
    </row>
    <row r="39" spans="2:60" ht="12">
      <c r="B39" s="2"/>
      <c r="C39">
        <f>+IF(C38&gt;$G$13+$G$14,XX,C38+1)</f>
        <v>2031</v>
      </c>
      <c r="E39" s="169">
        <f>'(2.2)_Forward_Price_Curve'!T46</f>
        <v>2.1000000000000001E-2</v>
      </c>
      <c r="G39" s="18">
        <v>748756.09440000006</v>
      </c>
      <c r="I39" s="28">
        <f t="shared" si="11"/>
        <v>69.131252491764968</v>
      </c>
      <c r="K39" s="28">
        <f t="shared" si="12"/>
        <v>1.3060431217240165</v>
      </c>
      <c r="M39" s="268">
        <f t="shared" si="5"/>
        <v>0</v>
      </c>
      <c r="O39" s="270">
        <f>'(2.2)_Forward_Price_Curve'!AC45</f>
        <v>1.4649463685254571</v>
      </c>
      <c r="Q39" s="28"/>
      <c r="S39" s="18">
        <f t="shared" ref="S39:S47" si="29">(I39*$G$11*1000+(K39+M39+O39+Q39)*G39)/1000</f>
        <v>15887.219516197285</v>
      </c>
      <c r="U39" s="18">
        <f t="shared" si="27"/>
        <v>40512.049117001021</v>
      </c>
      <c r="W39" s="18">
        <f t="shared" si="28"/>
        <v>-24624.829600803736</v>
      </c>
      <c r="Y39" s="271">
        <f t="shared" ref="Y39:Y47" si="30">+W39*1000/G39</f>
        <v>-32.887651646476847</v>
      </c>
      <c r="Z39" s="235"/>
      <c r="AB39" s="146">
        <f>+IF(AB38&gt;$G$13+$G$14,XX,AB38+1)</f>
        <v>2031</v>
      </c>
      <c r="AC39" s="117"/>
      <c r="AD39" s="151">
        <f t="shared" si="20"/>
        <v>748756.09440000006</v>
      </c>
      <c r="AF39" s="154">
        <f t="shared" si="13"/>
        <v>129.13598745526971</v>
      </c>
      <c r="AH39" s="154">
        <f t="shared" si="14"/>
        <v>25.866499331804409</v>
      </c>
      <c r="AJ39" s="154">
        <f t="shared" si="15"/>
        <v>2.6397284706228463</v>
      </c>
      <c r="AL39" s="153">
        <f t="shared" si="21"/>
        <v>20826.399166687257</v>
      </c>
      <c r="AN39" s="154">
        <f>INDEX('(2.2)_Forward_Price_Curve'!$K:$K,MATCH($AB39,'(2.2)_Forward_Price_Curve'!$C:$C,0),1)</f>
        <v>5.1898791666666666</v>
      </c>
      <c r="AP39" s="154">
        <f t="shared" si="22"/>
        <v>34.091489806743468</v>
      </c>
      <c r="AR39" s="154">
        <f t="shared" si="16"/>
        <v>2.9787921614748645</v>
      </c>
      <c r="AS39" s="154"/>
      <c r="AT39" s="153">
        <f t="shared" si="23"/>
        <v>12755.449572171114</v>
      </c>
      <c r="AV39" s="153">
        <f t="shared" si="24"/>
        <v>27756.599544829904</v>
      </c>
      <c r="AW39" s="273"/>
      <c r="AX39" s="155">
        <f t="shared" si="25"/>
        <v>40512.049117001021</v>
      </c>
      <c r="AZ39" s="146">
        <f>+IF(AZ38&gt;$G$13+$G$14,XX,AZ38+1)</f>
        <v>2031</v>
      </c>
      <c r="BA39" s="117"/>
      <c r="BB39" s="154">
        <f t="shared" si="17"/>
        <v>84.09794506817984</v>
      </c>
      <c r="BD39" s="154">
        <f t="shared" si="18"/>
        <v>5.5376228361098319</v>
      </c>
      <c r="BF39" s="153">
        <f t="shared" si="26"/>
        <v>8070.9495945161434</v>
      </c>
      <c r="BH39" s="157"/>
    </row>
    <row r="40" spans="2:60" ht="12">
      <c r="B40" s="2"/>
      <c r="C40">
        <f>+IF(C39&gt;$G$13+$G$14,XX,C39+1)</f>
        <v>2032</v>
      </c>
      <c r="E40" s="169">
        <f>'(2.2)_Forward_Price_Curve'!T47</f>
        <v>2.1000000000000001E-2</v>
      </c>
      <c r="G40" s="18">
        <v>748756.09440000006</v>
      </c>
      <c r="I40" s="28">
        <f t="shared" si="11"/>
        <v>70.583008794092024</v>
      </c>
      <c r="K40" s="28">
        <f t="shared" si="12"/>
        <v>1.3334700272802207</v>
      </c>
      <c r="M40" s="268">
        <f t="shared" si="5"/>
        <v>0</v>
      </c>
      <c r="O40" s="270">
        <f>'(2.2)_Forward_Price_Curve'!AC46</f>
        <v>1.4965465421812867</v>
      </c>
      <c r="Q40" s="28"/>
      <c r="S40" s="18">
        <f t="shared" si="29"/>
        <v>16221.477310696871</v>
      </c>
      <c r="U40" s="18">
        <f t="shared" si="27"/>
        <v>41529.14873365841</v>
      </c>
      <c r="W40" s="18">
        <f t="shared" si="28"/>
        <v>-25307.671422961539</v>
      </c>
      <c r="Y40" s="271">
        <f t="shared" si="30"/>
        <v>-33.799619945986962</v>
      </c>
      <c r="Z40" s="235"/>
      <c r="AB40" s="146">
        <f>+IF(AB39&gt;$G$13+$G$14,XX,AB39+1)</f>
        <v>2032</v>
      </c>
      <c r="AC40" s="117"/>
      <c r="AD40" s="151">
        <f t="shared" si="20"/>
        <v>748756.09440000006</v>
      </c>
      <c r="AF40" s="154">
        <f t="shared" si="13"/>
        <v>131.84784319183038</v>
      </c>
      <c r="AH40" s="154">
        <f t="shared" si="14"/>
        <v>26.409695817772299</v>
      </c>
      <c r="AJ40" s="154">
        <f t="shared" si="15"/>
        <v>2.6951627685059258</v>
      </c>
      <c r="AL40" s="153">
        <f t="shared" si="21"/>
        <v>21263.753549187688</v>
      </c>
      <c r="AN40" s="154">
        <f>INDEX('(2.2)_Forward_Price_Curve'!$K:$K,MATCH($AB40,'(2.2)_Forward_Price_Curve'!$C:$C,0),1)</f>
        <v>5.3326874999999996</v>
      </c>
      <c r="AP40" s="154">
        <f t="shared" si="22"/>
        <v>35.029575007535975</v>
      </c>
      <c r="AR40" s="154">
        <f t="shared" si="16"/>
        <v>3.0413467968658363</v>
      </c>
      <c r="AS40" s="154"/>
      <c r="AT40" s="153">
        <f t="shared" si="23"/>
        <v>13023.314013186706</v>
      </c>
      <c r="AV40" s="153">
        <f t="shared" si="24"/>
        <v>28505.834720471707</v>
      </c>
      <c r="AW40" s="273"/>
      <c r="AX40" s="155">
        <f t="shared" si="25"/>
        <v>41529.14873365841</v>
      </c>
      <c r="AZ40" s="146">
        <f>+IF(AZ39&gt;$G$13+$G$14,XX,AZ39+1)</f>
        <v>2032</v>
      </c>
      <c r="BA40" s="117"/>
      <c r="BB40" s="154">
        <f t="shared" si="17"/>
        <v>85.864001914611606</v>
      </c>
      <c r="BD40" s="154">
        <f t="shared" si="18"/>
        <v>5.6539129156681378</v>
      </c>
      <c r="BF40" s="153">
        <f t="shared" si="26"/>
        <v>8240.4395360009821</v>
      </c>
      <c r="BH40" s="157"/>
    </row>
    <row r="41" spans="2:60" ht="12">
      <c r="B41" s="2"/>
      <c r="C41">
        <f>+IF(C40&gt;$G$13+$G$14,XX,C40+1)</f>
        <v>2033</v>
      </c>
      <c r="E41" s="169">
        <f>'(2.2)_Forward_Price_Curve'!T48</f>
        <v>2.1000000000000001E-2</v>
      </c>
      <c r="G41" s="18">
        <v>748756.09440000006</v>
      </c>
      <c r="I41" s="28">
        <f t="shared" si="11"/>
        <v>72.065251978767947</v>
      </c>
      <c r="K41" s="28">
        <f t="shared" si="12"/>
        <v>1.3614728978531052</v>
      </c>
      <c r="M41" s="268">
        <f t="shared" si="5"/>
        <v>0</v>
      </c>
      <c r="O41" s="270">
        <f>'(2.2)_Forward_Price_Curve'!AC47</f>
        <v>1.5286401492284176</v>
      </c>
      <c r="Q41" s="28"/>
      <c r="S41" s="18">
        <f t="shared" si="29"/>
        <v>16562.627102865081</v>
      </c>
      <c r="U41" s="18">
        <f t="shared" si="27"/>
        <v>42756.21491391668</v>
      </c>
      <c r="W41" s="18">
        <f t="shared" si="28"/>
        <v>-26193.587811051599</v>
      </c>
      <c r="Y41" s="271">
        <f t="shared" si="30"/>
        <v>-34.982804156060034</v>
      </c>
      <c r="Z41" s="235"/>
      <c r="AB41" s="146">
        <f>+IF(AB40&gt;$G$13+$G$14,XX,AB40+1)</f>
        <v>2033</v>
      </c>
      <c r="AC41" s="117"/>
      <c r="AD41" s="151">
        <f t="shared" si="20"/>
        <v>748756.09440000006</v>
      </c>
      <c r="AF41" s="154">
        <f t="shared" si="13"/>
        <v>134.61664789885882</v>
      </c>
      <c r="AH41" s="154">
        <f t="shared" si="14"/>
        <v>26.964299429945516</v>
      </c>
      <c r="AJ41" s="154">
        <f t="shared" si="15"/>
        <v>2.7517611866445502</v>
      </c>
      <c r="AL41" s="153">
        <f t="shared" si="21"/>
        <v>21710.292373720629</v>
      </c>
      <c r="AN41" s="154">
        <f>INDEX('(2.2)_Forward_Price_Curve'!$K:$K,MATCH($AB41,'(2.2)_Forward_Price_Curve'!$C:$C,0),1)</f>
        <v>5.5168416666666671</v>
      </c>
      <c r="AP41" s="154">
        <f t="shared" si="22"/>
        <v>36.239254403562896</v>
      </c>
      <c r="AR41" s="154">
        <f t="shared" si="16"/>
        <v>3.1052150796000184</v>
      </c>
      <c r="AS41" s="154"/>
      <c r="AT41" s="153">
        <f t="shared" si="23"/>
        <v>13296.803607463627</v>
      </c>
      <c r="AV41" s="153">
        <f t="shared" si="24"/>
        <v>29459.41130645305</v>
      </c>
      <c r="AW41" s="273"/>
      <c r="AX41" s="155">
        <f t="shared" si="25"/>
        <v>42756.21491391668</v>
      </c>
      <c r="AZ41" s="146">
        <f>+IF(AZ40&gt;$G$13+$G$14,XX,AZ40+1)</f>
        <v>2033</v>
      </c>
      <c r="BA41" s="117"/>
      <c r="BB41" s="154">
        <f t="shared" si="17"/>
        <v>87.667145954818437</v>
      </c>
      <c r="BD41" s="154">
        <f t="shared" si="18"/>
        <v>5.7726450868971684</v>
      </c>
      <c r="BF41" s="153">
        <f t="shared" si="26"/>
        <v>8413.4887662570018</v>
      </c>
      <c r="BH41" s="157"/>
    </row>
    <row r="42" spans="2:60" ht="12">
      <c r="B42" s="2"/>
      <c r="C42">
        <f>+IF(C41&gt;$G$13+$G$14,XX,C41+1)</f>
        <v>2034</v>
      </c>
      <c r="E42" s="169">
        <f>'(2.2)_Forward_Price_Curve'!T49</f>
        <v>2.1000000000000001E-2</v>
      </c>
      <c r="G42" s="18">
        <v>748756.09440000006</v>
      </c>
      <c r="I42" s="28">
        <f t="shared" si="11"/>
        <v>73.578622270322072</v>
      </c>
      <c r="K42" s="28">
        <f t="shared" si="12"/>
        <v>1.3900638287080203</v>
      </c>
      <c r="M42" s="268">
        <f t="shared" si="5"/>
        <v>0</v>
      </c>
      <c r="O42" s="270">
        <f>'(2.2)_Forward_Price_Curve'!AC48</f>
        <v>1.5607569013547813</v>
      </c>
      <c r="Q42" s="28"/>
      <c r="S42" s="18">
        <f t="shared" si="29"/>
        <v>16910.453734726732</v>
      </c>
      <c r="U42" s="18">
        <f t="shared" si="27"/>
        <v>43927.564196431573</v>
      </c>
      <c r="W42" s="18">
        <f t="shared" si="28"/>
        <v>-27017.11046170484</v>
      </c>
      <c r="Y42" s="271">
        <f t="shared" si="30"/>
        <v>-36.082658510251498</v>
      </c>
      <c r="Z42" s="235"/>
      <c r="AB42" s="146">
        <f>+IF(AB41&gt;$G$13+$G$14,XX,AB41+1)</f>
        <v>2034</v>
      </c>
      <c r="AC42" s="117"/>
      <c r="AD42" s="151">
        <f t="shared" si="20"/>
        <v>748756.09440000006</v>
      </c>
      <c r="AF42" s="154">
        <f t="shared" si="13"/>
        <v>137.44359750473484</v>
      </c>
      <c r="AH42" s="154">
        <f t="shared" si="14"/>
        <v>27.53054971797437</v>
      </c>
      <c r="AJ42" s="154">
        <f t="shared" si="15"/>
        <v>2.8095481715640855</v>
      </c>
      <c r="AL42" s="153">
        <f t="shared" si="21"/>
        <v>22166.208513568763</v>
      </c>
      <c r="AN42" s="154">
        <f>INDEX('(2.2)_Forward_Price_Curve'!$K:$K,MATCH($AB42,'(2.2)_Forward_Price_Curve'!$C:$C,0),1)</f>
        <v>5.688295833333334</v>
      </c>
      <c r="AP42" s="154">
        <f t="shared" si="22"/>
        <v>37.365509521944496</v>
      </c>
      <c r="AR42" s="154">
        <f t="shared" si="16"/>
        <v>3.1704245962716184</v>
      </c>
      <c r="AS42" s="154"/>
      <c r="AT42" s="153">
        <f t="shared" si="23"/>
        <v>13576.036483220367</v>
      </c>
      <c r="AV42" s="153">
        <f t="shared" si="24"/>
        <v>30351.527713211206</v>
      </c>
      <c r="AW42" s="273"/>
      <c r="AX42" s="155">
        <f t="shared" si="25"/>
        <v>43927.564196431573</v>
      </c>
      <c r="AZ42" s="146">
        <f>+IF(AZ41&gt;$G$13+$G$14,XX,AZ41+1)</f>
        <v>2034</v>
      </c>
      <c r="BA42" s="117"/>
      <c r="BB42" s="154">
        <f t="shared" si="17"/>
        <v>89.508156019869617</v>
      </c>
      <c r="BD42" s="154">
        <f t="shared" si="18"/>
        <v>5.8938706337220088</v>
      </c>
      <c r="BF42" s="153">
        <f t="shared" si="26"/>
        <v>8590.1720303483962</v>
      </c>
      <c r="BH42" s="157"/>
    </row>
    <row r="43" spans="2:60" ht="12">
      <c r="B43" s="2"/>
      <c r="C43">
        <f>+IF(C42&gt;$G$13+$G$14,XX,C42+1)</f>
        <v>2035</v>
      </c>
      <c r="E43" s="169">
        <f>'(2.2)_Forward_Price_Curve'!T50</f>
        <v>2.1000000000000001E-2</v>
      </c>
      <c r="G43" s="18">
        <v>748756.09440000006</v>
      </c>
      <c r="I43" s="28">
        <f t="shared" si="11"/>
        <v>75.123773337998827</v>
      </c>
      <c r="K43" s="28">
        <f t="shared" si="12"/>
        <v>1.4192551691108886</v>
      </c>
      <c r="M43" s="268">
        <f t="shared" si="5"/>
        <v>0</v>
      </c>
      <c r="O43" s="270">
        <f>'(2.2)_Forward_Price_Curve'!AC49</f>
        <v>1.5935251628391218</v>
      </c>
      <c r="Q43" s="28"/>
      <c r="S43" s="18">
        <f t="shared" si="29"/>
        <v>17265.567547568189</v>
      </c>
      <c r="U43" s="18">
        <f t="shared" si="27"/>
        <v>45038.17389698355</v>
      </c>
      <c r="W43" s="18">
        <f t="shared" si="28"/>
        <v>-27772.60634941536</v>
      </c>
      <c r="Y43" s="271">
        <f t="shared" si="30"/>
        <v>-37.091659830388899</v>
      </c>
      <c r="Z43" s="235"/>
      <c r="AB43" s="146">
        <f>+IF(AB42&gt;$G$13+$G$14,XX,AB42+1)</f>
        <v>2035</v>
      </c>
      <c r="AC43" s="117"/>
      <c r="AD43" s="151">
        <f t="shared" si="20"/>
        <v>748756.09440000006</v>
      </c>
      <c r="AF43" s="154">
        <f t="shared" si="13"/>
        <v>140.32991305233426</v>
      </c>
      <c r="AH43" s="154">
        <f t="shared" si="14"/>
        <v>28.108691262051831</v>
      </c>
      <c r="AJ43" s="154">
        <f t="shared" si="15"/>
        <v>2.8685486831669311</v>
      </c>
      <c r="AL43" s="153">
        <f t="shared" si="21"/>
        <v>22631.698892353703</v>
      </c>
      <c r="AN43" s="154">
        <f>INDEX('(2.2)_Forward_Price_Curve'!$K:$K,MATCH($AB43,'(2.2)_Forward_Price_Curve'!$C:$C,0),1)</f>
        <v>5.846000000000001</v>
      </c>
      <c r="AP43" s="154">
        <f t="shared" si="22"/>
        <v>38.401443079883336</v>
      </c>
      <c r="AR43" s="154">
        <f t="shared" si="16"/>
        <v>3.2370035127933221</v>
      </c>
      <c r="AS43" s="154"/>
      <c r="AT43" s="153">
        <f t="shared" si="23"/>
        <v>13861.133249367989</v>
      </c>
      <c r="AV43" s="153">
        <f t="shared" si="24"/>
        <v>31177.040647615562</v>
      </c>
      <c r="AW43" s="273"/>
      <c r="AX43" s="155">
        <f t="shared" si="25"/>
        <v>45038.17389698355</v>
      </c>
      <c r="AZ43" s="146">
        <f>+IF(AZ42&gt;$G$13+$G$14,XX,AZ42+1)</f>
        <v>2035</v>
      </c>
      <c r="BA43" s="117"/>
      <c r="BB43" s="154">
        <f t="shared" si="17"/>
        <v>91.387827296286872</v>
      </c>
      <c r="BD43" s="154">
        <f t="shared" si="18"/>
        <v>6.0176419170301703</v>
      </c>
      <c r="BF43" s="153">
        <f t="shared" si="26"/>
        <v>8770.5656429857136</v>
      </c>
      <c r="BH43" s="157"/>
    </row>
    <row r="44" spans="2:60" ht="12">
      <c r="B44" s="2"/>
      <c r="C44">
        <f>+IF(C43&gt;$G$13+$G$14,XX,C43+1)</f>
        <v>2036</v>
      </c>
      <c r="E44" s="169">
        <f>'(2.2)_Forward_Price_Curve'!T51</f>
        <v>2.1000000000000001E-2</v>
      </c>
      <c r="G44" s="18">
        <v>748756.09440000006</v>
      </c>
      <c r="I44" s="28">
        <f t="shared" si="11"/>
        <v>76.701372578096795</v>
      </c>
      <c r="K44" s="28">
        <f t="shared" si="12"/>
        <v>1.4490595276622171</v>
      </c>
      <c r="M44" s="268">
        <f t="shared" si="5"/>
        <v>0</v>
      </c>
      <c r="O44" s="270">
        <f>'(2.2)_Forward_Price_Curve'!AC50</f>
        <v>1.6267336732773778</v>
      </c>
      <c r="Q44" s="28"/>
      <c r="S44" s="18">
        <f t="shared" si="29"/>
        <v>17627.953145421347</v>
      </c>
      <c r="U44" s="18">
        <f t="shared" si="27"/>
        <v>46490.518680884154</v>
      </c>
      <c r="W44" s="18">
        <f t="shared" si="28"/>
        <v>-28862.565535462807</v>
      </c>
      <c r="Y44" s="271">
        <f t="shared" si="30"/>
        <v>-38.547353071751914</v>
      </c>
      <c r="Z44" s="235"/>
      <c r="AB44" s="146">
        <f>+IF(AB43&gt;$G$13+$G$14,XX,AB43+1)</f>
        <v>2036</v>
      </c>
      <c r="AC44" s="117"/>
      <c r="AD44" s="151">
        <f t="shared" si="20"/>
        <v>748756.09440000006</v>
      </c>
      <c r="AF44" s="154">
        <f t="shared" si="13"/>
        <v>143.27684122643328</v>
      </c>
      <c r="AH44" s="154">
        <f t="shared" si="14"/>
        <v>28.698973778554919</v>
      </c>
      <c r="AJ44" s="154">
        <f t="shared" si="15"/>
        <v>2.9287882055134364</v>
      </c>
      <c r="AL44" s="153">
        <f t="shared" si="21"/>
        <v>23106.964569093132</v>
      </c>
      <c r="AN44" s="154">
        <f>INDEX('(2.2)_Forward_Price_Curve'!$K:$K,MATCH($AB44,'(2.2)_Forward_Price_Curve'!$C:$C,0),1)</f>
        <v>6.0717541666666675</v>
      </c>
      <c r="AP44" s="154">
        <f t="shared" si="22"/>
        <v>39.88438625150436</v>
      </c>
      <c r="AR44" s="154">
        <f t="shared" si="16"/>
        <v>3.3049805865619817</v>
      </c>
      <c r="AS44" s="154"/>
      <c r="AT44" s="153">
        <f t="shared" si="23"/>
        <v>14152.217047604719</v>
      </c>
      <c r="AV44" s="153">
        <f t="shared" si="24"/>
        <v>32338.301633279436</v>
      </c>
      <c r="AW44" s="273"/>
      <c r="AX44" s="155">
        <f t="shared" si="25"/>
        <v>46490.518680884154</v>
      </c>
      <c r="AZ44" s="146">
        <f>+IF(AZ43&gt;$G$13+$G$14,XX,AZ43+1)</f>
        <v>2036</v>
      </c>
      <c r="BA44" s="117"/>
      <c r="BB44" s="154">
        <f t="shared" si="17"/>
        <v>93.306971669508883</v>
      </c>
      <c r="BD44" s="154">
        <f t="shared" si="18"/>
        <v>6.1440123972878036</v>
      </c>
      <c r="BF44" s="153">
        <f t="shared" si="26"/>
        <v>8954.7475214884125</v>
      </c>
      <c r="BH44" s="157"/>
    </row>
    <row r="45" spans="2:60" ht="12">
      <c r="B45" s="2"/>
      <c r="C45">
        <f>+IF(C44&gt;$G$13+$G$14,XX,C44+1)</f>
        <v>2037</v>
      </c>
      <c r="E45" s="169">
        <f>'(2.2)_Forward_Price_Curve'!T52</f>
        <v>2.1000000000000001E-2</v>
      </c>
      <c r="G45" s="18">
        <v>748756.09440000006</v>
      </c>
      <c r="I45" s="28">
        <f t="shared" si="11"/>
        <v>78.31210140223682</v>
      </c>
      <c r="K45" s="28">
        <f t="shared" si="12"/>
        <v>1.4794897777431235</v>
      </c>
      <c r="M45" s="268">
        <f t="shared" si="5"/>
        <v>0</v>
      </c>
      <c r="O45" s="270">
        <f>'(2.2)_Forward_Price_Curve'!AC51</f>
        <v>1.6606577113778709</v>
      </c>
      <c r="Q45" s="28"/>
      <c r="S45" s="18">
        <f t="shared" si="29"/>
        <v>17997.962429961121</v>
      </c>
      <c r="U45" s="18">
        <f t="shared" si="27"/>
        <v>47667.459092928926</v>
      </c>
      <c r="W45" s="18">
        <f t="shared" si="28"/>
        <v>-29669.496662967806</v>
      </c>
      <c r="Y45" s="271">
        <f t="shared" si="30"/>
        <v>-39.625048643834852</v>
      </c>
      <c r="Z45" s="235"/>
      <c r="AB45" s="146">
        <f>+IF(AB44&gt;$G$13+$G$14,XX,AB44+1)</f>
        <v>2037</v>
      </c>
      <c r="AC45" s="117"/>
      <c r="AD45" s="151">
        <f t="shared" si="20"/>
        <v>748756.09440000006</v>
      </c>
      <c r="AF45" s="154">
        <f t="shared" si="13"/>
        <v>146.28565489218838</v>
      </c>
      <c r="AH45" s="154">
        <f t="shared" si="14"/>
        <v>29.301652227904569</v>
      </c>
      <c r="AJ45" s="154">
        <f t="shared" si="15"/>
        <v>2.9902927578292182</v>
      </c>
      <c r="AL45" s="153">
        <f t="shared" si="21"/>
        <v>23592.210825044083</v>
      </c>
      <c r="AN45" s="154">
        <f>INDEX('(2.2)_Forward_Price_Curve'!$K:$K,MATCH($AB45,'(2.2)_Forward_Price_Curve'!$C:$C,0),1)</f>
        <v>6.240054166666666</v>
      </c>
      <c r="AP45" s="154">
        <f t="shared" si="22"/>
        <v>40.989922151323775</v>
      </c>
      <c r="AR45" s="154">
        <f t="shared" si="16"/>
        <v>3.3743851788797832</v>
      </c>
      <c r="AS45" s="154"/>
      <c r="AT45" s="153">
        <f t="shared" si="23"/>
        <v>14449.413605604415</v>
      </c>
      <c r="AV45" s="153">
        <f t="shared" si="24"/>
        <v>33218.045487324511</v>
      </c>
      <c r="AW45" s="273"/>
      <c r="AX45" s="155">
        <f t="shared" si="25"/>
        <v>47667.459092928926</v>
      </c>
      <c r="AZ45" s="146">
        <f>+IF(AZ44&gt;$G$13+$G$14,XX,AZ44+1)</f>
        <v>2037</v>
      </c>
      <c r="BA45" s="117"/>
      <c r="BB45" s="154">
        <f t="shared" si="17"/>
        <v>95.266418074568563</v>
      </c>
      <c r="BD45" s="154">
        <f t="shared" si="18"/>
        <v>6.2730366576308469</v>
      </c>
      <c r="BF45" s="153">
        <f t="shared" si="26"/>
        <v>9142.797219439668</v>
      </c>
      <c r="BH45" s="157"/>
    </row>
    <row r="46" spans="2:60" ht="12">
      <c r="B46" s="2"/>
      <c r="C46">
        <f>+IF(C45&gt;$G$13+$G$14,XX,C45+1)</f>
        <v>2038</v>
      </c>
      <c r="E46" s="169">
        <f>'(2.2)_Forward_Price_Curve'!T53</f>
        <v>2.1000000000000001E-2</v>
      </c>
      <c r="G46" s="18">
        <v>748756.09440000006</v>
      </c>
      <c r="I46" s="28">
        <f t="shared" si="11"/>
        <v>79.956655531683779</v>
      </c>
      <c r="K46" s="28">
        <f t="shared" si="12"/>
        <v>1.5105590630757291</v>
      </c>
      <c r="M46" s="268">
        <f t="shared" si="5"/>
        <v>0</v>
      </c>
      <c r="O46" s="270">
        <f>'(2.2)_Forward_Price_Curve'!AC52</f>
        <v>1.6953423361778306</v>
      </c>
      <c r="Q46" s="28"/>
      <c r="S46" s="18">
        <f t="shared" si="29"/>
        <v>18375.777985967012</v>
      </c>
      <c r="U46" s="18">
        <f t="shared" si="27"/>
        <v>49599.583716883782</v>
      </c>
      <c r="W46" s="18">
        <f t="shared" si="28"/>
        <v>-31223.805730916771</v>
      </c>
      <c r="Y46" s="271">
        <f t="shared" si="30"/>
        <v>-41.700903624613986</v>
      </c>
      <c r="Z46" s="235"/>
      <c r="AB46" s="146">
        <f>+IF(AB45&gt;$G$13+$G$14,XX,AB45+1)</f>
        <v>2038</v>
      </c>
      <c r="AC46" s="117"/>
      <c r="AD46" s="151">
        <f t="shared" si="20"/>
        <v>748756.09440000006</v>
      </c>
      <c r="AF46" s="154">
        <f t="shared" si="13"/>
        <v>149.35765364492431</v>
      </c>
      <c r="AH46" s="154">
        <f t="shared" si="14"/>
        <v>29.916986924690562</v>
      </c>
      <c r="AJ46" s="154">
        <f t="shared" si="15"/>
        <v>3.0530889057436315</v>
      </c>
      <c r="AL46" s="153">
        <f t="shared" si="21"/>
        <v>24087.647252370003</v>
      </c>
      <c r="AN46" s="154">
        <f>INDEX('(2.2)_Forward_Price_Curve'!$K:$K,MATCH($AB46,'(2.2)_Forward_Price_Curve'!$C:$C,0),1)</f>
        <v>6.5604041666666673</v>
      </c>
      <c r="AP46" s="154">
        <f t="shared" si="22"/>
        <v>43.09425028862119</v>
      </c>
      <c r="AR46" s="154">
        <f t="shared" si="16"/>
        <v>3.4452472676362582</v>
      </c>
      <c r="AS46" s="154"/>
      <c r="AT46" s="153">
        <f t="shared" si="23"/>
        <v>14752.851291322104</v>
      </c>
      <c r="AV46" s="153">
        <f t="shared" si="24"/>
        <v>34846.732425561677</v>
      </c>
      <c r="AW46" s="273"/>
      <c r="AX46" s="155">
        <f t="shared" si="25"/>
        <v>49599.583716883782</v>
      </c>
      <c r="AZ46" s="146">
        <f>+IF(AZ45&gt;$G$13+$G$14,XX,AZ45+1)</f>
        <v>2038</v>
      </c>
      <c r="BA46" s="117"/>
      <c r="BB46" s="154">
        <f t="shared" si="17"/>
        <v>97.267012854134492</v>
      </c>
      <c r="BD46" s="154">
        <f t="shared" si="18"/>
        <v>6.4047704274410941</v>
      </c>
      <c r="BF46" s="153">
        <f t="shared" si="26"/>
        <v>9334.7959610478993</v>
      </c>
      <c r="BH46" s="157"/>
    </row>
    <row r="47" spans="2:60" ht="12">
      <c r="B47" s="2"/>
      <c r="C47">
        <f>+IF(C46&gt;$G$13+$G$14,XX,C46+1)</f>
        <v>2039</v>
      </c>
      <c r="E47" s="169">
        <f>'(2.2)_Forward_Price_Curve'!T54</f>
        <v>2.1000000000000001E-2</v>
      </c>
      <c r="G47" s="18">
        <v>748756.09440000006</v>
      </c>
      <c r="I47" s="28">
        <f t="shared" si="11"/>
        <v>81.635745297849127</v>
      </c>
      <c r="K47" s="28">
        <f t="shared" si="12"/>
        <v>1.5422808034003193</v>
      </c>
      <c r="M47" s="268">
        <f t="shared" si="5"/>
        <v>0</v>
      </c>
      <c r="O47" s="270">
        <f>'(2.2)_Forward_Price_Curve'!AC53</f>
        <v>1.730529504666237</v>
      </c>
      <c r="Q47" s="28"/>
      <c r="S47" s="18">
        <f t="shared" si="29"/>
        <v>18761.358574490234</v>
      </c>
      <c r="U47" s="18">
        <f t="shared" si="27"/>
        <v>51005.521404124207</v>
      </c>
      <c r="W47" s="18">
        <f t="shared" si="28"/>
        <v>-32244.162829633973</v>
      </c>
      <c r="Y47" s="271">
        <f t="shared" si="30"/>
        <v>-43.063639909965815</v>
      </c>
      <c r="Z47" s="235"/>
      <c r="AB47" s="146">
        <f>+IF(AB46&gt;$G$13+$G$14,XX,AB46+1)</f>
        <v>2039</v>
      </c>
      <c r="AC47" s="117"/>
      <c r="AD47" s="151">
        <f t="shared" si="20"/>
        <v>748756.09440000006</v>
      </c>
      <c r="AF47" s="154">
        <f t="shared" si="13"/>
        <v>152.49416437146772</v>
      </c>
      <c r="AH47" s="154">
        <f t="shared" si="14"/>
        <v>30.545243650109061</v>
      </c>
      <c r="AJ47" s="154">
        <f t="shared" si="15"/>
        <v>3.1172037727642476</v>
      </c>
      <c r="AL47" s="153">
        <f t="shared" si="21"/>
        <v>24593.487844669777</v>
      </c>
      <c r="AN47" s="154">
        <f>INDEX('(2.2)_Forward_Price_Curve'!$K:$K,MATCH($AB47,'(2.2)_Forward_Price_Curve'!$C:$C,0),1)</f>
        <v>6.7722499999999988</v>
      </c>
      <c r="AP47" s="154">
        <f t="shared" si="22"/>
        <v>44.485831833345848</v>
      </c>
      <c r="AR47" s="154">
        <f t="shared" si="16"/>
        <v>3.5175974602566193</v>
      </c>
      <c r="AS47" s="154"/>
      <c r="AT47" s="153">
        <f t="shared" si="23"/>
        <v>15062.661168439872</v>
      </c>
      <c r="AV47" s="153">
        <f t="shared" si="24"/>
        <v>35942.860235684333</v>
      </c>
      <c r="AW47" s="273"/>
      <c r="AX47" s="155">
        <f t="shared" si="25"/>
        <v>51005.521404124207</v>
      </c>
      <c r="AZ47" s="146">
        <f>+IF(AZ46&gt;$G$13+$G$14,XX,AZ46+1)</f>
        <v>2039</v>
      </c>
      <c r="BA47" s="117"/>
      <c r="BB47" s="154">
        <f t="shared" si="17"/>
        <v>99.309620124071301</v>
      </c>
      <c r="BD47" s="154">
        <f t="shared" si="18"/>
        <v>6.5392706064173565</v>
      </c>
      <c r="BF47" s="153">
        <f t="shared" si="26"/>
        <v>9530.8266762299045</v>
      </c>
      <c r="BH47" s="157"/>
    </row>
    <row r="48" spans="2:60" ht="12">
      <c r="B48" s="2"/>
      <c r="C48">
        <f>+IF(C47&gt;$G$13+$G$14,XX,C47+1)</f>
        <v>2040</v>
      </c>
      <c r="E48" s="169">
        <f>'(2.2)_Forward_Price_Curve'!T45</f>
        <v>2.1999999999999999E-2</v>
      </c>
      <c r="G48" s="18">
        <v>748756.09440000006</v>
      </c>
      <c r="I48" s="28">
        <f t="shared" si="11"/>
        <v>83.431731694401805</v>
      </c>
      <c r="K48" s="28">
        <f t="shared" si="12"/>
        <v>1.5762109810751264</v>
      </c>
      <c r="M48" s="268">
        <f t="shared" si="5"/>
        <v>0</v>
      </c>
      <c r="O48" s="270">
        <f>'(2.2)_Forward_Price_Curve'!AC54</f>
        <v>1.7664344168351047</v>
      </c>
      <c r="Q48" s="28"/>
      <c r="S48" s="18">
        <f t="shared" si="6"/>
        <v>19172.486105644879</v>
      </c>
      <c r="U48" s="18">
        <f t="shared" si="0"/>
        <v>52887.739974663462</v>
      </c>
      <c r="W48" s="18">
        <f t="shared" si="1"/>
        <v>-33715.253869018583</v>
      </c>
      <c r="Y48" s="271">
        <f t="shared" si="7"/>
        <v>-45.028353186274352</v>
      </c>
      <c r="Z48" s="235"/>
      <c r="AB48" s="146">
        <f>+IF(AB47&gt;$G$13+$G$14,XX,AB47+1)</f>
        <v>2040</v>
      </c>
      <c r="AC48" s="117"/>
      <c r="AD48" s="151">
        <f t="shared" si="20"/>
        <v>748756.09440000006</v>
      </c>
      <c r="AF48" s="154">
        <f t="shared" si="13"/>
        <v>155.84903598764001</v>
      </c>
      <c r="AH48" s="154">
        <f t="shared" si="14"/>
        <v>31.217239010411461</v>
      </c>
      <c r="AJ48" s="154">
        <f t="shared" si="15"/>
        <v>3.1857822557650612</v>
      </c>
      <c r="AL48" s="153">
        <f t="shared" si="21"/>
        <v>25134.544577252513</v>
      </c>
      <c r="AN48" s="154">
        <f>INDEX('(2.2)_Forward_Price_Curve'!$K:$K,MATCH($AB48,'(2.2)_Forward_Price_Curve'!$C:$C,0),1)</f>
        <v>7.075779166666667</v>
      </c>
      <c r="AP48" s="154">
        <f t="shared" si="22"/>
        <v>46.479666595034949</v>
      </c>
      <c r="AR48" s="154">
        <f t="shared" si="16"/>
        <v>3.5949846043822649</v>
      </c>
      <c r="AS48" s="154"/>
      <c r="AT48" s="153">
        <f t="shared" si="23"/>
        <v>15394.039714145551</v>
      </c>
      <c r="AV48" s="153">
        <f t="shared" si="24"/>
        <v>37493.700260517908</v>
      </c>
      <c r="AW48" s="273"/>
      <c r="AX48" s="155">
        <f t="shared" si="25"/>
        <v>52887.739974663462</v>
      </c>
      <c r="AZ48" s="146">
        <f>+IF(AZ47&gt;$G$13+$G$14,XX,AZ47+1)</f>
        <v>2040</v>
      </c>
      <c r="BA48" s="117"/>
      <c r="BB48" s="154">
        <f t="shared" si="17"/>
        <v>101.49443176680087</v>
      </c>
      <c r="BD48" s="154">
        <f t="shared" si="18"/>
        <v>6.6831345597585381</v>
      </c>
      <c r="BF48" s="153">
        <f t="shared" si="26"/>
        <v>9740.5048631069621</v>
      </c>
      <c r="BH48" s="157"/>
    </row>
    <row r="49" spans="2:60" ht="12">
      <c r="B49" s="2"/>
      <c r="C49">
        <f>+IF(C48&gt;$G$13+$G$14,XX,C48+1)</f>
        <v>2041</v>
      </c>
      <c r="E49" s="169">
        <f>'(2.2)_Forward_Price_Curve'!T46</f>
        <v>2.1000000000000001E-2</v>
      </c>
      <c r="G49" s="18">
        <v>748756.09440000006</v>
      </c>
      <c r="I49" s="28">
        <f t="shared" si="11"/>
        <v>85.183798059984241</v>
      </c>
      <c r="K49" s="28">
        <f t="shared" si="12"/>
        <v>1.6093114116777039</v>
      </c>
      <c r="M49" s="268">
        <f t="shared" si="5"/>
        <v>0</v>
      </c>
      <c r="O49" s="270">
        <f>'(2.2)_Forward_Price_Curve'!AC55</f>
        <v>1.8033030507073435</v>
      </c>
      <c r="Q49" s="28"/>
      <c r="S49" s="18">
        <f t="shared" si="6"/>
        <v>19574.938728933237</v>
      </c>
      <c r="U49" s="18">
        <f t="shared" si="0"/>
        <v>54068.021199983734</v>
      </c>
      <c r="W49" s="18">
        <f t="shared" si="1"/>
        <v>-34493.082471050497</v>
      </c>
      <c r="Y49" s="271">
        <f t="shared" si="7"/>
        <v>-46.067180927176025</v>
      </c>
      <c r="Z49" s="235"/>
      <c r="AB49" s="146">
        <f>+IF(AB48&gt;$G$13+$G$14,XX,AB48+1)</f>
        <v>2041</v>
      </c>
      <c r="AC49" s="117"/>
      <c r="AD49" s="151">
        <f t="shared" si="20"/>
        <v>748756.09440000006</v>
      </c>
      <c r="AF49" s="154">
        <f t="shared" si="13"/>
        <v>159.12186574338043</v>
      </c>
      <c r="AH49" s="154">
        <f t="shared" si="14"/>
        <v>31.8728010296301</v>
      </c>
      <c r="AJ49" s="154">
        <f t="shared" si="15"/>
        <v>3.2526836831361274</v>
      </c>
      <c r="AL49" s="153">
        <f t="shared" si="21"/>
        <v>25662.370013374813</v>
      </c>
      <c r="AN49" s="154">
        <f>INDEX('(2.2)_Forward_Price_Curve'!$K:$K,MATCH($AB49,'(2.2)_Forward_Price_Curve'!$C:$C,0),1)</f>
        <v>7.2385291666666687</v>
      </c>
      <c r="AP49" s="154">
        <f t="shared" si="22"/>
        <v>47.548745428639307</v>
      </c>
      <c r="AR49" s="154">
        <f t="shared" si="16"/>
        <v>3.6704792810742921</v>
      </c>
      <c r="AS49" s="154"/>
      <c r="AT49" s="153">
        <f t="shared" si="23"/>
        <v>15717.314548142607</v>
      </c>
      <c r="AV49" s="153">
        <f t="shared" si="24"/>
        <v>38350.70665184113</v>
      </c>
      <c r="AW49" s="273"/>
      <c r="AX49" s="155">
        <f t="shared" si="25"/>
        <v>54068.021199983734</v>
      </c>
      <c r="AZ49" s="146">
        <f>+IF(AZ48&gt;$G$13+$G$14,XX,AZ48+1)</f>
        <v>2041</v>
      </c>
      <c r="BA49" s="117"/>
      <c r="BB49" s="154">
        <f t="shared" si="17"/>
        <v>103.62581483390368</v>
      </c>
      <c r="BD49" s="154">
        <f t="shared" si="18"/>
        <v>6.8234803855134665</v>
      </c>
      <c r="BF49" s="153">
        <f t="shared" si="26"/>
        <v>9945.0554652322062</v>
      </c>
      <c r="BH49" s="157"/>
    </row>
    <row r="50" spans="2:60" ht="12">
      <c r="B50" s="2"/>
      <c r="C50">
        <f>+IF(C49&gt;$G$13+$G$14,XX,C49+1)</f>
        <v>2042</v>
      </c>
      <c r="E50" s="169">
        <f>'(2.2)_Forward_Price_Curve'!T47</f>
        <v>2.1000000000000001E-2</v>
      </c>
      <c r="G50" s="18">
        <v>748756.09440000006</v>
      </c>
      <c r="I50" s="28">
        <f t="shared" si="11"/>
        <v>86.972657819243906</v>
      </c>
      <c r="K50" s="28">
        <f t="shared" si="12"/>
        <v>1.6431069513229355</v>
      </c>
      <c r="M50" s="268">
        <f t="shared" si="5"/>
        <v>0</v>
      </c>
      <c r="O50" s="270">
        <f>'(2.2)_Forward_Price_Curve'!AC56</f>
        <v>1.8413139188621417</v>
      </c>
      <c r="Q50" s="28"/>
      <c r="S50" s="18">
        <f t="shared" si="6"/>
        <v>19986.118394290563</v>
      </c>
      <c r="U50" s="18">
        <f t="shared" si="0"/>
        <v>55274.579034151546</v>
      </c>
      <c r="W50" s="18">
        <f t="shared" si="1"/>
        <v>-35288.460639860983</v>
      </c>
      <c r="Y50" s="271">
        <f t="shared" si="7"/>
        <v>-47.1294469638189</v>
      </c>
      <c r="Z50" s="235"/>
      <c r="AB50" s="146">
        <f>+IF(AB49&gt;$G$13+$G$14,XX,AB49+1)</f>
        <v>2042</v>
      </c>
      <c r="AC50" s="117"/>
      <c r="AD50" s="151">
        <f t="shared" si="20"/>
        <v>748756.09440000006</v>
      </c>
      <c r="AF50" s="154">
        <f t="shared" si="13"/>
        <v>162.4634249239914</v>
      </c>
      <c r="AH50" s="154">
        <f t="shared" si="14"/>
        <v>32.542129851252326</v>
      </c>
      <c r="AJ50" s="154">
        <f t="shared" si="15"/>
        <v>3.3209900404819859</v>
      </c>
      <c r="AL50" s="153">
        <f t="shared" si="21"/>
        <v>26201.279783655682</v>
      </c>
      <c r="AN50" s="154">
        <f>INDEX('(2.2)_Forward_Price_Curve'!$K:$K,MATCH($AB50,'(2.2)_Forward_Price_Curve'!$C:$C,0),1)</f>
        <v>7.4050000000000002</v>
      </c>
      <c r="AP50" s="154">
        <f t="shared" si="22"/>
        <v>48.642265823902854</v>
      </c>
      <c r="AR50" s="154">
        <f t="shared" si="16"/>
        <v>3.7475593459768519</v>
      </c>
      <c r="AS50" s="154"/>
      <c r="AT50" s="153">
        <f t="shared" si="23"/>
        <v>16047.378153653599</v>
      </c>
      <c r="AV50" s="153">
        <f t="shared" si="24"/>
        <v>39227.200880497949</v>
      </c>
      <c r="AW50" s="273"/>
      <c r="AX50" s="155">
        <f t="shared" si="25"/>
        <v>55274.579034151546</v>
      </c>
      <c r="AZ50" s="146">
        <f>+IF(AZ49&gt;$G$13+$G$14,XX,AZ49+1)</f>
        <v>2042</v>
      </c>
      <c r="BA50" s="117"/>
      <c r="BB50" s="154">
        <f t="shared" si="17"/>
        <v>105.80195694541564</v>
      </c>
      <c r="BD50" s="154">
        <f t="shared" si="18"/>
        <v>6.9667734736092486</v>
      </c>
      <c r="BF50" s="153">
        <f t="shared" si="26"/>
        <v>10153.901630002083</v>
      </c>
      <c r="BH50" s="157"/>
    </row>
    <row r="51" spans="2:60" ht="12">
      <c r="B51" s="2"/>
      <c r="C51">
        <f>+IF(C50&gt;$G$13+$G$14,XX,C50+1)</f>
        <v>2043</v>
      </c>
      <c r="E51" s="169">
        <f>'(2.2)_Forward_Price_Curve'!T48</f>
        <v>2.1000000000000001E-2</v>
      </c>
      <c r="G51" s="18">
        <v>748756.09440000006</v>
      </c>
      <c r="I51" s="28">
        <f t="shared" si="11"/>
        <v>88.799083633448021</v>
      </c>
      <c r="K51" s="28">
        <f t="shared" si="12"/>
        <v>1.677612197300717</v>
      </c>
      <c r="M51" s="268">
        <f t="shared" si="5"/>
        <v>0</v>
      </c>
      <c r="O51" s="270">
        <f>'(2.2)_Forward_Price_Curve'!AC57</f>
        <v>1.8803404620364608</v>
      </c>
      <c r="Q51" s="28"/>
      <c r="S51" s="18">
        <f t="shared" si="6"/>
        <v>20406.095647228314</v>
      </c>
      <c r="U51" s="18">
        <f t="shared" si="0"/>
        <v>56471.766386849798</v>
      </c>
      <c r="W51" s="18">
        <f t="shared" si="1"/>
        <v>-36065.670739621484</v>
      </c>
      <c r="Y51" s="271">
        <f t="shared" si="7"/>
        <v>-48.167448665004791</v>
      </c>
      <c r="Z51" s="235"/>
      <c r="AB51" s="146">
        <f>+IF(AB50&gt;$G$13+$G$14,XX,AB50+1)</f>
        <v>2043</v>
      </c>
      <c r="AC51" s="117"/>
      <c r="AD51" s="151">
        <f t="shared" si="20"/>
        <v>748756.09440000006</v>
      </c>
      <c r="AF51" s="154">
        <f t="shared" si="13"/>
        <v>165.8751568473952</v>
      </c>
      <c r="AH51" s="154">
        <f t="shared" si="14"/>
        <v>33.225514578128625</v>
      </c>
      <c r="AJ51" s="154">
        <f t="shared" si="15"/>
        <v>3.3907308313321072</v>
      </c>
      <c r="AL51" s="153">
        <f t="shared" si="21"/>
        <v>26751.506659112445</v>
      </c>
      <c r="AN51" s="154">
        <f>INDEX('(2.2)_Forward_Price_Curve'!$K:$K,MATCH($AB51,'(2.2)_Forward_Price_Curve'!$C:$C,0),1)</f>
        <v>7.5679100000000004</v>
      </c>
      <c r="AP51" s="154">
        <f t="shared" si="22"/>
        <v>49.71239567202872</v>
      </c>
      <c r="AR51" s="154">
        <f t="shared" si="16"/>
        <v>3.8262580922423655</v>
      </c>
      <c r="AS51" s="154"/>
      <c r="AT51" s="153">
        <f t="shared" si="23"/>
        <v>16384.37309488032</v>
      </c>
      <c r="AV51" s="153">
        <f t="shared" si="24"/>
        <v>40087.393291969478</v>
      </c>
      <c r="AW51" s="273"/>
      <c r="AX51" s="155">
        <f t="shared" si="25"/>
        <v>56471.766386849798</v>
      </c>
      <c r="AZ51" s="146">
        <f>+IF(AZ50&gt;$G$13+$G$14,XX,AZ50+1)</f>
        <v>2043</v>
      </c>
      <c r="BA51" s="117"/>
      <c r="BB51" s="154">
        <f t="shared" si="17"/>
        <v>108.02379804126936</v>
      </c>
      <c r="BD51" s="154">
        <f t="shared" si="18"/>
        <v>7.1130757165550422</v>
      </c>
      <c r="BF51" s="153">
        <f t="shared" si="26"/>
        <v>10367.133564232125</v>
      </c>
      <c r="BH51" s="157"/>
    </row>
    <row r="52" spans="2:60" ht="12">
      <c r="B52" s="2"/>
      <c r="C52">
        <f>+IF(C51&gt;$G$13+$G$14,XX,C51+1)</f>
        <v>2044</v>
      </c>
      <c r="E52" s="169">
        <f>'(2.2)_Forward_Price_Curve'!T49</f>
        <v>2.1000000000000001E-2</v>
      </c>
      <c r="G52" s="18">
        <v>748756.09440000006</v>
      </c>
      <c r="I52" s="28">
        <f t="shared" si="11"/>
        <v>90.663864389750415</v>
      </c>
      <c r="K52" s="28">
        <f t="shared" si="12"/>
        <v>1.7128420534440318</v>
      </c>
      <c r="M52" s="268">
        <f t="shared" si="5"/>
        <v>0</v>
      </c>
      <c r="O52" s="270">
        <f>'(2.2)_Forward_Price_Curve'!AC58</f>
        <v>1.9203752935028859</v>
      </c>
      <c r="Q52" s="28"/>
      <c r="S52" s="18">
        <f t="shared" si="6"/>
        <v>20835.033735878438</v>
      </c>
      <c r="U52" s="18">
        <f t="shared" si="0"/>
        <v>57694.895940200295</v>
      </c>
      <c r="W52" s="18">
        <f t="shared" si="1"/>
        <v>-36859.862204321857</v>
      </c>
      <c r="Y52" s="271">
        <f t="shared" si="7"/>
        <v>-49.228129800878257</v>
      </c>
      <c r="Z52" s="235"/>
      <c r="AB52" s="146">
        <f>+IF(AB51&gt;$G$13+$G$14,XX,AB51+1)</f>
        <v>2044</v>
      </c>
      <c r="AC52" s="117"/>
      <c r="AD52" s="151">
        <f t="shared" si="20"/>
        <v>748756.09440000006</v>
      </c>
      <c r="AF52" s="154">
        <f t="shared" si="13"/>
        <v>169.35853514119049</v>
      </c>
      <c r="AH52" s="154">
        <f t="shared" si="14"/>
        <v>33.923250384269323</v>
      </c>
      <c r="AJ52" s="154">
        <f t="shared" si="15"/>
        <v>3.4619361787900811</v>
      </c>
      <c r="AL52" s="153">
        <f t="shared" si="21"/>
        <v>27313.288298953808</v>
      </c>
      <c r="AN52" s="154">
        <f>INDEX('(2.2)_Forward_Price_Curve'!$K:$K,MATCH($AB52,'(2.2)_Forward_Price_Curve'!$C:$C,0),1)</f>
        <v>7.7344040200000004</v>
      </c>
      <c r="AP52" s="154">
        <f t="shared" si="22"/>
        <v>50.806068376813343</v>
      </c>
      <c r="AR52" s="154">
        <f t="shared" si="16"/>
        <v>3.9066095121794548</v>
      </c>
      <c r="AS52" s="154"/>
      <c r="AT52" s="153">
        <f t="shared" si="23"/>
        <v>16728.444929872807</v>
      </c>
      <c r="AV52" s="153">
        <f t="shared" si="24"/>
        <v>40966.451010327488</v>
      </c>
      <c r="AW52" s="273"/>
      <c r="AX52" s="155">
        <f t="shared" si="25"/>
        <v>57694.895940200295</v>
      </c>
      <c r="AZ52" s="146">
        <f>+IF(AZ51&gt;$G$13+$G$14,XX,AZ51+1)</f>
        <v>2044</v>
      </c>
      <c r="BA52" s="117"/>
      <c r="BB52" s="154">
        <f t="shared" si="17"/>
        <v>110.29229780013601</v>
      </c>
      <c r="BD52" s="154">
        <f t="shared" si="18"/>
        <v>7.2624503066026973</v>
      </c>
      <c r="BF52" s="153">
        <f t="shared" si="26"/>
        <v>10584.843369081</v>
      </c>
      <c r="BH52" s="157"/>
    </row>
    <row r="53" spans="2:60" ht="12">
      <c r="B53" s="2"/>
      <c r="C53">
        <f>+IF(C52&gt;$G$13+$G$14,XX,C52+1)</f>
        <v>2045</v>
      </c>
      <c r="E53" s="169">
        <f>'(2.2)_Forward_Price_Curve'!T50</f>
        <v>2.1000000000000001E-2</v>
      </c>
      <c r="G53" s="18">
        <v>748756.09440000006</v>
      </c>
      <c r="I53" s="28">
        <f t="shared" si="11"/>
        <v>92.567805541935172</v>
      </c>
      <c r="K53" s="28">
        <f t="shared" si="12"/>
        <v>1.7488117365663562</v>
      </c>
      <c r="M53" s="268">
        <f t="shared" si="5"/>
        <v>0</v>
      </c>
      <c r="O53" s="270">
        <f>'(2.2)_Forward_Price_Curve'!AC59</f>
        <v>1.9616503565022387</v>
      </c>
      <c r="Q53" s="28"/>
      <c r="S53" s="18">
        <f t="shared" si="6"/>
        <v>21273.278652503941</v>
      </c>
      <c r="U53" s="18">
        <f t="shared" si="0"/>
        <v>58944.530108274135</v>
      </c>
      <c r="W53" s="18">
        <f t="shared" si="1"/>
        <v>-37671.251455770194</v>
      </c>
      <c r="Y53" s="271">
        <f t="shared" si="7"/>
        <v>-50.311779413237709</v>
      </c>
      <c r="Z53" s="235"/>
      <c r="AB53" s="146">
        <f>+IF(AB52&gt;$G$13+$G$14,XX,AB52+1)</f>
        <v>2045</v>
      </c>
      <c r="AC53" s="117"/>
      <c r="AD53" s="151">
        <f t="shared" si="20"/>
        <v>748756.09440000006</v>
      </c>
      <c r="AF53" s="154">
        <f t="shared" si="13"/>
        <v>172.91506437915547</v>
      </c>
      <c r="AH53" s="154">
        <f t="shared" si="14"/>
        <v>34.635638642338975</v>
      </c>
      <c r="AJ53" s="154">
        <f t="shared" si="15"/>
        <v>3.5346368385446723</v>
      </c>
      <c r="AL53" s="153">
        <f t="shared" si="21"/>
        <v>27886.867353231832</v>
      </c>
      <c r="AN53" s="154">
        <f>INDEX('(2.2)_Forward_Price_Curve'!$K:$K,MATCH($AB53,'(2.2)_Forward_Price_Curve'!$C:$C,0),1)</f>
        <v>7.9045609084400006</v>
      </c>
      <c r="AP53" s="154">
        <f t="shared" si="22"/>
        <v>51.923801881103238</v>
      </c>
      <c r="AR53" s="154">
        <f t="shared" si="16"/>
        <v>3.988648311935223</v>
      </c>
      <c r="AS53" s="154"/>
      <c r="AT53" s="153">
        <f t="shared" si="23"/>
        <v>17079.74227340013</v>
      </c>
      <c r="AV53" s="153">
        <f t="shared" si="24"/>
        <v>41864.787834874005</v>
      </c>
      <c r="AW53" s="273"/>
      <c r="AX53" s="155">
        <f t="shared" si="25"/>
        <v>58944.530108274135</v>
      </c>
      <c r="AZ53" s="146">
        <f>+IF(AZ52&gt;$G$13+$G$14,XX,AZ52+1)</f>
        <v>2045</v>
      </c>
      <c r="BA53" s="117"/>
      <c r="BB53" s="154">
        <f t="shared" si="17"/>
        <v>112.60843605393886</v>
      </c>
      <c r="BD53" s="154">
        <f t="shared" si="18"/>
        <v>7.4149617630413536</v>
      </c>
      <c r="BF53" s="153">
        <f t="shared" si="26"/>
        <v>10807.1250798317</v>
      </c>
      <c r="BH53" s="157"/>
    </row>
    <row r="54" spans="2:60" ht="12">
      <c r="B54" s="2"/>
      <c r="C54">
        <f>+IF(C53&gt;$G$13+$G$14,XX,C53+1)</f>
        <v>2046</v>
      </c>
      <c r="E54" s="169">
        <f>'(2.2)_Forward_Price_Curve'!T51</f>
        <v>2.1000000000000001E-2</v>
      </c>
      <c r="G54" s="18">
        <v>748756.09440000006</v>
      </c>
      <c r="I54" s="28">
        <f t="shared" si="11"/>
        <v>94.511729458315799</v>
      </c>
      <c r="K54" s="28">
        <f t="shared" si="12"/>
        <v>1.7855367830342497</v>
      </c>
      <c r="M54" s="268">
        <f t="shared" si="5"/>
        <v>0</v>
      </c>
      <c r="O54" s="270">
        <f>'(2.2)_Forward_Price_Curve'!AC60</f>
        <v>2.0038320171796222</v>
      </c>
      <c r="Q54" s="28"/>
      <c r="S54" s="18">
        <f t="shared" si="6"/>
        <v>21720.756528860853</v>
      </c>
      <c r="U54" s="18">
        <f t="shared" si="0"/>
        <v>60221.243503650796</v>
      </c>
      <c r="W54" s="18">
        <f t="shared" si="1"/>
        <v>-38500.486974789943</v>
      </c>
      <c r="Y54" s="271">
        <f t="shared" si="7"/>
        <v>-51.419263579605982</v>
      </c>
      <c r="Z54" s="235"/>
      <c r="AB54" s="146">
        <f>+IF(AB53&gt;$G$13+$G$14,XX,AB53+1)</f>
        <v>2046</v>
      </c>
      <c r="AC54" s="117"/>
      <c r="AD54" s="151">
        <f t="shared" si="20"/>
        <v>748756.09440000006</v>
      </c>
      <c r="AF54" s="154">
        <f t="shared" si="13"/>
        <v>176.54628073111772</v>
      </c>
      <c r="AH54" s="154">
        <f t="shared" si="14"/>
        <v>35.362987053828093</v>
      </c>
      <c r="AJ54" s="154">
        <f t="shared" si="15"/>
        <v>3.6088642121541099</v>
      </c>
      <c r="AL54" s="153">
        <f t="shared" si="21"/>
        <v>28472.491567649704</v>
      </c>
      <c r="AN54" s="154">
        <f>INDEX('(2.2)_Forward_Price_Curve'!$K:$K,MATCH($AB54,'(2.2)_Forward_Price_Curve'!$C:$C,0),1)</f>
        <v>8.0784612484256808</v>
      </c>
      <c r="AP54" s="154">
        <f t="shared" si="22"/>
        <v>53.066125522487511</v>
      </c>
      <c r="AR54" s="154">
        <f t="shared" si="16"/>
        <v>4.0724099264858626</v>
      </c>
      <c r="AS54" s="154"/>
      <c r="AT54" s="153">
        <f t="shared" si="23"/>
        <v>17438.416861141541</v>
      </c>
      <c r="AV54" s="153">
        <f t="shared" si="24"/>
        <v>42782.826642509252</v>
      </c>
      <c r="AW54" s="273"/>
      <c r="AX54" s="155">
        <f t="shared" si="25"/>
        <v>60221.243503650796</v>
      </c>
      <c r="AZ54" s="146">
        <f>+IF(AZ53&gt;$G$13+$G$14,XX,AZ53+1)</f>
        <v>2046</v>
      </c>
      <c r="BA54" s="117"/>
      <c r="BB54" s="154">
        <f t="shared" si="17"/>
        <v>114.97321321107157</v>
      </c>
      <c r="BD54" s="154">
        <f t="shared" si="18"/>
        <v>7.5706759600652216</v>
      </c>
      <c r="BF54" s="153">
        <f t="shared" si="26"/>
        <v>11034.074706508163</v>
      </c>
      <c r="BH54" s="157"/>
    </row>
    <row r="55" spans="2:60" ht="12">
      <c r="B55" s="2"/>
      <c r="C55">
        <f>+IF(C54&gt;$G$13+$G$14,XX,C54+1)</f>
        <v>2047</v>
      </c>
      <c r="E55" s="169">
        <f>'(2.2)_Forward_Price_Curve'!T52</f>
        <v>2.1000000000000001E-2</v>
      </c>
      <c r="G55" s="18">
        <v>748756.09440000006</v>
      </c>
      <c r="I55" s="28">
        <f t="shared" si="11"/>
        <v>96.496475776940429</v>
      </c>
      <c r="K55" s="28">
        <f t="shared" si="12"/>
        <v>1.8230330554779688</v>
      </c>
      <c r="M55" s="268">
        <f t="shared" si="5"/>
        <v>0</v>
      </c>
      <c r="O55" s="270">
        <f>'(2.2)_Forward_Price_Curve'!AC61</f>
        <v>2.0468358206182615</v>
      </c>
      <c r="Q55" s="28"/>
      <c r="S55" s="18">
        <f t="shared" si="6"/>
        <v>22177.583765738633</v>
      </c>
      <c r="U55" s="18">
        <f t="shared" si="0"/>
        <v>61525.62320211863</v>
      </c>
      <c r="W55" s="18">
        <f t="shared" si="1"/>
        <v>-39348.039436380001</v>
      </c>
      <c r="Y55" s="271">
        <f t="shared" si="7"/>
        <v>-52.551210909222341</v>
      </c>
      <c r="Z55" s="235"/>
      <c r="AB55" s="146">
        <f>+IF(AB54&gt;$G$13+$G$14,XX,AB54+1)</f>
        <v>2047</v>
      </c>
      <c r="AC55" s="117"/>
      <c r="AD55" s="151">
        <f t="shared" si="20"/>
        <v>748756.09440000006</v>
      </c>
      <c r="AF55" s="154">
        <f t="shared" si="13"/>
        <v>180.25375262647117</v>
      </c>
      <c r="AH55" s="154">
        <f t="shared" si="14"/>
        <v>36.105609781958478</v>
      </c>
      <c r="AJ55" s="154">
        <f t="shared" si="15"/>
        <v>3.6846503606093459</v>
      </c>
      <c r="AL55" s="153">
        <f t="shared" si="21"/>
        <v>29070.41389057034</v>
      </c>
      <c r="AN55" s="154">
        <f>INDEX('(2.2)_Forward_Price_Curve'!$K:$K,MATCH($AB55,'(2.2)_Forward_Price_Curve'!$C:$C,0),1)</f>
        <v>8.2561873958910468</v>
      </c>
      <c r="AP55" s="154">
        <f t="shared" si="22"/>
        <v>54.233580283982242</v>
      </c>
      <c r="AR55" s="154">
        <f t="shared" si="16"/>
        <v>4.1579305349420652</v>
      </c>
      <c r="AS55" s="154"/>
      <c r="AT55" s="153">
        <f t="shared" si="23"/>
        <v>17804.623615225508</v>
      </c>
      <c r="AV55" s="153">
        <f t="shared" si="24"/>
        <v>43720.999586893122</v>
      </c>
      <c r="AW55" s="273"/>
      <c r="AX55" s="155">
        <f t="shared" si="25"/>
        <v>61525.62320211863</v>
      </c>
      <c r="AZ55" s="146">
        <f>+IF(AZ54&gt;$G$13+$G$14,XX,AZ54+1)</f>
        <v>2047</v>
      </c>
      <c r="BA55" s="117"/>
      <c r="BB55" s="154">
        <f t="shared" si="17"/>
        <v>117.38765068850405</v>
      </c>
      <c r="BD55" s="154">
        <f t="shared" si="18"/>
        <v>7.7296601552265907</v>
      </c>
      <c r="BF55" s="153">
        <f t="shared" si="26"/>
        <v>11265.790275344834</v>
      </c>
      <c r="BH55" s="157"/>
    </row>
    <row r="56" spans="2:60" ht="12">
      <c r="B56" s="2"/>
      <c r="C56">
        <f>+IF(C55&gt;$G$13+$G$14,XX,C55+1)</f>
        <v>2048</v>
      </c>
      <c r="E56" s="169">
        <f>'(2.2)_Forward_Price_Curve'!T53</f>
        <v>2.1000000000000001E-2</v>
      </c>
      <c r="G56" s="18">
        <v>748756.09440000006</v>
      </c>
      <c r="I56" s="28">
        <f t="shared" si="11"/>
        <v>98.522901768256162</v>
      </c>
      <c r="K56" s="28">
        <f t="shared" si="12"/>
        <v>1.8613167496430059</v>
      </c>
      <c r="M56" s="268">
        <f t="shared" si="5"/>
        <v>0</v>
      </c>
      <c r="O56" s="270">
        <f>'(2.2)_Forward_Price_Curve'!AC62</f>
        <v>2.0909596981572163</v>
      </c>
      <c r="Q56" s="28"/>
      <c r="S56" s="18">
        <f t="shared" si="6"/>
        <v>22644.166850341582</v>
      </c>
      <c r="U56" s="18">
        <f t="shared" si="0"/>
        <v>62858.269013121884</v>
      </c>
      <c r="W56" s="18">
        <f t="shared" si="1"/>
        <v>-40214.102162780298</v>
      </c>
      <c r="Y56" s="271">
        <f>+W56*1000/G56</f>
        <v>-53.707879593294031</v>
      </c>
      <c r="Z56" s="235"/>
      <c r="AB56" s="146">
        <f>+IF(AB55&gt;$G$13+$G$14,XX,AB55+1)</f>
        <v>2048</v>
      </c>
      <c r="AC56" s="117"/>
      <c r="AD56" s="151">
        <f t="shared" si="20"/>
        <v>748756.09440000006</v>
      </c>
      <c r="AF56" s="154">
        <f t="shared" si="13"/>
        <v>184.03908143162704</v>
      </c>
      <c r="AH56" s="154">
        <f t="shared" si="14"/>
        <v>36.863827587379603</v>
      </c>
      <c r="AJ56" s="154">
        <f t="shared" si="15"/>
        <v>3.7620280181821419</v>
      </c>
      <c r="AL56" s="153">
        <f t="shared" si="21"/>
        <v>29680.892582272314</v>
      </c>
      <c r="AN56" s="154">
        <f>INDEX('(2.2)_Forward_Price_Curve'!$K:$K,MATCH($AB56,'(2.2)_Forward_Price_Curve'!$C:$C,0),1)</f>
        <v>8.4378235186006503</v>
      </c>
      <c r="AP56" s="154">
        <f t="shared" si="22"/>
        <v>55.426719050229863</v>
      </c>
      <c r="AR56" s="154">
        <f t="shared" si="16"/>
        <v>4.2452470761758478</v>
      </c>
      <c r="AS56" s="154"/>
      <c r="AT56" s="153">
        <f t="shared" si="23"/>
        <v>18178.52071114524</v>
      </c>
      <c r="AV56" s="153">
        <f t="shared" si="24"/>
        <v>44679.748301976644</v>
      </c>
      <c r="AW56" s="273"/>
      <c r="AX56" s="155">
        <f t="shared" si="25"/>
        <v>62858.269013121884</v>
      </c>
      <c r="AZ56" s="146">
        <f>+IF(AZ55&gt;$G$13+$G$14,XX,AZ55+1)</f>
        <v>2048</v>
      </c>
      <c r="BA56" s="117"/>
      <c r="BB56" s="154">
        <f t="shared" si="17"/>
        <v>119.85279135296263</v>
      </c>
      <c r="BD56" s="154">
        <f t="shared" si="18"/>
        <v>7.8919830184863482</v>
      </c>
      <c r="BF56" s="153">
        <f t="shared" si="26"/>
        <v>11502.371871127074</v>
      </c>
      <c r="BH56" s="157"/>
    </row>
    <row r="57" spans="2:60" ht="12">
      <c r="B57" s="2"/>
      <c r="C57">
        <f>+IF(C56&gt;$G$13+$G$14,XX,C56+1)</f>
        <v>2049</v>
      </c>
      <c r="E57" s="169">
        <f>'(2.2)_Forward_Price_Curve'!T54</f>
        <v>2.1000000000000001E-2</v>
      </c>
      <c r="G57" s="18">
        <v>748756.09440000006</v>
      </c>
      <c r="I57" s="28">
        <f t="shared" si="11"/>
        <v>100.59188270538954</v>
      </c>
      <c r="K57" s="28">
        <f t="shared" si="12"/>
        <v>1.9004044013855088</v>
      </c>
      <c r="M57" s="28"/>
      <c r="O57" s="270">
        <f>'(2.2)_Forward_Price_Curve'!AC63</f>
        <v>2.1361590832077506</v>
      </c>
      <c r="Q57" s="28"/>
      <c r="S57" s="18">
        <f t="shared" si="6"/>
        <v>23120.659674058534</v>
      </c>
      <c r="U57" s="18">
        <f t="shared" si="0"/>
        <v>64219.7937560789</v>
      </c>
      <c r="W57" s="18">
        <f t="shared" si="1"/>
        <v>-41099.134082020362</v>
      </c>
      <c r="Y57" s="271">
        <f t="shared" si="7"/>
        <v>-54.8898825524142</v>
      </c>
      <c r="Z57" s="235"/>
      <c r="AB57" s="146">
        <f>+IF(AB56&gt;$G$13+$G$14,XX,AB56+1)</f>
        <v>2049</v>
      </c>
      <c r="AC57" s="117"/>
      <c r="AD57" s="151">
        <f t="shared" si="20"/>
        <v>748756.09440000006</v>
      </c>
      <c r="AF57" s="154">
        <f t="shared" si="13"/>
        <v>187.90390214169119</v>
      </c>
      <c r="AH57" s="154">
        <f t="shared" si="14"/>
        <v>37.637967966714569</v>
      </c>
      <c r="AJ57" s="154">
        <f t="shared" si="15"/>
        <v>3.8410306065639666</v>
      </c>
      <c r="AL57" s="153">
        <f t="shared" si="21"/>
        <v>30304.191326500033</v>
      </c>
      <c r="AN57" s="154">
        <f>INDEX('(2.2)_Forward_Price_Curve'!$K:$K,MATCH($AB57,'(2.2)_Forward_Price_Curve'!$C:$C,0),1)</f>
        <v>8.6234556360098651</v>
      </c>
      <c r="AP57" s="154">
        <f t="shared" si="22"/>
        <v>56.646106869334915</v>
      </c>
      <c r="AR57" s="154">
        <f t="shared" si="16"/>
        <v>4.3343972647755402</v>
      </c>
      <c r="AS57" s="154"/>
      <c r="AT57" s="153">
        <f t="shared" si="23"/>
        <v>18560.269646079294</v>
      </c>
      <c r="AV57" s="153">
        <f t="shared" si="24"/>
        <v>45659.524109999606</v>
      </c>
      <c r="AW57" s="273"/>
      <c r="AX57" s="155">
        <f t="shared" si="25"/>
        <v>64219.7937560789</v>
      </c>
      <c r="AZ57" s="146">
        <f>+IF(AZ56&gt;$G$13+$G$14,XX,AZ56+1)</f>
        <v>2049</v>
      </c>
      <c r="BA57" s="117"/>
      <c r="BB57" s="154">
        <f t="shared" si="17"/>
        <v>122.36969997137483</v>
      </c>
      <c r="BD57" s="154">
        <f t="shared" si="18"/>
        <v>8.0577146618745612</v>
      </c>
      <c r="BF57" s="153">
        <f t="shared" si="26"/>
        <v>11743.921680420741</v>
      </c>
      <c r="BH57" s="157"/>
    </row>
    <row r="58" spans="2:60" ht="12">
      <c r="B58" s="2"/>
      <c r="E58" s="169"/>
      <c r="G58" s="18"/>
      <c r="I58" s="28"/>
      <c r="K58" s="28"/>
      <c r="M58" s="28"/>
      <c r="O58" s="270"/>
      <c r="Q58" s="28"/>
      <c r="S58" s="18"/>
      <c r="U58" s="18"/>
      <c r="W58" s="18"/>
      <c r="Y58" s="271"/>
      <c r="Z58" s="235"/>
      <c r="AB58" s="146"/>
      <c r="AC58" s="117"/>
      <c r="AD58" s="151"/>
      <c r="AF58" s="154"/>
      <c r="AH58" s="154"/>
      <c r="AJ58" s="154"/>
      <c r="AL58" s="153"/>
      <c r="AN58" s="154"/>
      <c r="AP58" s="154"/>
      <c r="AR58" s="154"/>
      <c r="AS58" s="154"/>
      <c r="AT58" s="153"/>
      <c r="AV58" s="153"/>
      <c r="AW58" s="273"/>
      <c r="AX58" s="155"/>
      <c r="AZ58" s="146"/>
      <c r="BA58" s="117"/>
      <c r="BB58" s="154"/>
      <c r="BD58" s="154"/>
      <c r="BF58" s="153"/>
      <c r="BH58" s="157"/>
    </row>
    <row r="59" spans="2:60" ht="12">
      <c r="B59" s="2"/>
      <c r="E59" s="169"/>
      <c r="G59" s="18"/>
      <c r="I59" s="28"/>
      <c r="K59" s="28"/>
      <c r="M59" s="28"/>
      <c r="O59" s="270"/>
      <c r="Q59" s="28"/>
      <c r="S59" s="18"/>
      <c r="U59" s="18"/>
      <c r="W59" s="18"/>
      <c r="Y59" s="271"/>
      <c r="Z59" s="235"/>
      <c r="AB59" s="146"/>
      <c r="AC59" s="117"/>
      <c r="AD59" s="151"/>
      <c r="AF59" s="154"/>
      <c r="AH59" s="154"/>
      <c r="AJ59" s="154"/>
      <c r="AL59" s="153"/>
      <c r="AN59" s="154"/>
      <c r="AP59" s="154"/>
      <c r="AR59" s="154"/>
      <c r="AS59" s="154"/>
      <c r="AT59" s="153"/>
      <c r="AV59" s="153"/>
      <c r="AW59" s="273"/>
      <c r="AX59" s="155"/>
      <c r="AZ59" s="146"/>
      <c r="BA59" s="117"/>
      <c r="BB59" s="154"/>
      <c r="BD59" s="154"/>
      <c r="BF59" s="153"/>
      <c r="BH59" s="157"/>
    </row>
    <row r="60" spans="2:60" ht="12">
      <c r="B60" s="2"/>
      <c r="E60" s="169"/>
      <c r="G60" s="18"/>
      <c r="I60" s="28"/>
      <c r="K60" s="28"/>
      <c r="M60" s="28"/>
      <c r="O60" s="270"/>
      <c r="Q60" s="28"/>
      <c r="S60" s="18"/>
      <c r="U60" s="18"/>
      <c r="W60" s="18"/>
      <c r="Y60" s="271"/>
      <c r="Z60" s="235"/>
      <c r="AB60" s="146"/>
      <c r="AC60" s="117"/>
      <c r="AD60" s="151"/>
      <c r="AF60" s="154"/>
      <c r="AH60" s="154"/>
      <c r="AJ60" s="154"/>
      <c r="AL60" s="153"/>
      <c r="AN60" s="154"/>
      <c r="AP60" s="154"/>
      <c r="AR60" s="154"/>
      <c r="AS60" s="154"/>
      <c r="AT60" s="153"/>
      <c r="AV60" s="153"/>
      <c r="AW60" s="273"/>
      <c r="AX60" s="155"/>
      <c r="AZ60" s="146"/>
      <c r="BA60" s="117"/>
      <c r="BB60" s="154"/>
      <c r="BD60" s="154"/>
      <c r="BF60" s="153"/>
      <c r="BH60" s="157"/>
    </row>
    <row r="61" spans="2:60" ht="12">
      <c r="B61" s="2"/>
      <c r="E61" s="169"/>
      <c r="G61" s="18"/>
      <c r="I61" s="28"/>
      <c r="K61" s="28"/>
      <c r="M61" s="28"/>
      <c r="O61" s="270"/>
      <c r="Q61" s="28"/>
      <c r="S61" s="18"/>
      <c r="U61" s="18"/>
      <c r="W61" s="18"/>
      <c r="Y61" s="271"/>
      <c r="Z61" s="235"/>
      <c r="AB61" s="146"/>
      <c r="AC61" s="117"/>
      <c r="AD61" s="151"/>
      <c r="AF61" s="154"/>
      <c r="AH61" s="154"/>
      <c r="AJ61" s="154"/>
      <c r="AL61" s="153"/>
      <c r="AN61" s="154"/>
      <c r="AP61" s="154"/>
      <c r="AR61" s="154"/>
      <c r="AS61" s="154"/>
      <c r="AT61" s="153"/>
      <c r="AV61" s="153"/>
      <c r="AW61" s="273"/>
      <c r="AX61" s="155"/>
      <c r="AZ61" s="146"/>
      <c r="BA61" s="117"/>
      <c r="BB61" s="154"/>
      <c r="BD61" s="154"/>
      <c r="BF61" s="153"/>
      <c r="BH61" s="157"/>
    </row>
    <row r="62" spans="2:60" ht="12">
      <c r="B62" s="2"/>
      <c r="E62" s="169"/>
      <c r="G62" s="18"/>
      <c r="I62" s="28"/>
      <c r="K62" s="28"/>
      <c r="M62" s="28"/>
      <c r="O62" s="270"/>
      <c r="Q62" s="28" t="s">
        <v>299</v>
      </c>
      <c r="S62" s="18"/>
      <c r="U62" s="18"/>
      <c r="W62" s="18"/>
      <c r="Y62" s="271"/>
      <c r="Z62" s="235"/>
      <c r="AB62" s="146"/>
      <c r="AC62" s="117"/>
      <c r="AD62" s="151"/>
      <c r="AF62" s="154"/>
      <c r="AH62" s="154"/>
      <c r="AJ62" s="154"/>
      <c r="AL62" s="153"/>
      <c r="AN62" s="154"/>
      <c r="AP62" s="154"/>
      <c r="AR62" s="154"/>
      <c r="AS62" s="154"/>
      <c r="AT62" s="153"/>
      <c r="AV62" s="153"/>
      <c r="AW62" s="273"/>
      <c r="AX62" s="155"/>
      <c r="AZ62" s="146"/>
      <c r="BA62" s="117"/>
      <c r="BB62" s="154"/>
      <c r="BD62" s="154"/>
      <c r="BF62" s="153"/>
      <c r="BH62" s="157"/>
    </row>
    <row r="63" spans="2:60" ht="12">
      <c r="B63" s="2"/>
      <c r="E63" s="169"/>
      <c r="G63" s="18"/>
      <c r="I63" s="28"/>
      <c r="K63" s="28"/>
      <c r="M63" s="28"/>
      <c r="O63" s="270"/>
      <c r="Q63" s="28"/>
      <c r="S63" s="18"/>
      <c r="U63" s="18"/>
      <c r="W63" s="18"/>
      <c r="Y63" s="271"/>
      <c r="Z63" s="235"/>
      <c r="AB63" s="146"/>
      <c r="AC63" s="117"/>
      <c r="AD63" s="151"/>
      <c r="AF63" s="154"/>
      <c r="AH63" s="154"/>
      <c r="AJ63" s="154"/>
      <c r="AL63" s="153"/>
      <c r="AN63" s="154"/>
      <c r="AP63" s="154"/>
      <c r="AR63" s="154"/>
      <c r="AS63" s="154"/>
      <c r="AT63" s="153"/>
      <c r="AV63" s="153"/>
      <c r="AW63" s="273"/>
      <c r="AX63" s="155"/>
      <c r="AZ63" s="146"/>
      <c r="BA63" s="117"/>
      <c r="BB63" s="154"/>
      <c r="BD63" s="154"/>
      <c r="BF63" s="153"/>
      <c r="BH63" s="157"/>
    </row>
    <row r="64" spans="2:60" ht="12">
      <c r="B64" s="2"/>
      <c r="E64" s="169"/>
      <c r="G64" s="18"/>
      <c r="I64" s="28"/>
      <c r="K64" s="28"/>
      <c r="M64" s="28"/>
      <c r="O64" s="270"/>
      <c r="Q64" s="28"/>
      <c r="S64" s="18"/>
      <c r="U64" s="18"/>
      <c r="W64" s="18"/>
      <c r="Y64" s="271"/>
      <c r="Z64" s="235"/>
      <c r="AB64" s="146"/>
      <c r="AC64" s="117"/>
      <c r="AD64" s="151"/>
      <c r="AF64" s="154"/>
      <c r="AH64" s="154"/>
      <c r="AJ64" s="154"/>
      <c r="AL64" s="153"/>
      <c r="AN64" s="154"/>
      <c r="AP64" s="154"/>
      <c r="AR64" s="154"/>
      <c r="AS64" s="154"/>
      <c r="AT64" s="153"/>
      <c r="AV64" s="153"/>
      <c r="AW64" s="273"/>
      <c r="AX64" s="155"/>
      <c r="AZ64" s="146"/>
      <c r="BA64" s="117"/>
      <c r="BB64" s="154"/>
      <c r="BD64" s="154"/>
      <c r="BF64" s="153"/>
      <c r="BH64" s="157"/>
    </row>
    <row r="65" spans="2:60" ht="12">
      <c r="B65" s="2"/>
      <c r="E65" s="169"/>
      <c r="G65" s="18"/>
      <c r="I65" s="28"/>
      <c r="K65" s="28"/>
      <c r="M65" s="28"/>
      <c r="O65" s="270"/>
      <c r="Q65" s="28"/>
      <c r="S65" s="18"/>
      <c r="U65" s="18"/>
      <c r="W65" s="18"/>
      <c r="Y65" s="271"/>
      <c r="Z65" s="235"/>
      <c r="AB65" s="146"/>
      <c r="AC65" s="117"/>
      <c r="AD65" s="151"/>
      <c r="AF65" s="154"/>
      <c r="AH65" s="154"/>
      <c r="AJ65" s="154"/>
      <c r="AL65" s="153"/>
      <c r="AN65" s="154"/>
      <c r="AP65" s="154"/>
      <c r="AR65" s="154"/>
      <c r="AS65" s="154"/>
      <c r="AT65" s="153"/>
      <c r="AV65" s="153"/>
      <c r="AW65" s="273"/>
      <c r="AX65" s="155"/>
      <c r="AZ65" s="146"/>
      <c r="BA65" s="117"/>
      <c r="BB65" s="154"/>
      <c r="BD65" s="154"/>
      <c r="BF65" s="153"/>
      <c r="BH65" s="157"/>
    </row>
    <row r="66" spans="2:60" ht="12">
      <c r="B66" s="2"/>
      <c r="E66" s="169"/>
      <c r="G66" s="18"/>
      <c r="I66" s="28"/>
      <c r="K66" s="28"/>
      <c r="M66" s="28"/>
      <c r="O66" s="270"/>
      <c r="Q66" s="28"/>
      <c r="S66" s="18"/>
      <c r="U66" s="18"/>
      <c r="W66" s="18"/>
      <c r="Y66" s="271"/>
      <c r="Z66" s="235"/>
      <c r="AB66" s="146"/>
      <c r="AC66" s="117"/>
      <c r="AD66" s="151"/>
      <c r="AF66" s="154"/>
      <c r="AH66" s="154"/>
      <c r="AJ66" s="154"/>
      <c r="AL66" s="153"/>
      <c r="AN66" s="154"/>
      <c r="AP66" s="154"/>
      <c r="AR66" s="154"/>
      <c r="AS66" s="154"/>
      <c r="AT66" s="153"/>
      <c r="AV66" s="153"/>
      <c r="AW66" s="273"/>
      <c r="AX66" s="155"/>
      <c r="AZ66" s="146"/>
      <c r="BA66" s="117"/>
      <c r="BB66" s="154"/>
      <c r="BD66" s="154"/>
      <c r="BF66" s="153"/>
      <c r="BH66" s="157"/>
    </row>
    <row r="67" spans="2:60">
      <c r="B67" s="2"/>
      <c r="E67" s="169"/>
      <c r="G67" s="267"/>
      <c r="I67" s="267"/>
      <c r="K67" s="267"/>
      <c r="M67" s="267"/>
      <c r="O67" s="267"/>
      <c r="Q67" s="267"/>
      <c r="S67" s="267"/>
      <c r="U67" s="267"/>
      <c r="W67" s="267"/>
      <c r="Y67" s="267"/>
      <c r="Z67" s="235"/>
      <c r="AB67" s="2"/>
      <c r="AF67" s="274"/>
      <c r="AH67" s="274"/>
      <c r="AJ67" s="274"/>
      <c r="AL67" s="273"/>
      <c r="AN67" s="274"/>
      <c r="AP67" s="274"/>
      <c r="AR67" s="274"/>
      <c r="AS67" s="274"/>
      <c r="AT67" s="274"/>
      <c r="AV67" s="273"/>
      <c r="AW67" s="273"/>
      <c r="AX67" s="275"/>
      <c r="AZ67" s="2"/>
      <c r="BB67" s="274"/>
      <c r="BF67" s="273"/>
      <c r="BH67" s="235"/>
    </row>
    <row r="68" spans="2:60" ht="12">
      <c r="B68" s="2"/>
      <c r="C68" s="276" t="str">
        <f>G14&amp;"-year Nominal Levelized at "&amp;TEXT($G$18,"#.00%")</f>
        <v>30-year Nominal Levelized at 6.57%</v>
      </c>
      <c r="E68" s="169"/>
      <c r="G68" s="18">
        <f>+-PMT($G$18,$G$14,NPV($G$18,G28:G66))</f>
        <v>694710.593084077</v>
      </c>
      <c r="I68" s="28">
        <f>+-PMT($G$18,$G$14,NPV($G$18,I28:I66))</f>
        <v>68.45950126424782</v>
      </c>
      <c r="J68" s="28"/>
      <c r="K68" s="28">
        <f>+-PMT($G$18,$G$14,NPV($G$18,K28:K66))</f>
        <v>1.2933522469230294</v>
      </c>
      <c r="M68" s="28">
        <f>+-PMT($G$18,$G$14,NPV($G$18,M28:M66))</f>
        <v>0</v>
      </c>
      <c r="O68" s="28">
        <f>+-PMT($G$18,$G$14,NPV($G$18,O28:O66))</f>
        <v>1.4480307525960268</v>
      </c>
      <c r="Q68" s="28">
        <f>+-PMT($G$18,$G$14,NPV($G$18,Q28:Q66))</f>
        <v>-19.132669551210657</v>
      </c>
      <c r="S68" s="18">
        <f>+-PMT($G$18,$G$14,NPV($G$18,S28:S66))</f>
        <v>1288.2309635277825</v>
      </c>
      <c r="U68" s="18">
        <f>+-PMT($G$18,$G$14,NPV($G$18,U28:U66))</f>
        <v>37799.677011087806</v>
      </c>
      <c r="W68" s="18">
        <f>+-PMT($G$18,$G$14,NPV($G$18,W28:W66))</f>
        <v>-36511.446047560028</v>
      </c>
      <c r="Y68" s="271">
        <f>+-PMT($G$18,$G$14,NPV($G$18,Y28:Y66))</f>
        <v>33.484495796648424</v>
      </c>
      <c r="Z68" s="235"/>
      <c r="AB68" s="2"/>
      <c r="AD68" s="151">
        <f>+-PMT($G$18,$G$14,NPV($G$18,AD28:AD66))</f>
        <v>694710.593084077</v>
      </c>
      <c r="AF68" s="154">
        <f>+-PMT($G$18,$G$14,NPV($G$18,AF28:AF66))</f>
        <v>127.88116774691788</v>
      </c>
      <c r="AH68" s="154">
        <f>+-PMT($G$18,$G$14,NPV($G$18,AH28:AH66))</f>
        <v>25.615153492528894</v>
      </c>
      <c r="AJ68" s="154">
        <f>+-PMT($G$18,$G$14,NPV($G$18,AJ28:AJ66))</f>
        <v>2.6140781203610159</v>
      </c>
      <c r="AL68" s="153">
        <f>+-PMT($G$18,$G$14,NPV($G$18,AL28:AL66))</f>
        <v>20512.171683037574</v>
      </c>
      <c r="AN68" s="154">
        <f>+-PMT($G$18,$G$14,NPV($G$18,AN28:AN66))</f>
        <v>4.9109076287424571</v>
      </c>
      <c r="AP68" s="154">
        <f>+-PMT($G$18,$G$14,NPV($G$18,AP28:AP66))</f>
        <v>32.258970197693856</v>
      </c>
      <c r="AR68" s="154">
        <f>+-PMT($G$18,$G$14,NPV($G$18,AR28:AR66))</f>
        <v>2.9498471153652552</v>
      </c>
      <c r="AS68" s="154"/>
      <c r="AT68" s="153">
        <f>+-PMT($G$18,$G$14,NPV($G$18,AT28:AT66))</f>
        <v>12519.647838119856</v>
      </c>
      <c r="AV68" s="153">
        <f>+-PMT($G$18,$G$14,NPV($G$18,AV28:AV66))</f>
        <v>25280.029172967956</v>
      </c>
      <c r="AW68" s="273"/>
      <c r="AX68" s="155">
        <f>+-PMT($G$18,$G$14,NPV($G$18,AX28:AX66))</f>
        <v>37799.677011087806</v>
      </c>
      <c r="AZ68" s="2"/>
      <c r="BB68" s="154">
        <f>+-PMT($G$18,$G$14,NPV($G$18,BB28:BB66))</f>
        <v>83.28076187251952</v>
      </c>
      <c r="BD68" s="154">
        <f>+-PMT($G$18,$G$14,NPV($G$18,BD28:BD66))</f>
        <v>5.4838135269536457</v>
      </c>
      <c r="BF68" s="153">
        <f>+-PMT($G$18,$G$14,NPV($G$18,BF28:BF66))</f>
        <v>7992.5238449177114</v>
      </c>
      <c r="BH68" s="157"/>
    </row>
    <row r="69" spans="2:60">
      <c r="B69" s="2"/>
      <c r="E69" s="169"/>
      <c r="W69" s="18"/>
      <c r="Y69" s="271"/>
      <c r="Z69" s="235"/>
      <c r="AB69" s="2"/>
      <c r="AT69" s="273"/>
      <c r="AX69" s="235"/>
      <c r="AZ69" s="2"/>
      <c r="BH69" s="235"/>
    </row>
    <row r="70" spans="2:60">
      <c r="B70" s="238"/>
      <c r="C70" s="277"/>
      <c r="D70" s="277"/>
      <c r="E70" s="278"/>
      <c r="F70" s="277"/>
      <c r="G70" s="277"/>
      <c r="H70" s="277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39"/>
      <c r="AB70" s="238"/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  <c r="AO70" s="277"/>
      <c r="AP70" s="277"/>
      <c r="AQ70" s="277"/>
      <c r="AR70" s="277"/>
      <c r="AS70" s="277"/>
      <c r="AT70" s="277"/>
      <c r="AU70" s="277"/>
      <c r="AV70" s="277"/>
      <c r="AW70" s="277"/>
      <c r="AX70" s="239"/>
      <c r="AZ70" s="238"/>
      <c r="BA70" s="277"/>
      <c r="BB70" s="277"/>
      <c r="BC70" s="277"/>
      <c r="BD70" s="277"/>
      <c r="BE70" s="277"/>
      <c r="BF70" s="277"/>
      <c r="BG70" s="277"/>
      <c r="BH70" s="239"/>
    </row>
    <row r="71" spans="2:60">
      <c r="E71" s="169"/>
    </row>
    <row r="72" spans="2:60">
      <c r="E72" s="169"/>
      <c r="G72" s="18"/>
      <c r="I72" s="18"/>
      <c r="K72" s="18"/>
      <c r="O72" s="18"/>
      <c r="Q72" s="18"/>
      <c r="S72" s="18"/>
      <c r="U72" s="18"/>
      <c r="W72" s="18"/>
    </row>
    <row r="73" spans="2:60">
      <c r="E73" s="169"/>
    </row>
    <row r="74" spans="2:60">
      <c r="E74" s="169"/>
    </row>
    <row r="75" spans="2:60">
      <c r="E75" s="169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  <row r="87" spans="5:5">
      <c r="E87" s="169"/>
    </row>
    <row r="88" spans="5:5">
      <c r="E88" s="169"/>
    </row>
    <row r="89" spans="5:5">
      <c r="E89" s="169"/>
    </row>
    <row r="90" spans="5:5">
      <c r="E90" s="169"/>
    </row>
    <row r="91" spans="5:5">
      <c r="E91" s="169"/>
    </row>
    <row r="92" spans="5:5">
      <c r="E92" s="169"/>
    </row>
    <row r="93" spans="5:5">
      <c r="E93" s="169"/>
    </row>
    <row r="94" spans="5:5">
      <c r="E94" s="169"/>
    </row>
  </sheetData>
  <pageMargins left="0.25" right="0.25" top="0.25" bottom="0.75" header="0.3" footer="0.3"/>
  <pageSetup paperSize="5" scale="4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025E8-E529-45B5-AFBD-E502F2553A5C}">
  <sheetPr codeName="Sheet13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307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303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120</v>
      </c>
      <c r="H11" s="252"/>
      <c r="AB11" s="122" t="s">
        <v>99</v>
      </c>
      <c r="AC11" s="123"/>
      <c r="AD11" s="123"/>
      <c r="AE11" s="123"/>
      <c r="AF11" s="281">
        <f>+G11*(G12/AJ16)</f>
        <v>78.399598816319269</v>
      </c>
      <c r="AG11" s="127"/>
      <c r="AH11" s="123" t="s">
        <v>100</v>
      </c>
      <c r="AI11" s="124"/>
      <c r="AJ11" s="166">
        <f>'(2.1)_Proxy Resources'!N53</f>
        <v>19.805241420865066</v>
      </c>
      <c r="AK11" s="235"/>
      <c r="AZ11" s="122" t="s">
        <v>99</v>
      </c>
      <c r="BA11" s="123"/>
      <c r="BB11" s="123"/>
      <c r="BC11" s="123"/>
      <c r="BD11" s="134">
        <f>(AF11*AF13-G11*G19)</f>
        <v>59.439598816319268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0.45919673061244359</v>
      </c>
      <c r="H12" s="252"/>
      <c r="AB12" s="122" t="s">
        <v>32</v>
      </c>
      <c r="AC12" s="123"/>
      <c r="AD12" s="123"/>
      <c r="AE12" s="123"/>
      <c r="AF12" s="131">
        <f>+AD58/8760/AF11</f>
        <v>0.70285573530285828</v>
      </c>
      <c r="AG12" s="127"/>
      <c r="AH12" s="117" t="s">
        <v>101</v>
      </c>
      <c r="AI12" s="118"/>
      <c r="AJ12" s="117">
        <v>2016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2021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Resources'!O53</f>
        <v>2.02116486562735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20</v>
      </c>
      <c r="H14" s="252"/>
      <c r="AB14" s="122" t="s">
        <v>104</v>
      </c>
      <c r="AC14" s="123"/>
      <c r="AD14" s="123"/>
      <c r="AE14" s="123"/>
      <c r="AF14" s="134">
        <f>'(2.1)_Proxy Resources'!H53*(1+E28)</f>
        <v>6568.8407594737137</v>
      </c>
      <c r="AG14" s="127"/>
      <c r="AH14" s="117"/>
      <c r="AI14" s="118"/>
      <c r="AJ14" s="166"/>
      <c r="AK14" s="235"/>
      <c r="AZ14" s="122" t="s">
        <v>192</v>
      </c>
      <c r="BA14" s="123"/>
      <c r="BB14" s="123"/>
      <c r="BC14" s="123"/>
      <c r="BD14" s="167">
        <f>'(2.1)_Proxy Resources'!J95</f>
        <v>747</v>
      </c>
      <c r="BE14" s="132"/>
    </row>
    <row r="15" spans="1:57" ht="12">
      <c r="A15" t="s">
        <v>288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232</v>
      </c>
      <c r="AC15" s="123"/>
      <c r="AD15" s="123"/>
      <c r="AE15" s="123"/>
      <c r="AF15" s="167">
        <f>'(2.1)_Proxy Resources'!J53</f>
        <v>1362.6215812395926</v>
      </c>
      <c r="AG15" s="127"/>
      <c r="AH15" s="117" t="s">
        <v>145</v>
      </c>
      <c r="AI15" s="118"/>
      <c r="AJ15" s="166">
        <f>'(2.1)_Proxy Resources'!P53</f>
        <v>2.2807762714164963</v>
      </c>
      <c r="AK15" s="235"/>
      <c r="AZ15" s="122" t="s">
        <v>108</v>
      </c>
      <c r="BA15" s="123"/>
      <c r="BB15" s="123"/>
      <c r="BC15" s="123"/>
      <c r="BD15" s="136">
        <f>'(2.1)_Proxy Resources'!K95</f>
        <v>8.6199999999999999E-2</v>
      </c>
      <c r="BE15" s="132"/>
    </row>
    <row r="16" spans="1:57" ht="12">
      <c r="A16" t="s">
        <v>288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Resources'!K52</f>
        <v>7.2562879502455491E-2</v>
      </c>
      <c r="AG16" s="127"/>
      <c r="AH16" s="117" t="s">
        <v>110</v>
      </c>
      <c r="AI16" s="124"/>
      <c r="AJ16" s="137">
        <f>'(2.1)_Proxy Resources'!D53</f>
        <v>0.70285573530285894</v>
      </c>
      <c r="AK16" s="235"/>
      <c r="AZ16" s="122" t="s">
        <v>100</v>
      </c>
      <c r="BA16" s="124"/>
      <c r="BB16" s="166">
        <f>'(2.1)_Proxy Resources'!N95</f>
        <v>4.24</v>
      </c>
      <c r="BE16" s="130"/>
    </row>
    <row r="17" spans="1:60" ht="12">
      <c r="A17" t="s">
        <v>288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'(2.2)_Forward_Price_Curve'!AA8</f>
        <v>6.5699999999999995E-2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'(2.2)_Forward_Price_Curve'!L103</f>
        <v>0.158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2021</v>
      </c>
      <c r="E28" s="169">
        <f>'(2.2)_Forward_Price_Curve'!T35</f>
        <v>2.4E-2</v>
      </c>
      <c r="G28" s="18">
        <v>482707.60321980069</v>
      </c>
      <c r="I28" s="268">
        <f>$G$15*(1+E28)</f>
        <v>0</v>
      </c>
      <c r="J28" s="268"/>
      <c r="K28" s="268">
        <v>15.5</v>
      </c>
      <c r="L28" s="269"/>
      <c r="M28" s="268">
        <f>$G$17</f>
        <v>0</v>
      </c>
      <c r="O28" s="270">
        <f>'(2.2)_Forward_Price_Curve'!AC35</f>
        <v>1.1679956801767024</v>
      </c>
      <c r="Q28" s="28"/>
      <c r="S28" s="18">
        <f>(I28*$G$11*1000+(K28+M28+O28+Q28)*G28)/1000</f>
        <v>8045.7682452560875</v>
      </c>
      <c r="U28" s="18">
        <f t="shared" ref="U28:U47" si="0">AX28</f>
        <v>16598.662400584955</v>
      </c>
      <c r="W28" s="18">
        <f t="shared" ref="W28:W47" si="1">S28-U28</f>
        <v>-8552.8941553288678</v>
      </c>
      <c r="Y28" s="271">
        <f>+W28*1000/G28</f>
        <v>-17.718581804551174</v>
      </c>
      <c r="Z28" s="235"/>
      <c r="AB28" s="146">
        <f>$C$28</f>
        <v>2021</v>
      </c>
      <c r="AC28" s="117"/>
      <c r="AD28" s="151">
        <f t="shared" ref="AD28:AD47" si="2">G28</f>
        <v>482707.60321980069</v>
      </c>
      <c r="AF28" s="152">
        <f>$AF$15*$AF$16*(1+E28)</f>
        <v>101.24876350150033</v>
      </c>
      <c r="AG28" s="272"/>
      <c r="AH28" s="152">
        <f>$AJ$11*(1+E28)</f>
        <v>20.280567214965828</v>
      </c>
      <c r="AI28" s="272"/>
      <c r="AJ28" s="152">
        <f>$AJ$13*(1+E28)</f>
        <v>2.0696728224024064</v>
      </c>
      <c r="AK28" s="272"/>
      <c r="AL28" s="153">
        <f>((AF28+AH28)*$AF$11*1000+AJ28*AD28)/1000</f>
        <v>10526.89758013776</v>
      </c>
      <c r="AN28" s="154">
        <f>INDEX('(2.2)_Forward_Price_Curve'!$K:$K,MATCH($AB28,'(2.2)_Forward_Price_Curve'!$C:$C,0),1)</f>
        <v>2.8767624999999999</v>
      </c>
      <c r="AO28" s="279"/>
      <c r="AP28" s="154">
        <f>AN28*$AF$14/1000+$AJ$14/(1+E29)</f>
        <v>18.896994765325498</v>
      </c>
      <c r="AQ28" s="272"/>
      <c r="AR28" s="152">
        <f>$AJ$15*(1+E28)</f>
        <v>2.3355149019304924</v>
      </c>
      <c r="AS28" s="152"/>
      <c r="AT28" s="153">
        <f t="shared" ref="AT28:AT47" si="3">AL28-BF28</f>
        <v>6349.5685487625697</v>
      </c>
      <c r="AU28" s="272"/>
      <c r="AV28" s="153">
        <f t="shared" ref="AV28:AV47" si="4">(AP28+AR28)*AD28/1000</f>
        <v>10249.093851822385</v>
      </c>
      <c r="AW28" s="273"/>
      <c r="AX28" s="155">
        <f>AT28+AV28</f>
        <v>16598.662400584955</v>
      </c>
      <c r="AZ28" s="146">
        <f>$C$28</f>
        <v>2021</v>
      </c>
      <c r="BA28" s="117"/>
      <c r="BB28" s="152">
        <f>$BD$14*$BD$15*(1+E28)</f>
        <v>65.936793600000001</v>
      </c>
      <c r="BD28" s="152">
        <f>$BB$16*(1+E28)</f>
        <v>4.3417600000000007</v>
      </c>
      <c r="BE28" s="272"/>
      <c r="BF28" s="153">
        <f>(BB28+BD28)*$BD$11</f>
        <v>4177.3290313751904</v>
      </c>
      <c r="BG28" s="272"/>
      <c r="BH28" s="156"/>
    </row>
    <row r="29" spans="1:60" ht="12">
      <c r="B29" s="2"/>
      <c r="C29">
        <f>+IF(C28&gt;$G$13+$G$14,XX,C28+1)</f>
        <v>2022</v>
      </c>
      <c r="E29" s="169">
        <f>'(2.2)_Forward_Price_Curve'!T36</f>
        <v>2.4E-2</v>
      </c>
      <c r="G29" s="18">
        <v>482707.60321980069</v>
      </c>
      <c r="I29" s="28">
        <f>I28*(1+$E29)</f>
        <v>0</v>
      </c>
      <c r="K29" s="28">
        <v>15.5</v>
      </c>
      <c r="M29" s="28">
        <f>M28*(1+$E29)</f>
        <v>0</v>
      </c>
      <c r="O29" s="270">
        <f>'(2.2)_Forward_Price_Curve'!AC36</f>
        <v>1.1974836718320334</v>
      </c>
      <c r="Q29" s="28"/>
      <c r="S29" s="18">
        <f t="shared" ref="S29:S47" si="5">(I29*$G$11*1000+(K29+M29+O29+Q29)*G29)/1000</f>
        <v>8060.0023230317975</v>
      </c>
      <c r="U29" s="18">
        <f t="shared" si="0"/>
        <v>17200.119911728038</v>
      </c>
      <c r="W29" s="18">
        <f t="shared" si="1"/>
        <v>-9140.117588696241</v>
      </c>
      <c r="Y29" s="271">
        <f t="shared" ref="Y29:Y47" si="6">+W29*1000/G29</f>
        <v>-18.935101762907788</v>
      </c>
      <c r="Z29" s="235"/>
      <c r="AB29" s="146">
        <f>+IF(AB28&gt;$G$13+$G$14,XX,AB28+1)</f>
        <v>2022</v>
      </c>
      <c r="AC29" s="117"/>
      <c r="AD29" s="151">
        <f t="shared" si="2"/>
        <v>482707.60321980069</v>
      </c>
      <c r="AF29" s="154">
        <f>AF28*(1+$E29)</f>
        <v>103.67873382553634</v>
      </c>
      <c r="AH29" s="154">
        <f>AH28*(1+$E29)</f>
        <v>20.767300828125009</v>
      </c>
      <c r="AJ29" s="154">
        <f>AJ28*(1+$E29)</f>
        <v>2.1193449701400642</v>
      </c>
      <c r="AL29" s="153">
        <f t="shared" ref="AL29:AL47" si="7">((AF29+AH29)*$AF$11*1000+AJ29*AD29)/1000</f>
        <v>10779.543122061064</v>
      </c>
      <c r="AN29" s="154">
        <f>INDEX('(2.2)_Forward_Price_Curve'!$K:$K,MATCH($AB29,'(2.2)_Forward_Price_Curve'!$C:$C,0),1)</f>
        <v>3.0098541666666665</v>
      </c>
      <c r="AP29" s="154">
        <f>AN29*$AF$14/1000+$AJ$14</f>
        <v>19.771252730071787</v>
      </c>
      <c r="AR29" s="154">
        <f>AR28*(1+$E29)</f>
        <v>2.3915672595768243</v>
      </c>
      <c r="AS29" s="154"/>
      <c r="AT29" s="153">
        <f t="shared" si="3"/>
        <v>6501.9581939328691</v>
      </c>
      <c r="AV29" s="153">
        <f t="shared" si="4"/>
        <v>10698.161717795168</v>
      </c>
      <c r="AW29" s="273"/>
      <c r="AX29" s="155">
        <f t="shared" ref="AX29:AX47" si="8">AT29+AV29</f>
        <v>17200.119911728038</v>
      </c>
      <c r="AZ29" s="146">
        <f>+IF(AZ28&gt;$G$13+$G$14,XX,AZ28+1)</f>
        <v>2022</v>
      </c>
      <c r="BA29" s="117"/>
      <c r="BB29" s="154">
        <f>BB28*(1+$E29)</f>
        <v>67.519276646400002</v>
      </c>
      <c r="BD29" s="154">
        <f>BD28*(1+$E29)</f>
        <v>4.445962240000001</v>
      </c>
      <c r="BF29" s="153">
        <f t="shared" ref="BF29:BF47" si="9">(BB29+BD29)*$BD$11</f>
        <v>4277.5849281281953</v>
      </c>
      <c r="BH29" s="157"/>
    </row>
    <row r="30" spans="1:60" ht="12">
      <c r="B30" s="2"/>
      <c r="C30">
        <f>+IF(C29&gt;$G$13+$G$14,XX,C29+1)</f>
        <v>2023</v>
      </c>
      <c r="E30" s="169">
        <f>'(2.2)_Forward_Price_Curve'!T37</f>
        <v>2.4E-2</v>
      </c>
      <c r="G30" s="18">
        <v>482707.60321980069</v>
      </c>
      <c r="I30" s="28">
        <f t="shared" ref="I30:I47" si="10">I29*(1+$E30)</f>
        <v>0</v>
      </c>
      <c r="K30" s="28">
        <v>15.5</v>
      </c>
      <c r="M30" s="28">
        <f t="shared" ref="M30:M46" si="11">M29*(1+$E30)</f>
        <v>0</v>
      </c>
      <c r="O30" s="270">
        <f>'(2.2)_Forward_Price_Curve'!AC37</f>
        <v>1.2269144627008759</v>
      </c>
      <c r="Q30" s="28"/>
      <c r="S30" s="18">
        <f t="shared" si="5"/>
        <v>8074.2087895529594</v>
      </c>
      <c r="U30" s="18">
        <f t="shared" si="0"/>
        <v>18865.429988697593</v>
      </c>
      <c r="W30" s="18">
        <f t="shared" si="1"/>
        <v>-10791.221199144635</v>
      </c>
      <c r="Y30" s="271">
        <f t="shared" si="6"/>
        <v>-22.355606431645242</v>
      </c>
      <c r="Z30" s="235"/>
      <c r="AB30" s="146">
        <f>+IF(AB29&gt;$G$13+$G$14,XX,AB29+1)</f>
        <v>2023</v>
      </c>
      <c r="AC30" s="117"/>
      <c r="AD30" s="151">
        <f t="shared" si="2"/>
        <v>482707.60321980069</v>
      </c>
      <c r="AF30" s="154">
        <f t="shared" ref="AF30:AF47" si="12">AF29*(1+$E30)</f>
        <v>106.16702343734921</v>
      </c>
      <c r="AH30" s="154">
        <f t="shared" ref="AH30:AH47" si="13">AH29*(1+$E30)</f>
        <v>21.265716048000009</v>
      </c>
      <c r="AJ30" s="154">
        <f t="shared" ref="AJ30:AJ47" si="14">AJ29*(1+$E30)</f>
        <v>2.1702092494234257</v>
      </c>
      <c r="AL30" s="153">
        <f t="shared" si="7"/>
        <v>11038.252156990529</v>
      </c>
      <c r="AN30" s="154">
        <f>INDEX('(2.2)_Forward_Price_Curve'!$K:$K,MATCH($AB30,'(2.2)_Forward_Price_Curve'!$C:$C,0),1)</f>
        <v>3.4771000000000001</v>
      </c>
      <c r="AP30" s="154">
        <f>AN30*$AF$14/1000+$AJ$14*(1+E30)</f>
        <v>22.84051620476605</v>
      </c>
      <c r="AR30" s="154">
        <f t="shared" ref="AR30:AR47" si="15">AR29*(1+$E30)</f>
        <v>2.4489648738066681</v>
      </c>
      <c r="AS30" s="154"/>
      <c r="AT30" s="153">
        <f t="shared" si="3"/>
        <v>6658.0051905872569</v>
      </c>
      <c r="AV30" s="153">
        <f t="shared" si="4"/>
        <v>12207.424798110338</v>
      </c>
      <c r="AW30" s="273"/>
      <c r="AX30" s="155">
        <f t="shared" si="8"/>
        <v>18865.429988697593</v>
      </c>
      <c r="AZ30" s="146">
        <f>+IF(AZ29&gt;$G$13+$G$14,XX,AZ29+1)</f>
        <v>2023</v>
      </c>
      <c r="BA30" s="117"/>
      <c r="BB30" s="154">
        <f t="shared" ref="BB30:BB47" si="16">BB29*(1+$E30)</f>
        <v>69.139739285913606</v>
      </c>
      <c r="BD30" s="154">
        <f t="shared" ref="BD30:BD47" si="17">BD29*(1+$E30)</f>
        <v>4.5526653337600012</v>
      </c>
      <c r="BF30" s="153">
        <f t="shared" si="9"/>
        <v>4380.2469664032724</v>
      </c>
      <c r="BH30" s="157"/>
    </row>
    <row r="31" spans="1:60" ht="12">
      <c r="B31" s="2"/>
      <c r="C31">
        <f>+IF(C30&gt;$G$13+$G$14,XX,C30+1)</f>
        <v>2024</v>
      </c>
      <c r="E31" s="169">
        <f>'(2.2)_Forward_Price_Curve'!T38</f>
        <v>2.3E-2</v>
      </c>
      <c r="G31" s="18">
        <v>482707.60321980069</v>
      </c>
      <c r="I31" s="28">
        <f t="shared" si="10"/>
        <v>0</v>
      </c>
      <c r="K31" s="28">
        <v>15.5</v>
      </c>
      <c r="M31" s="28">
        <f t="shared" si="11"/>
        <v>0</v>
      </c>
      <c r="O31" s="270">
        <f>'(2.2)_Forward_Price_Curve'!AC38</f>
        <v>1.2554480395092353</v>
      </c>
      <c r="Q31" s="28"/>
      <c r="S31" s="18">
        <f t="shared" si="5"/>
        <v>8087.9821640254122</v>
      </c>
      <c r="U31" s="18">
        <f t="shared" si="0"/>
        <v>20557.23470705048</v>
      </c>
      <c r="W31" s="18">
        <f t="shared" si="1"/>
        <v>-12469.252543025068</v>
      </c>
      <c r="Y31" s="271">
        <f t="shared" si="6"/>
        <v>-25.831895872059011</v>
      </c>
      <c r="Z31" s="235"/>
      <c r="AB31" s="146">
        <f>+IF(AB30&gt;$G$13+$G$14,XX,AB30+1)</f>
        <v>2024</v>
      </c>
      <c r="AC31" s="117"/>
      <c r="AD31" s="151">
        <f t="shared" si="2"/>
        <v>482707.60321980069</v>
      </c>
      <c r="AF31" s="154">
        <f t="shared" si="12"/>
        <v>108.60886497640824</v>
      </c>
      <c r="AH31" s="154">
        <f t="shared" si="13"/>
        <v>21.754827517104008</v>
      </c>
      <c r="AJ31" s="154">
        <f t="shared" si="14"/>
        <v>2.2201240621601643</v>
      </c>
      <c r="AL31" s="153">
        <f t="shared" si="7"/>
        <v>11292.131956601312</v>
      </c>
      <c r="AN31" s="154">
        <f>INDEX('(2.2)_Forward_Price_Curve'!$K:$K,MATCH($AB31,'(2.2)_Forward_Price_Curve'!$C:$C,0),1)</f>
        <v>3.9537833333333325</v>
      </c>
      <c r="AP31" s="154">
        <f>AN31*$AF$14/1000+$AJ$14*(1+E31)</f>
        <v>25.971773114127839</v>
      </c>
      <c r="AR31" s="154">
        <f t="shared" si="15"/>
        <v>2.5052910659042213</v>
      </c>
      <c r="AS31" s="154"/>
      <c r="AT31" s="153">
        <f t="shared" si="3"/>
        <v>6811.1393099707648</v>
      </c>
      <c r="AV31" s="153">
        <f t="shared" si="4"/>
        <v>13746.095397079715</v>
      </c>
      <c r="AW31" s="273"/>
      <c r="AX31" s="155">
        <f t="shared" si="8"/>
        <v>20557.23470705048</v>
      </c>
      <c r="AZ31" s="146">
        <f>+IF(AZ30&gt;$G$13+$G$14,XX,AZ30+1)</f>
        <v>2024</v>
      </c>
      <c r="BA31" s="117"/>
      <c r="BB31" s="154">
        <f t="shared" si="16"/>
        <v>70.729953289489615</v>
      </c>
      <c r="BD31" s="154">
        <f t="shared" si="17"/>
        <v>4.6573766364364806</v>
      </c>
      <c r="BF31" s="153">
        <f t="shared" si="9"/>
        <v>4480.9926466305469</v>
      </c>
      <c r="BH31" s="157"/>
    </row>
    <row r="32" spans="1:60" ht="12">
      <c r="B32" s="2"/>
      <c r="C32">
        <f>+IF(C31&gt;$G$13+$G$14,XX,C31+1)</f>
        <v>2025</v>
      </c>
      <c r="E32" s="169">
        <f>'(2.2)_Forward_Price_Curve'!T39</f>
        <v>2.1999999999999999E-2</v>
      </c>
      <c r="G32" s="18">
        <v>482707.60321980069</v>
      </c>
      <c r="I32" s="28">
        <f t="shared" si="10"/>
        <v>0</v>
      </c>
      <c r="K32" s="28">
        <v>15.5</v>
      </c>
      <c r="M32" s="28">
        <f t="shared" si="11"/>
        <v>0</v>
      </c>
      <c r="O32" s="270">
        <f>'(2.2)_Forward_Price_Curve'!AC39</f>
        <v>1.2834505366016622</v>
      </c>
      <c r="Q32" s="28"/>
      <c r="S32" s="18">
        <f t="shared" si="5"/>
        <v>8101.4991822810671</v>
      </c>
      <c r="U32" s="18">
        <f t="shared" si="0"/>
        <v>21224.80671430751</v>
      </c>
      <c r="W32" s="18">
        <f t="shared" si="1"/>
        <v>-13123.307532026443</v>
      </c>
      <c r="Y32" s="271">
        <f t="shared" si="6"/>
        <v>-27.186867255643271</v>
      </c>
      <c r="Z32" s="235"/>
      <c r="AB32" s="146">
        <f>+IF(AB31&gt;$G$13+$G$14,XX,AB31+1)</f>
        <v>2025</v>
      </c>
      <c r="AC32" s="117"/>
      <c r="AD32" s="151">
        <f t="shared" si="2"/>
        <v>482707.60321980069</v>
      </c>
      <c r="AF32" s="154">
        <f t="shared" si="12"/>
        <v>110.99826000588922</v>
      </c>
      <c r="AH32" s="154">
        <f t="shared" si="13"/>
        <v>22.233433722480296</v>
      </c>
      <c r="AJ32" s="154">
        <f t="shared" si="14"/>
        <v>2.2689667915276881</v>
      </c>
      <c r="AL32" s="153">
        <f t="shared" si="7"/>
        <v>11540.558859646544</v>
      </c>
      <c r="AN32" s="154">
        <f>INDEX('(2.2)_Forward_Price_Curve'!$K:$K,MATCH($AB32,'(2.2)_Forward_Price_Curve'!$C:$C,0),1)</f>
        <v>4.1086708333333339</v>
      </c>
      <c r="AP32" s="154">
        <f t="shared" ref="AP32:AP47" si="18">AN32*$AF$14/1000+$AJ$14*(1+E32)</f>
        <v>26.989204437260831</v>
      </c>
      <c r="AR32" s="154">
        <f t="shared" si="15"/>
        <v>2.5604074693541143</v>
      </c>
      <c r="AS32" s="154"/>
      <c r="AT32" s="153">
        <f t="shared" si="3"/>
        <v>6960.984374790125</v>
      </c>
      <c r="AV32" s="153">
        <f t="shared" si="4"/>
        <v>14263.822339517385</v>
      </c>
      <c r="AW32" s="273"/>
      <c r="AX32" s="155">
        <f t="shared" si="8"/>
        <v>21224.80671430751</v>
      </c>
      <c r="AZ32" s="146">
        <f>+IF(AZ31&gt;$G$13+$G$14,XX,AZ31+1)</f>
        <v>2025</v>
      </c>
      <c r="BA32" s="117"/>
      <c r="BB32" s="154">
        <f t="shared" si="16"/>
        <v>72.286012261858389</v>
      </c>
      <c r="BD32" s="154">
        <f t="shared" si="17"/>
        <v>4.7598389224380835</v>
      </c>
      <c r="BF32" s="153">
        <f t="shared" si="9"/>
        <v>4579.5744848564191</v>
      </c>
      <c r="BH32" s="157"/>
    </row>
    <row r="33" spans="2:60" ht="12">
      <c r="B33" s="2"/>
      <c r="C33">
        <f>+IF(C32&gt;$G$13+$G$14,XX,C32+1)</f>
        <v>2026</v>
      </c>
      <c r="E33" s="169">
        <f>'(2.2)_Forward_Price_Curve'!T40</f>
        <v>2.1999999999999999E-2</v>
      </c>
      <c r="G33" s="18">
        <v>482707.60321980069</v>
      </c>
      <c r="I33" s="28">
        <f t="shared" si="10"/>
        <v>0</v>
      </c>
      <c r="K33" s="28">
        <v>15.5</v>
      </c>
      <c r="M33" s="28">
        <f t="shared" si="11"/>
        <v>0</v>
      </c>
      <c r="O33" s="270">
        <f>'(2.2)_Forward_Price_Curve'!AC40</f>
        <v>1.3117597482561225</v>
      </c>
      <c r="Q33" s="28"/>
      <c r="S33" s="18">
        <f t="shared" si="5"/>
        <v>8115.164253987833</v>
      </c>
      <c r="U33" s="18">
        <f t="shared" si="0"/>
        <v>21651.92179811938</v>
      </c>
      <c r="W33" s="18">
        <f t="shared" si="1"/>
        <v>-13536.757544131546</v>
      </c>
      <c r="Y33" s="271">
        <f t="shared" si="6"/>
        <v>-28.04338994007432</v>
      </c>
      <c r="Z33" s="235"/>
      <c r="AB33" s="146">
        <f>+IF(AB32&gt;$G$13+$G$14,XX,AB32+1)</f>
        <v>2026</v>
      </c>
      <c r="AC33" s="117"/>
      <c r="AD33" s="151">
        <f t="shared" si="2"/>
        <v>482707.60321980069</v>
      </c>
      <c r="AF33" s="154">
        <f t="shared" si="12"/>
        <v>113.44022172601879</v>
      </c>
      <c r="AH33" s="154">
        <f t="shared" si="13"/>
        <v>22.722569264374862</v>
      </c>
      <c r="AJ33" s="154">
        <f t="shared" si="14"/>
        <v>2.3188840609412971</v>
      </c>
      <c r="AL33" s="153">
        <f t="shared" si="7"/>
        <v>11794.451154558767</v>
      </c>
      <c r="AN33" s="154">
        <f>INDEX('(2.2)_Forward_Price_Curve'!$K:$K,MATCH($AB33,'(2.2)_Forward_Price_Curve'!$C:$C,0),1)</f>
        <v>4.1864999999999997</v>
      </c>
      <c r="AP33" s="154">
        <f t="shared" si="18"/>
        <v>27.500451839536701</v>
      </c>
      <c r="AR33" s="154">
        <f t="shared" si="15"/>
        <v>2.6167364336799048</v>
      </c>
      <c r="AS33" s="154"/>
      <c r="AT33" s="153">
        <f t="shared" si="3"/>
        <v>7114.1260310355065</v>
      </c>
      <c r="AV33" s="153">
        <f t="shared" si="4"/>
        <v>14537.795767083875</v>
      </c>
      <c r="AW33" s="273"/>
      <c r="AX33" s="155">
        <f t="shared" si="8"/>
        <v>21651.92179811938</v>
      </c>
      <c r="AZ33" s="146">
        <f>+IF(AZ32&gt;$G$13+$G$14,XX,AZ32+1)</f>
        <v>2026</v>
      </c>
      <c r="BA33" s="117"/>
      <c r="BB33" s="154">
        <f t="shared" si="16"/>
        <v>73.876304531619269</v>
      </c>
      <c r="BD33" s="154">
        <f t="shared" si="17"/>
        <v>4.8645553787317217</v>
      </c>
      <c r="BF33" s="153">
        <f t="shared" si="9"/>
        <v>4680.3251235232601</v>
      </c>
      <c r="BH33" s="157"/>
    </row>
    <row r="34" spans="2:60" ht="12">
      <c r="B34" s="2"/>
      <c r="C34">
        <f>+IF(C33&gt;$G$13+$G$14,XX,C33+1)</f>
        <v>2027</v>
      </c>
      <c r="E34" s="169">
        <f>'(2.2)_Forward_Price_Curve'!T41</f>
        <v>2.1999999999999999E-2</v>
      </c>
      <c r="G34" s="18">
        <v>482707.60321980069</v>
      </c>
      <c r="I34" s="28">
        <f t="shared" si="10"/>
        <v>0</v>
      </c>
      <c r="K34" s="28">
        <v>15.5</v>
      </c>
      <c r="M34" s="28">
        <f t="shared" si="11"/>
        <v>0</v>
      </c>
      <c r="O34" s="270">
        <f>'(2.2)_Forward_Price_Curve'!AC41</f>
        <v>1.3408534982838876</v>
      </c>
      <c r="Q34" s="28"/>
      <c r="S34" s="18">
        <f t="shared" si="5"/>
        <v>8129.2080283324112</v>
      </c>
      <c r="U34" s="18">
        <f t="shared" si="0"/>
        <v>22694.921410573348</v>
      </c>
      <c r="W34" s="18">
        <f t="shared" si="1"/>
        <v>-14565.713382240938</v>
      </c>
      <c r="Y34" s="271">
        <f t="shared" si="6"/>
        <v>-30.17502373089501</v>
      </c>
      <c r="Z34" s="235"/>
      <c r="AB34" s="146">
        <f>+IF(AB33&gt;$G$13+$G$14,XX,AB33+1)</f>
        <v>2027</v>
      </c>
      <c r="AC34" s="117"/>
      <c r="AD34" s="151">
        <f t="shared" si="2"/>
        <v>482707.60321980069</v>
      </c>
      <c r="AF34" s="154">
        <f t="shared" si="12"/>
        <v>115.93590660399121</v>
      </c>
      <c r="AH34" s="154">
        <f t="shared" si="13"/>
        <v>23.222465788191109</v>
      </c>
      <c r="AJ34" s="154">
        <f t="shared" si="14"/>
        <v>2.3698995102820057</v>
      </c>
      <c r="AL34" s="153">
        <f t="shared" si="7"/>
        <v>12053.92907995906</v>
      </c>
      <c r="AN34" s="154">
        <f>INDEX('(2.2)_Forward_Price_Curve'!$K:$K,MATCH($AB34,'(2.2)_Forward_Price_Curve'!$C:$C,0),1)</f>
        <v>4.4573125000000005</v>
      </c>
      <c r="AP34" s="154">
        <f t="shared" si="18"/>
        <v>29.279376027711681</v>
      </c>
      <c r="AR34" s="154">
        <f t="shared" si="15"/>
        <v>2.6743046352208628</v>
      </c>
      <c r="AS34" s="154"/>
      <c r="AT34" s="153">
        <f t="shared" si="3"/>
        <v>7270.6368037182883</v>
      </c>
      <c r="AV34" s="153">
        <f t="shared" si="4"/>
        <v>15424.284606855061</v>
      </c>
      <c r="AW34" s="273"/>
      <c r="AX34" s="155">
        <f t="shared" si="8"/>
        <v>22694.921410573348</v>
      </c>
      <c r="AZ34" s="146">
        <f>+IF(AZ33&gt;$G$13+$G$14,XX,AZ33+1)</f>
        <v>2027</v>
      </c>
      <c r="BA34" s="117"/>
      <c r="BB34" s="154">
        <f t="shared" si="16"/>
        <v>75.501583231314896</v>
      </c>
      <c r="BD34" s="154">
        <f t="shared" si="17"/>
        <v>4.9715755970638194</v>
      </c>
      <c r="BF34" s="153">
        <f t="shared" si="9"/>
        <v>4783.2922762407716</v>
      </c>
      <c r="BH34" s="157"/>
    </row>
    <row r="35" spans="2:60" ht="12">
      <c r="B35" s="2"/>
      <c r="C35">
        <f>+IF(C34&gt;$G$13+$G$14,XX,C34+1)</f>
        <v>2028</v>
      </c>
      <c r="E35" s="169">
        <f>'(2.2)_Forward_Price_Curve'!T42</f>
        <v>2.1999999999999999E-2</v>
      </c>
      <c r="G35" s="18">
        <v>482707.60321980069</v>
      </c>
      <c r="I35" s="28">
        <f t="shared" si="10"/>
        <v>0</v>
      </c>
      <c r="K35" s="28">
        <v>15.5</v>
      </c>
      <c r="M35" s="28">
        <f t="shared" si="11"/>
        <v>0</v>
      </c>
      <c r="O35" s="270">
        <f>'(2.2)_Forward_Price_Curve'!AC42</f>
        <v>1.3709529466223729</v>
      </c>
      <c r="Q35" s="28"/>
      <c r="S35" s="18">
        <f t="shared" si="5"/>
        <v>8143.7372608981204</v>
      </c>
      <c r="U35" s="18">
        <f t="shared" si="0"/>
        <v>23378.849586581455</v>
      </c>
      <c r="W35" s="18">
        <f t="shared" si="1"/>
        <v>-15235.112325683334</v>
      </c>
      <c r="Y35" s="271">
        <f t="shared" si="6"/>
        <v>-31.561782379354884</v>
      </c>
      <c r="Z35" s="235"/>
      <c r="AB35" s="146">
        <f>+IF(AB34&gt;$G$13+$G$14,XX,AB34+1)</f>
        <v>2028</v>
      </c>
      <c r="AC35" s="117"/>
      <c r="AD35" s="151">
        <f t="shared" si="2"/>
        <v>482707.60321980069</v>
      </c>
      <c r="AF35" s="154">
        <f t="shared" si="12"/>
        <v>118.48649654927902</v>
      </c>
      <c r="AH35" s="154">
        <f t="shared" si="13"/>
        <v>23.733360035531312</v>
      </c>
      <c r="AJ35" s="154">
        <f t="shared" si="14"/>
        <v>2.4220372995082098</v>
      </c>
      <c r="AL35" s="153">
        <f t="shared" si="7"/>
        <v>12319.11551971816</v>
      </c>
      <c r="AN35" s="154">
        <f>INDEX('(2.2)_Forward_Price_Curve'!$K:$K,MATCH($AB35,'(2.2)_Forward_Price_Curve'!$C:$C,0),1)</f>
        <v>4.6136041666666676</v>
      </c>
      <c r="AP35" s="154">
        <f t="shared" si="18"/>
        <v>30.30603109807776</v>
      </c>
      <c r="AR35" s="154">
        <f t="shared" si="15"/>
        <v>2.733139337195722</v>
      </c>
      <c r="AS35" s="154"/>
      <c r="AT35" s="153">
        <f t="shared" si="3"/>
        <v>7430.5908134000911</v>
      </c>
      <c r="AV35" s="153">
        <f t="shared" si="4"/>
        <v>15948.258773181362</v>
      </c>
      <c r="AW35" s="273"/>
      <c r="AX35" s="155">
        <f t="shared" si="8"/>
        <v>23378.849586581455</v>
      </c>
      <c r="AZ35" s="146">
        <f>+IF(AZ34&gt;$G$13+$G$14,XX,AZ34+1)</f>
        <v>2028</v>
      </c>
      <c r="BA35" s="117"/>
      <c r="BB35" s="154">
        <f t="shared" si="16"/>
        <v>77.162618062403823</v>
      </c>
      <c r="BD35" s="154">
        <f t="shared" si="17"/>
        <v>5.0809502601992236</v>
      </c>
      <c r="BF35" s="153">
        <f t="shared" si="9"/>
        <v>4888.5247063180686</v>
      </c>
      <c r="BH35" s="157"/>
    </row>
    <row r="36" spans="2:60" ht="12">
      <c r="B36" s="2"/>
      <c r="C36">
        <f>+IF(C35&gt;$G$13+$G$14,XX,C35+1)</f>
        <v>2029</v>
      </c>
      <c r="E36" s="169">
        <f>'(2.2)_Forward_Price_Curve'!T43</f>
        <v>2.1999999999999999E-2</v>
      </c>
      <c r="G36" s="18">
        <v>482707.60321980069</v>
      </c>
      <c r="I36" s="28">
        <f t="shared" si="10"/>
        <v>0</v>
      </c>
      <c r="K36" s="28">
        <v>15.5</v>
      </c>
      <c r="M36" s="28">
        <f t="shared" si="11"/>
        <v>0</v>
      </c>
      <c r="O36" s="270">
        <f>'(2.2)_Forward_Price_Curve'!AC43</f>
        <v>1.4021626326399876</v>
      </c>
      <c r="Q36" s="28"/>
      <c r="S36" s="18">
        <f t="shared" si="5"/>
        <v>8158.8024136329259</v>
      </c>
      <c r="U36" s="18">
        <f t="shared" si="0"/>
        <v>24017.047046105159</v>
      </c>
      <c r="W36" s="18">
        <f t="shared" si="1"/>
        <v>-15858.244632472233</v>
      </c>
      <c r="Y36" s="271">
        <f t="shared" si="6"/>
        <v>-32.852692865604581</v>
      </c>
      <c r="Z36" s="235"/>
      <c r="AB36" s="146">
        <f>+IF(AB35&gt;$G$13+$G$14,XX,AB35+1)</f>
        <v>2029</v>
      </c>
      <c r="AC36" s="117"/>
      <c r="AD36" s="151">
        <f t="shared" si="2"/>
        <v>482707.60321980069</v>
      </c>
      <c r="AF36" s="154">
        <f t="shared" si="12"/>
        <v>121.09319947336317</v>
      </c>
      <c r="AH36" s="154">
        <f t="shared" si="13"/>
        <v>24.255493956313003</v>
      </c>
      <c r="AJ36" s="154">
        <f t="shared" si="14"/>
        <v>2.4753221200973905</v>
      </c>
      <c r="AL36" s="153">
        <f t="shared" si="7"/>
        <v>12590.136061151961</v>
      </c>
      <c r="AN36" s="154">
        <f>INDEX('(2.2)_Forward_Price_Curve'!$K:$K,MATCH($AB36,'(2.2)_Forward_Price_Curve'!$C:$C,0),1)</f>
        <v>4.7541666666666673</v>
      </c>
      <c r="AP36" s="154">
        <f t="shared" si="18"/>
        <v>31.229363777331283</v>
      </c>
      <c r="AR36" s="154">
        <f t="shared" si="15"/>
        <v>2.7932684026140278</v>
      </c>
      <c r="AS36" s="154"/>
      <c r="AT36" s="153">
        <f t="shared" si="3"/>
        <v>7594.0638112948945</v>
      </c>
      <c r="AV36" s="153">
        <f t="shared" si="4"/>
        <v>16422.983234810265</v>
      </c>
      <c r="AW36" s="273"/>
      <c r="AX36" s="155">
        <f t="shared" si="8"/>
        <v>24017.047046105159</v>
      </c>
      <c r="AZ36" s="146">
        <f>+IF(AZ35&gt;$G$13+$G$14,XX,AZ35+1)</f>
        <v>2029</v>
      </c>
      <c r="BA36" s="117"/>
      <c r="BB36" s="154">
        <f t="shared" si="16"/>
        <v>78.860195659776707</v>
      </c>
      <c r="BD36" s="154">
        <f t="shared" si="17"/>
        <v>5.1927311659236066</v>
      </c>
      <c r="BF36" s="153">
        <f t="shared" si="9"/>
        <v>4996.0722498570667</v>
      </c>
      <c r="BH36" s="157"/>
    </row>
    <row r="37" spans="2:60" ht="12">
      <c r="B37" s="2"/>
      <c r="C37">
        <f>+IF(C36&gt;$G$13+$G$14,XX,C36+1)</f>
        <v>2030</v>
      </c>
      <c r="E37" s="169">
        <f>'(2.2)_Forward_Price_Curve'!T44</f>
        <v>2.1999999999999999E-2</v>
      </c>
      <c r="G37" s="18">
        <v>482707.60321980069</v>
      </c>
      <c r="I37" s="28">
        <f t="shared" si="10"/>
        <v>0</v>
      </c>
      <c r="K37" s="28">
        <v>15.5</v>
      </c>
      <c r="M37" s="28">
        <f t="shared" si="11"/>
        <v>0</v>
      </c>
      <c r="O37" s="270">
        <f>'(2.2)_Forward_Price_Curve'!AC44</f>
        <v>1.4335840474923813</v>
      </c>
      <c r="Q37" s="28"/>
      <c r="S37" s="18">
        <f t="shared" si="5"/>
        <v>8173.9697694860988</v>
      </c>
      <c r="U37" s="18">
        <f t="shared" si="0"/>
        <v>25159.836332234121</v>
      </c>
      <c r="W37" s="18">
        <f t="shared" si="1"/>
        <v>-16985.866562748022</v>
      </c>
      <c r="Y37" s="271">
        <f t="shared" si="6"/>
        <v>-35.188728019710759</v>
      </c>
      <c r="Z37" s="235"/>
      <c r="AB37" s="146">
        <f>+IF(AB36&gt;$G$13+$G$14,XX,AB36+1)</f>
        <v>2030</v>
      </c>
      <c r="AC37" s="117"/>
      <c r="AD37" s="151">
        <f t="shared" si="2"/>
        <v>482707.60321980069</v>
      </c>
      <c r="AF37" s="154">
        <f t="shared" si="12"/>
        <v>123.75724986177717</v>
      </c>
      <c r="AH37" s="154">
        <f t="shared" si="13"/>
        <v>24.789114823351891</v>
      </c>
      <c r="AJ37" s="154">
        <f t="shared" si="14"/>
        <v>2.529779206739533</v>
      </c>
      <c r="AL37" s="153">
        <f t="shared" si="7"/>
        <v>12867.119054497303</v>
      </c>
      <c r="AN37" s="154">
        <f>INDEX('(2.2)_Forward_Price_Curve'!$K:$K,MATCH($AB37,'(2.2)_Forward_Price_Curve'!$C:$C,0),1)</f>
        <v>5.052529166666667</v>
      </c>
      <c r="AP37" s="154">
        <f t="shared" si="18"/>
        <v>33.189259528429758</v>
      </c>
      <c r="AR37" s="154">
        <f t="shared" si="15"/>
        <v>2.8547203074715366</v>
      </c>
      <c r="AS37" s="154"/>
      <c r="AT37" s="153">
        <f t="shared" si="3"/>
        <v>7761.1332151433808</v>
      </c>
      <c r="AV37" s="153">
        <f t="shared" si="4"/>
        <v>17398.703117090739</v>
      </c>
      <c r="AW37" s="273"/>
      <c r="AX37" s="155">
        <f t="shared" si="8"/>
        <v>25159.836332234121</v>
      </c>
      <c r="AZ37" s="146">
        <f>+IF(AZ36&gt;$G$13+$G$14,XX,AZ36+1)</f>
        <v>2030</v>
      </c>
      <c r="BA37" s="117"/>
      <c r="BB37" s="154">
        <f t="shared" si="16"/>
        <v>80.595119964291797</v>
      </c>
      <c r="BD37" s="154">
        <f t="shared" si="17"/>
        <v>5.306971251573926</v>
      </c>
      <c r="BF37" s="153">
        <f t="shared" si="9"/>
        <v>5105.9858393539225</v>
      </c>
      <c r="BH37" s="157"/>
    </row>
    <row r="38" spans="2:60" ht="12">
      <c r="B38" s="2"/>
      <c r="C38">
        <f>+IF(C37&gt;$G$13+$G$14,XX,C37+1)</f>
        <v>2031</v>
      </c>
      <c r="E38" s="169">
        <f>'(2.2)_Forward_Price_Curve'!T45</f>
        <v>2.1999999999999999E-2</v>
      </c>
      <c r="G38" s="18">
        <v>482707.60321980069</v>
      </c>
      <c r="I38" s="28">
        <f t="shared" si="10"/>
        <v>0</v>
      </c>
      <c r="K38" s="28">
        <v>15.5</v>
      </c>
      <c r="M38" s="28">
        <f t="shared" si="11"/>
        <v>0</v>
      </c>
      <c r="O38" s="270">
        <f>'(2.2)_Forward_Price_Curve'!AC45</f>
        <v>1.4649463685254571</v>
      </c>
      <c r="Q38" s="28"/>
      <c r="S38" s="18">
        <f t="shared" si="5"/>
        <v>8189.1086003033843</v>
      </c>
      <c r="U38" s="18">
        <f t="shared" si="0"/>
        <v>25796.41057250903</v>
      </c>
      <c r="W38" s="18">
        <f t="shared" si="1"/>
        <v>-17607.301972205645</v>
      </c>
      <c r="Y38" s="271">
        <f t="shared" si="6"/>
        <v>-36.4761231328444</v>
      </c>
      <c r="Z38" s="235"/>
      <c r="AB38" s="146">
        <f>+IF(AB37&gt;$G$13+$G$14,XX,AB37+1)</f>
        <v>2031</v>
      </c>
      <c r="AC38" s="117"/>
      <c r="AD38" s="151">
        <f t="shared" si="2"/>
        <v>482707.60321980069</v>
      </c>
      <c r="AF38" s="154">
        <f t="shared" si="12"/>
        <v>126.47990935873626</v>
      </c>
      <c r="AH38" s="154">
        <f t="shared" si="13"/>
        <v>25.334475349465635</v>
      </c>
      <c r="AJ38" s="154">
        <f t="shared" si="14"/>
        <v>2.5854343492878029</v>
      </c>
      <c r="AL38" s="153">
        <f t="shared" si="7"/>
        <v>13150.195673696242</v>
      </c>
      <c r="AN38" s="154">
        <f>INDEX('(2.2)_Forward_Price_Curve'!$K:$K,MATCH($AB38,'(2.2)_Forward_Price_Curve'!$C:$C,0),1)</f>
        <v>5.1898791666666666</v>
      </c>
      <c r="AP38" s="154">
        <f t="shared" si="18"/>
        <v>34.091489806743468</v>
      </c>
      <c r="AR38" s="154">
        <f t="shared" si="15"/>
        <v>2.9175241542359105</v>
      </c>
      <c r="AS38" s="154"/>
      <c r="AT38" s="153">
        <f t="shared" si="3"/>
        <v>7931.8781458765334</v>
      </c>
      <c r="AV38" s="153">
        <f t="shared" si="4"/>
        <v>17864.532426632497</v>
      </c>
      <c r="AW38" s="273"/>
      <c r="AX38" s="155">
        <f t="shared" si="8"/>
        <v>25796.41057250903</v>
      </c>
      <c r="AZ38" s="146">
        <f>+IF(AZ37&gt;$G$13+$G$14,XX,AZ37+1)</f>
        <v>2031</v>
      </c>
      <c r="BA38" s="117"/>
      <c r="BB38" s="154">
        <f t="shared" si="16"/>
        <v>82.368212603506223</v>
      </c>
      <c r="BD38" s="154">
        <f t="shared" si="17"/>
        <v>5.4237246191085529</v>
      </c>
      <c r="BF38" s="153">
        <f t="shared" si="9"/>
        <v>5218.3175278197086</v>
      </c>
      <c r="BH38" s="157"/>
    </row>
    <row r="39" spans="2:60" ht="12">
      <c r="B39" s="2"/>
      <c r="C39">
        <f>+IF(C38&gt;$G$13+$G$14,XX,C38+1)</f>
        <v>2032</v>
      </c>
      <c r="E39" s="169">
        <f>'(2.2)_Forward_Price_Curve'!T46</f>
        <v>2.1000000000000001E-2</v>
      </c>
      <c r="G39" s="18">
        <v>482707.60321980069</v>
      </c>
      <c r="I39" s="28">
        <f t="shared" si="10"/>
        <v>0</v>
      </c>
      <c r="K39" s="28">
        <v>15.5</v>
      </c>
      <c r="M39" s="28">
        <f t="shared" si="11"/>
        <v>0</v>
      </c>
      <c r="O39" s="270">
        <f>'(2.2)_Forward_Price_Curve'!AC46</f>
        <v>1.4965465421812867</v>
      </c>
      <c r="Q39" s="28"/>
      <c r="S39" s="18">
        <f t="shared" si="5"/>
        <v>8204.3622443901186</v>
      </c>
      <c r="U39" s="18">
        <f t="shared" si="0"/>
        <v>26445.375405391325</v>
      </c>
      <c r="W39" s="18">
        <f t="shared" si="1"/>
        <v>-18241.013161001207</v>
      </c>
      <c r="Y39" s="271">
        <f t="shared" si="6"/>
        <v>-37.788949333568233</v>
      </c>
      <c r="Z39" s="235"/>
      <c r="AB39" s="146">
        <f>+IF(AB38&gt;$G$13+$G$14,XX,AB38+1)</f>
        <v>2032</v>
      </c>
      <c r="AC39" s="117"/>
      <c r="AD39" s="151">
        <f t="shared" si="2"/>
        <v>482707.60321980069</v>
      </c>
      <c r="AF39" s="154">
        <f t="shared" si="12"/>
        <v>129.13598745526971</v>
      </c>
      <c r="AH39" s="154">
        <f t="shared" si="13"/>
        <v>25.866499331804409</v>
      </c>
      <c r="AJ39" s="154">
        <f t="shared" si="14"/>
        <v>2.6397284706228463</v>
      </c>
      <c r="AL39" s="153">
        <f t="shared" si="7"/>
        <v>13426.349782843865</v>
      </c>
      <c r="AN39" s="154">
        <f>INDEX('(2.2)_Forward_Price_Curve'!$K:$K,MATCH($AB39,'(2.2)_Forward_Price_Curve'!$C:$C,0),1)</f>
        <v>5.3326874999999996</v>
      </c>
      <c r="AP39" s="154">
        <f t="shared" si="18"/>
        <v>35.029575007535975</v>
      </c>
      <c r="AR39" s="154">
        <f t="shared" si="15"/>
        <v>2.9787921614748645</v>
      </c>
      <c r="AS39" s="154"/>
      <c r="AT39" s="153">
        <f t="shared" si="3"/>
        <v>8098.447586939943</v>
      </c>
      <c r="AV39" s="153">
        <f t="shared" si="4"/>
        <v>18346.927818451382</v>
      </c>
      <c r="AW39" s="273"/>
      <c r="AX39" s="155">
        <f t="shared" si="8"/>
        <v>26445.375405391325</v>
      </c>
      <c r="AZ39" s="146">
        <f>+IF(AZ38&gt;$G$13+$G$14,XX,AZ38+1)</f>
        <v>2032</v>
      </c>
      <c r="BA39" s="117"/>
      <c r="BB39" s="154">
        <f t="shared" si="16"/>
        <v>84.09794506817984</v>
      </c>
      <c r="BD39" s="154">
        <f t="shared" si="17"/>
        <v>5.5376228361098319</v>
      </c>
      <c r="BF39" s="153">
        <f t="shared" si="9"/>
        <v>5327.9021959039219</v>
      </c>
      <c r="BH39" s="157"/>
    </row>
    <row r="40" spans="2:60" ht="12">
      <c r="B40" s="2"/>
      <c r="C40">
        <f>+IF(C39&gt;$G$13+$G$14,XX,C39+1)</f>
        <v>2033</v>
      </c>
      <c r="E40" s="169">
        <f>'(2.2)_Forward_Price_Curve'!T47</f>
        <v>2.1000000000000001E-2</v>
      </c>
      <c r="G40" s="18">
        <v>482707.60321980069</v>
      </c>
      <c r="I40" s="28">
        <f t="shared" si="10"/>
        <v>0</v>
      </c>
      <c r="K40" s="28">
        <v>15.5</v>
      </c>
      <c r="M40" s="28">
        <f t="shared" si="11"/>
        <v>0</v>
      </c>
      <c r="O40" s="270">
        <f>'(2.2)_Forward_Price_Curve'!AC47</f>
        <v>1.5286401492284176</v>
      </c>
      <c r="Q40" s="28"/>
      <c r="S40" s="18">
        <f t="shared" si="5"/>
        <v>8219.8540725265193</v>
      </c>
      <c r="U40" s="18">
        <f t="shared" si="0"/>
        <v>27229.559844757459</v>
      </c>
      <c r="W40" s="18">
        <f t="shared" si="1"/>
        <v>-19009.70577223094</v>
      </c>
      <c r="Y40" s="271">
        <f t="shared" si="6"/>
        <v>-39.38140946078051</v>
      </c>
      <c r="Z40" s="235"/>
      <c r="AB40" s="146">
        <f>+IF(AB39&gt;$G$13+$G$14,XX,AB39+1)</f>
        <v>2033</v>
      </c>
      <c r="AC40" s="117"/>
      <c r="AD40" s="151">
        <f t="shared" si="2"/>
        <v>482707.60321980069</v>
      </c>
      <c r="AF40" s="154">
        <f t="shared" si="12"/>
        <v>131.84784319183038</v>
      </c>
      <c r="AH40" s="154">
        <f t="shared" si="13"/>
        <v>26.409695817772299</v>
      </c>
      <c r="AJ40" s="154">
        <f t="shared" si="14"/>
        <v>2.6951627685059258</v>
      </c>
      <c r="AL40" s="153">
        <f t="shared" si="7"/>
        <v>13708.303128283585</v>
      </c>
      <c r="AN40" s="154">
        <f>INDEX('(2.2)_Forward_Price_Curve'!$K:$K,MATCH($AB40,'(2.2)_Forward_Price_Curve'!$C:$C,0),1)</f>
        <v>5.5168416666666671</v>
      </c>
      <c r="AP40" s="154">
        <f t="shared" si="18"/>
        <v>36.239254403562896</v>
      </c>
      <c r="AR40" s="154">
        <f t="shared" si="15"/>
        <v>3.0413467968658363</v>
      </c>
      <c r="AS40" s="154"/>
      <c r="AT40" s="153">
        <f t="shared" si="3"/>
        <v>8268.5149862656817</v>
      </c>
      <c r="AV40" s="153">
        <f t="shared" si="4"/>
        <v>18961.044858491779</v>
      </c>
      <c r="AW40" s="273"/>
      <c r="AX40" s="155">
        <f t="shared" si="8"/>
        <v>27229.559844757459</v>
      </c>
      <c r="AZ40" s="146">
        <f>+IF(AZ39&gt;$G$13+$G$14,XX,AZ39+1)</f>
        <v>2033</v>
      </c>
      <c r="BA40" s="117"/>
      <c r="BB40" s="154">
        <f t="shared" si="16"/>
        <v>85.864001914611606</v>
      </c>
      <c r="BD40" s="154">
        <f t="shared" si="17"/>
        <v>5.6539129156681378</v>
      </c>
      <c r="BF40" s="153">
        <f t="shared" si="9"/>
        <v>5439.7881420179037</v>
      </c>
      <c r="BH40" s="157"/>
    </row>
    <row r="41" spans="2:60" ht="12">
      <c r="B41" s="2"/>
      <c r="C41">
        <f>+IF(C40&gt;$G$13+$G$14,XX,C40+1)</f>
        <v>2034</v>
      </c>
      <c r="E41" s="169">
        <f>'(2.2)_Forward_Price_Curve'!T48</f>
        <v>2.1000000000000001E-2</v>
      </c>
      <c r="G41" s="18">
        <v>482707.60321980069</v>
      </c>
      <c r="I41" s="28">
        <f t="shared" si="10"/>
        <v>0</v>
      </c>
      <c r="K41" s="28">
        <v>15.5</v>
      </c>
      <c r="M41" s="28">
        <f t="shared" si="11"/>
        <v>0</v>
      </c>
      <c r="O41" s="270">
        <f>'(2.2)_Forward_Price_Curve'!AC48</f>
        <v>1.5607569013547813</v>
      </c>
      <c r="Q41" s="28"/>
      <c r="S41" s="18">
        <f t="shared" si="5"/>
        <v>8235.3570729686398</v>
      </c>
      <c r="U41" s="18">
        <f t="shared" si="0"/>
        <v>27977.680273957441</v>
      </c>
      <c r="W41" s="18">
        <f t="shared" si="1"/>
        <v>-19742.323200988802</v>
      </c>
      <c r="Y41" s="271">
        <f t="shared" si="6"/>
        <v>-40.899134526371121</v>
      </c>
      <c r="Z41" s="235"/>
      <c r="AB41" s="146">
        <f>+IF(AB40&gt;$G$13+$G$14,XX,AB40+1)</f>
        <v>2034</v>
      </c>
      <c r="AC41" s="117"/>
      <c r="AD41" s="151">
        <f t="shared" si="2"/>
        <v>482707.60321980069</v>
      </c>
      <c r="AF41" s="154">
        <f t="shared" si="12"/>
        <v>134.61664789885882</v>
      </c>
      <c r="AH41" s="154">
        <f t="shared" si="13"/>
        <v>26.964299429945516</v>
      </c>
      <c r="AJ41" s="154">
        <f t="shared" si="14"/>
        <v>2.7517611866445502</v>
      </c>
      <c r="AL41" s="153">
        <f t="shared" si="7"/>
        <v>13996.177493977541</v>
      </c>
      <c r="AN41" s="154">
        <f>INDEX('(2.2)_Forward_Price_Curve'!$K:$K,MATCH($AB41,'(2.2)_Forward_Price_Curve'!$C:$C,0),1)</f>
        <v>5.688295833333334</v>
      </c>
      <c r="AP41" s="154">
        <f t="shared" si="18"/>
        <v>37.365509521944496</v>
      </c>
      <c r="AR41" s="154">
        <f t="shared" si="15"/>
        <v>3.1052150796000184</v>
      </c>
      <c r="AS41" s="154"/>
      <c r="AT41" s="153">
        <f t="shared" si="3"/>
        <v>8442.153800977263</v>
      </c>
      <c r="AV41" s="153">
        <f t="shared" si="4"/>
        <v>19535.526472980178</v>
      </c>
      <c r="AW41" s="273"/>
      <c r="AX41" s="155">
        <f t="shared" si="8"/>
        <v>27977.680273957441</v>
      </c>
      <c r="AZ41" s="146">
        <f>+IF(AZ40&gt;$G$13+$G$14,XX,AZ40+1)</f>
        <v>2034</v>
      </c>
      <c r="BA41" s="117"/>
      <c r="BB41" s="154">
        <f t="shared" si="16"/>
        <v>87.667145954818437</v>
      </c>
      <c r="BD41" s="154">
        <f t="shared" si="17"/>
        <v>5.7726450868971684</v>
      </c>
      <c r="BF41" s="153">
        <f t="shared" si="9"/>
        <v>5554.0236930002784</v>
      </c>
      <c r="BH41" s="157"/>
    </row>
    <row r="42" spans="2:60" ht="12">
      <c r="B42" s="2"/>
      <c r="C42">
        <f>+IF(C41&gt;$G$13+$G$14,XX,C41+1)</f>
        <v>2035</v>
      </c>
      <c r="E42" s="169">
        <f>'(2.2)_Forward_Price_Curve'!T49</f>
        <v>2.1000000000000001E-2</v>
      </c>
      <c r="G42" s="18">
        <v>482707.60321980069</v>
      </c>
      <c r="I42" s="28">
        <f t="shared" si="10"/>
        <v>0</v>
      </c>
      <c r="K42" s="28">
        <v>15.5</v>
      </c>
      <c r="M42" s="28">
        <f t="shared" si="11"/>
        <v>0</v>
      </c>
      <c r="O42" s="270">
        <f>'(2.2)_Forward_Price_Curve'!AC49</f>
        <v>1.5935251628391218</v>
      </c>
      <c r="Q42" s="28"/>
      <c r="S42" s="18">
        <f t="shared" si="5"/>
        <v>8251.1745619314261</v>
      </c>
      <c r="U42" s="18">
        <f t="shared" si="0"/>
        <v>28686.495638125241</v>
      </c>
      <c r="W42" s="18">
        <f t="shared" si="1"/>
        <v>-20435.321076193817</v>
      </c>
      <c r="Y42" s="271">
        <f t="shared" si="6"/>
        <v>-42.334781842847008</v>
      </c>
      <c r="Z42" s="235"/>
      <c r="AB42" s="146">
        <f>+IF(AB41&gt;$G$13+$G$14,XX,AB41+1)</f>
        <v>2035</v>
      </c>
      <c r="AC42" s="117"/>
      <c r="AD42" s="151">
        <f t="shared" si="2"/>
        <v>482707.60321980069</v>
      </c>
      <c r="AF42" s="154">
        <f t="shared" si="12"/>
        <v>137.44359750473484</v>
      </c>
      <c r="AH42" s="154">
        <f t="shared" si="13"/>
        <v>27.53054971797437</v>
      </c>
      <c r="AJ42" s="154">
        <f t="shared" si="14"/>
        <v>2.8095481715640855</v>
      </c>
      <c r="AL42" s="153">
        <f t="shared" si="7"/>
        <v>14290.097221351067</v>
      </c>
      <c r="AN42" s="154">
        <f>INDEX('(2.2)_Forward_Price_Curve'!$K:$K,MATCH($AB42,'(2.2)_Forward_Price_Curve'!$C:$C,0),1)</f>
        <v>5.846000000000001</v>
      </c>
      <c r="AP42" s="154">
        <f t="shared" si="18"/>
        <v>38.401443079883336</v>
      </c>
      <c r="AR42" s="154">
        <f t="shared" si="15"/>
        <v>3.1704245962716184</v>
      </c>
      <c r="AS42" s="154"/>
      <c r="AT42" s="153">
        <f t="shared" si="3"/>
        <v>8619.4390307977828</v>
      </c>
      <c r="AV42" s="153">
        <f t="shared" si="4"/>
        <v>20067.05660732746</v>
      </c>
      <c r="AW42" s="273"/>
      <c r="AX42" s="155">
        <f t="shared" si="8"/>
        <v>28686.495638125241</v>
      </c>
      <c r="AZ42" s="146">
        <f>+IF(AZ41&gt;$G$13+$G$14,XX,AZ41+1)</f>
        <v>2035</v>
      </c>
      <c r="BA42" s="117"/>
      <c r="BB42" s="154">
        <f t="shared" si="16"/>
        <v>89.508156019869617</v>
      </c>
      <c r="BD42" s="154">
        <f t="shared" si="17"/>
        <v>5.8938706337220088</v>
      </c>
      <c r="BF42" s="153">
        <f t="shared" si="9"/>
        <v>5670.6581905532839</v>
      </c>
      <c r="BH42" s="157"/>
    </row>
    <row r="43" spans="2:60" ht="12">
      <c r="B43" s="2"/>
      <c r="C43">
        <f>+IF(C42&gt;$G$13+$G$14,XX,C42+1)</f>
        <v>2036</v>
      </c>
      <c r="E43" s="169">
        <f>'(2.2)_Forward_Price_Curve'!T50</f>
        <v>2.1000000000000001E-2</v>
      </c>
      <c r="G43" s="18">
        <v>482707.60321980069</v>
      </c>
      <c r="I43" s="28">
        <f t="shared" si="10"/>
        <v>0</v>
      </c>
      <c r="K43" s="28">
        <v>15.5</v>
      </c>
      <c r="M43" s="28">
        <f t="shared" si="11"/>
        <v>0</v>
      </c>
      <c r="O43" s="270">
        <f>'(2.2)_Forward_Price_Curve'!AC50</f>
        <v>1.6267336732773778</v>
      </c>
      <c r="Q43" s="28"/>
      <c r="S43" s="18">
        <f t="shared" si="5"/>
        <v>8267.2045624115763</v>
      </c>
      <c r="U43" s="18">
        <f t="shared" si="0"/>
        <v>29615.469951075516</v>
      </c>
      <c r="W43" s="18">
        <f t="shared" si="1"/>
        <v>-21348.265388663938</v>
      </c>
      <c r="Y43" s="271">
        <f t="shared" si="6"/>
        <v>-44.226080646471637</v>
      </c>
      <c r="Z43" s="235"/>
      <c r="AB43" s="146">
        <f>+IF(AB42&gt;$G$13+$G$14,XX,AB42+1)</f>
        <v>2036</v>
      </c>
      <c r="AC43" s="117"/>
      <c r="AD43" s="151">
        <f t="shared" si="2"/>
        <v>482707.60321980069</v>
      </c>
      <c r="AF43" s="154">
        <f t="shared" si="12"/>
        <v>140.32991305233426</v>
      </c>
      <c r="AH43" s="154">
        <f t="shared" si="13"/>
        <v>28.108691262051831</v>
      </c>
      <c r="AJ43" s="154">
        <f t="shared" si="14"/>
        <v>2.8685486831669311</v>
      </c>
      <c r="AL43" s="153">
        <f t="shared" si="7"/>
        <v>14590.189262999438</v>
      </c>
      <c r="AN43" s="154">
        <f>INDEX('(2.2)_Forward_Price_Curve'!$K:$K,MATCH($AB43,'(2.2)_Forward_Price_Curve'!$C:$C,0),1)</f>
        <v>6.0717541666666675</v>
      </c>
      <c r="AP43" s="154">
        <f t="shared" si="18"/>
        <v>39.88438625150436</v>
      </c>
      <c r="AR43" s="154">
        <f t="shared" si="15"/>
        <v>3.2370035127933221</v>
      </c>
      <c r="AS43" s="154"/>
      <c r="AT43" s="153">
        <f t="shared" si="3"/>
        <v>8800.4472504445348</v>
      </c>
      <c r="AV43" s="153">
        <f t="shared" si="4"/>
        <v>20815.02270063098</v>
      </c>
      <c r="AW43" s="273"/>
      <c r="AX43" s="155">
        <f t="shared" si="8"/>
        <v>29615.469951075516</v>
      </c>
      <c r="AZ43" s="146">
        <f>+IF(AZ42&gt;$G$13+$G$14,XX,AZ42+1)</f>
        <v>2036</v>
      </c>
      <c r="BA43" s="117"/>
      <c r="BB43" s="154">
        <f t="shared" si="16"/>
        <v>91.387827296286872</v>
      </c>
      <c r="BD43" s="154">
        <f t="shared" si="17"/>
        <v>6.0176419170301703</v>
      </c>
      <c r="BF43" s="153">
        <f t="shared" si="9"/>
        <v>5789.7420125549033</v>
      </c>
      <c r="BH43" s="157"/>
    </row>
    <row r="44" spans="2:60" ht="12">
      <c r="B44" s="2"/>
      <c r="C44">
        <f>+IF(C43&gt;$G$13+$G$14,XX,C43+1)</f>
        <v>2037</v>
      </c>
      <c r="E44" s="169">
        <f>'(2.2)_Forward_Price_Curve'!T51</f>
        <v>2.1000000000000001E-2</v>
      </c>
      <c r="G44" s="18">
        <v>482707.60321980069</v>
      </c>
      <c r="I44" s="28">
        <f t="shared" si="10"/>
        <v>0</v>
      </c>
      <c r="K44" s="28">
        <v>15.5</v>
      </c>
      <c r="M44" s="28">
        <f t="shared" si="11"/>
        <v>0</v>
      </c>
      <c r="O44" s="270">
        <f>'(2.2)_Forward_Price_Curve'!AC51</f>
        <v>1.6606577113778709</v>
      </c>
      <c r="Q44" s="28"/>
      <c r="S44" s="18">
        <f t="shared" si="5"/>
        <v>8283.5799535346032</v>
      </c>
      <c r="U44" s="18">
        <f t="shared" si="0"/>
        <v>30366.742978162893</v>
      </c>
      <c r="W44" s="18">
        <f t="shared" si="1"/>
        <v>-22083.163024628288</v>
      </c>
      <c r="Y44" s="271">
        <f t="shared" si="6"/>
        <v>-45.7485294976237</v>
      </c>
      <c r="Z44" s="235"/>
      <c r="AB44" s="146">
        <f>+IF(AB43&gt;$G$13+$G$14,XX,AB43+1)</f>
        <v>2037</v>
      </c>
      <c r="AC44" s="117"/>
      <c r="AD44" s="151">
        <f t="shared" si="2"/>
        <v>482707.60321980069</v>
      </c>
      <c r="AF44" s="154">
        <f t="shared" si="12"/>
        <v>143.27684122643328</v>
      </c>
      <c r="AH44" s="154">
        <f t="shared" si="13"/>
        <v>28.698973778554919</v>
      </c>
      <c r="AJ44" s="154">
        <f t="shared" si="14"/>
        <v>2.9287882055134364</v>
      </c>
      <c r="AL44" s="153">
        <f t="shared" si="7"/>
        <v>14896.583237522427</v>
      </c>
      <c r="AN44" s="154">
        <f>INDEX('(2.2)_Forward_Price_Curve'!$K:$K,MATCH($AB44,'(2.2)_Forward_Price_Curve'!$C:$C,0),1)</f>
        <v>6.240054166666666</v>
      </c>
      <c r="AP44" s="154">
        <f t="shared" si="18"/>
        <v>40.989922151323775</v>
      </c>
      <c r="AR44" s="154">
        <f t="shared" si="15"/>
        <v>3.3049805865619817</v>
      </c>
      <c r="AS44" s="154"/>
      <c r="AT44" s="153">
        <f t="shared" si="3"/>
        <v>8985.2566427038728</v>
      </c>
      <c r="AV44" s="153">
        <f t="shared" si="4"/>
        <v>21381.48633545902</v>
      </c>
      <c r="AW44" s="273"/>
      <c r="AX44" s="155">
        <f t="shared" si="8"/>
        <v>30366.742978162893</v>
      </c>
      <c r="AZ44" s="146">
        <f>+IF(AZ43&gt;$G$13+$G$14,XX,AZ43+1)</f>
        <v>2037</v>
      </c>
      <c r="BA44" s="117"/>
      <c r="BB44" s="154">
        <f t="shared" si="16"/>
        <v>93.306971669508883</v>
      </c>
      <c r="BD44" s="154">
        <f t="shared" si="17"/>
        <v>6.1440123972878036</v>
      </c>
      <c r="BF44" s="153">
        <f t="shared" si="9"/>
        <v>5911.3265948185553</v>
      </c>
      <c r="BH44" s="157"/>
    </row>
    <row r="45" spans="2:60" ht="12">
      <c r="B45" s="2"/>
      <c r="C45">
        <f>+IF(C44&gt;$G$13+$G$14,XX,C44+1)</f>
        <v>2038</v>
      </c>
      <c r="E45" s="169">
        <f>'(2.2)_Forward_Price_Curve'!T52</f>
        <v>2.1000000000000001E-2</v>
      </c>
      <c r="G45" s="18">
        <v>482707.60321980069</v>
      </c>
      <c r="I45" s="28">
        <f t="shared" si="10"/>
        <v>0</v>
      </c>
      <c r="K45" s="28">
        <v>15.5</v>
      </c>
      <c r="M45" s="28">
        <f t="shared" si="11"/>
        <v>0</v>
      </c>
      <c r="O45" s="270">
        <f>'(2.2)_Forward_Price_Curve'!AC52</f>
        <v>1.6953423361778306</v>
      </c>
      <c r="Q45" s="28"/>
      <c r="S45" s="18">
        <f t="shared" si="5"/>
        <v>8300.3224856403685</v>
      </c>
      <c r="U45" s="18">
        <f t="shared" si="0"/>
        <v>31604.71068361267</v>
      </c>
      <c r="W45" s="18">
        <f t="shared" si="1"/>
        <v>-23304.388197972301</v>
      </c>
      <c r="Y45" s="271">
        <f t="shared" si="6"/>
        <v>-48.278477576332392</v>
      </c>
      <c r="Z45" s="235"/>
      <c r="AB45" s="146">
        <f>+IF(AB44&gt;$G$13+$G$14,XX,AB44+1)</f>
        <v>2038</v>
      </c>
      <c r="AC45" s="117"/>
      <c r="AD45" s="151">
        <f t="shared" si="2"/>
        <v>482707.60321980069</v>
      </c>
      <c r="AF45" s="154">
        <f t="shared" si="12"/>
        <v>146.28565489218838</v>
      </c>
      <c r="AH45" s="154">
        <f t="shared" si="13"/>
        <v>29.301652227904569</v>
      </c>
      <c r="AJ45" s="154">
        <f t="shared" si="14"/>
        <v>2.9902927578292182</v>
      </c>
      <c r="AL45" s="153">
        <f t="shared" si="7"/>
        <v>15209.411485510394</v>
      </c>
      <c r="AN45" s="154">
        <f>INDEX('(2.2)_Forward_Price_Curve'!$K:$K,MATCH($AB45,'(2.2)_Forward_Price_Curve'!$C:$C,0),1)</f>
        <v>6.5604041666666673</v>
      </c>
      <c r="AP45" s="154">
        <f t="shared" si="18"/>
        <v>43.09425028862119</v>
      </c>
      <c r="AR45" s="154">
        <f t="shared" si="15"/>
        <v>3.3743851788797832</v>
      </c>
      <c r="AS45" s="154"/>
      <c r="AT45" s="153">
        <f t="shared" si="3"/>
        <v>9173.9470322006509</v>
      </c>
      <c r="AV45" s="153">
        <f t="shared" si="4"/>
        <v>22430.763651412017</v>
      </c>
      <c r="AW45" s="273"/>
      <c r="AX45" s="155">
        <f t="shared" si="8"/>
        <v>31604.71068361267</v>
      </c>
      <c r="AZ45" s="146">
        <f>+IF(AZ44&gt;$G$13+$G$14,XX,AZ44+1)</f>
        <v>2038</v>
      </c>
      <c r="BA45" s="117"/>
      <c r="BB45" s="154">
        <f t="shared" si="16"/>
        <v>95.266418074568563</v>
      </c>
      <c r="BD45" s="154">
        <f t="shared" si="17"/>
        <v>6.2730366576308469</v>
      </c>
      <c r="BF45" s="153">
        <f t="shared" si="9"/>
        <v>6035.4644533097435</v>
      </c>
      <c r="BH45" s="157"/>
    </row>
    <row r="46" spans="2:60" ht="12">
      <c r="B46" s="2"/>
      <c r="C46">
        <f>+IF(C45&gt;$G$13+$G$14,XX,C45+1)</f>
        <v>2039</v>
      </c>
      <c r="E46" s="169">
        <f>'(2.2)_Forward_Price_Curve'!T53</f>
        <v>2.1000000000000001E-2</v>
      </c>
      <c r="G46" s="18">
        <v>482707.60321980069</v>
      </c>
      <c r="I46" s="28">
        <f t="shared" si="10"/>
        <v>0</v>
      </c>
      <c r="K46" s="28">
        <v>15.5</v>
      </c>
      <c r="M46" s="28">
        <f t="shared" si="11"/>
        <v>0</v>
      </c>
      <c r="O46" s="270">
        <f>'(2.2)_Forward_Price_Curve'!AC53</f>
        <v>1.730529504666237</v>
      </c>
      <c r="Q46" s="28"/>
      <c r="S46" s="18">
        <f t="shared" si="5"/>
        <v>8317.307599405498</v>
      </c>
      <c r="U46" s="18">
        <f t="shared" si="0"/>
        <v>32503.296232450615</v>
      </c>
      <c r="W46" s="18">
        <f t="shared" si="1"/>
        <v>-24185.988633045119</v>
      </c>
      <c r="Y46" s="271">
        <f t="shared" si="6"/>
        <v>-50.104842914670314</v>
      </c>
      <c r="Z46" s="235"/>
      <c r="AB46" s="146">
        <f>+IF(AB45&gt;$G$13+$G$14,XX,AB45+1)</f>
        <v>2039</v>
      </c>
      <c r="AC46" s="117"/>
      <c r="AD46" s="151">
        <f t="shared" si="2"/>
        <v>482707.60321980069</v>
      </c>
      <c r="AF46" s="154">
        <f t="shared" si="12"/>
        <v>149.35765364492431</v>
      </c>
      <c r="AH46" s="154">
        <f t="shared" si="13"/>
        <v>29.916986924690562</v>
      </c>
      <c r="AJ46" s="154">
        <f t="shared" si="14"/>
        <v>3.0530889057436315</v>
      </c>
      <c r="AL46" s="153">
        <f t="shared" si="7"/>
        <v>15528.809126706112</v>
      </c>
      <c r="AN46" s="154">
        <f>INDEX('(2.2)_Forward_Price_Curve'!$K:$K,MATCH($AB46,'(2.2)_Forward_Price_Curve'!$C:$C,0),1)</f>
        <v>6.7722499999999988</v>
      </c>
      <c r="AP46" s="154">
        <f t="shared" si="18"/>
        <v>44.485831833345848</v>
      </c>
      <c r="AR46" s="154">
        <f t="shared" si="15"/>
        <v>3.4452472676362582</v>
      </c>
      <c r="AS46" s="154"/>
      <c r="AT46" s="153">
        <f t="shared" si="3"/>
        <v>9366.5999198768641</v>
      </c>
      <c r="AV46" s="153">
        <f t="shared" si="4"/>
        <v>23136.696312573749</v>
      </c>
      <c r="AW46" s="273"/>
      <c r="AX46" s="155">
        <f t="shared" si="8"/>
        <v>32503.296232450615</v>
      </c>
      <c r="AZ46" s="146">
        <f>+IF(AZ45&gt;$G$13+$G$14,XX,AZ45+1)</f>
        <v>2039</v>
      </c>
      <c r="BA46" s="117"/>
      <c r="BB46" s="154">
        <f t="shared" si="16"/>
        <v>97.267012854134492</v>
      </c>
      <c r="BD46" s="154">
        <f t="shared" si="17"/>
        <v>6.4047704274410941</v>
      </c>
      <c r="BF46" s="153">
        <f t="shared" si="9"/>
        <v>6162.2092068292477</v>
      </c>
      <c r="BH46" s="157"/>
    </row>
    <row r="47" spans="2:60" ht="12">
      <c r="B47" s="2"/>
      <c r="C47">
        <f>+IF(C46&gt;$G$13+$G$14,XX,C46+1)</f>
        <v>2040</v>
      </c>
      <c r="E47" s="169">
        <f>'(2.2)_Forward_Price_Curve'!T54</f>
        <v>2.1000000000000001E-2</v>
      </c>
      <c r="G47" s="18">
        <v>482707.60321980069</v>
      </c>
      <c r="I47" s="28">
        <f t="shared" si="10"/>
        <v>0</v>
      </c>
      <c r="K47" s="28">
        <v>15.5</v>
      </c>
      <c r="M47" s="28"/>
      <c r="O47" s="270">
        <f>'(2.2)_Forward_Price_Curve'!AC54</f>
        <v>1.7664344168351047</v>
      </c>
      <c r="Q47" s="28"/>
      <c r="S47" s="18">
        <f t="shared" si="5"/>
        <v>8334.6391735023499</v>
      </c>
      <c r="U47" s="18">
        <f t="shared" si="0"/>
        <v>33697.358017871564</v>
      </c>
      <c r="W47" s="18">
        <f t="shared" si="1"/>
        <v>-25362.718844369214</v>
      </c>
      <c r="Y47" s="271">
        <f t="shared" si="6"/>
        <v>-52.542613116496348</v>
      </c>
      <c r="Z47" s="235"/>
      <c r="AB47" s="146">
        <f>+IF(AB46&gt;$G$13+$G$14,XX,AB46+1)</f>
        <v>2040</v>
      </c>
      <c r="AC47" s="117"/>
      <c r="AD47" s="151">
        <f t="shared" si="2"/>
        <v>482707.60321980069</v>
      </c>
      <c r="AF47" s="154">
        <f t="shared" si="12"/>
        <v>152.49416437146772</v>
      </c>
      <c r="AH47" s="154">
        <f t="shared" si="13"/>
        <v>30.545243650109061</v>
      </c>
      <c r="AJ47" s="154">
        <f t="shared" si="14"/>
        <v>3.1172037727642476</v>
      </c>
      <c r="AL47" s="153">
        <f t="shared" si="7"/>
        <v>15854.91411836694</v>
      </c>
      <c r="AN47" s="154">
        <f>INDEX('(2.2)_Forward_Price_Curve'!$K:$K,MATCH($AB47,'(2.2)_Forward_Price_Curve'!$C:$C,0),1)</f>
        <v>7.075779166666667</v>
      </c>
      <c r="AP47" s="154">
        <f t="shared" si="18"/>
        <v>46.479666595034949</v>
      </c>
      <c r="AR47" s="154">
        <f t="shared" si="15"/>
        <v>3.5175974602566193</v>
      </c>
      <c r="AS47" s="154"/>
      <c r="AT47" s="153">
        <f t="shared" si="3"/>
        <v>9563.2985181942786</v>
      </c>
      <c r="AV47" s="153">
        <f t="shared" si="4"/>
        <v>24134.059499677285</v>
      </c>
      <c r="AW47" s="273"/>
      <c r="AX47" s="155">
        <f t="shared" si="8"/>
        <v>33697.358017871564</v>
      </c>
      <c r="AZ47" s="146">
        <f>+IF(AZ46&gt;$G$13+$G$14,XX,AZ46+1)</f>
        <v>2040</v>
      </c>
      <c r="BA47" s="117"/>
      <c r="BB47" s="154">
        <f t="shared" si="16"/>
        <v>99.309620124071301</v>
      </c>
      <c r="BD47" s="154">
        <f t="shared" si="17"/>
        <v>6.5392706064173565</v>
      </c>
      <c r="BF47" s="153">
        <f t="shared" si="9"/>
        <v>6291.6156001726613</v>
      </c>
      <c r="BH47" s="157"/>
    </row>
    <row r="48" spans="2:60" ht="12">
      <c r="B48" s="2"/>
      <c r="E48" s="169"/>
      <c r="G48" s="18"/>
      <c r="I48" s="28"/>
      <c r="K48" s="28"/>
      <c r="M48" s="28"/>
      <c r="O48" s="270"/>
      <c r="Q48" s="28"/>
      <c r="S48" s="18"/>
      <c r="U48" s="18"/>
      <c r="W48" s="18"/>
      <c r="Y48" s="271"/>
      <c r="Z48" s="235"/>
      <c r="AB48" s="146"/>
      <c r="AC48" s="117"/>
      <c r="AD48" s="151"/>
      <c r="AF48" s="154"/>
      <c r="AH48" s="154"/>
      <c r="AJ48" s="154"/>
      <c r="AL48" s="153"/>
      <c r="AN48" s="154"/>
      <c r="AP48" s="154"/>
      <c r="AR48" s="154"/>
      <c r="AS48" s="154"/>
      <c r="AT48" s="153"/>
      <c r="AV48" s="153"/>
      <c r="AW48" s="273"/>
      <c r="AX48" s="155"/>
      <c r="AZ48" s="146"/>
      <c r="BA48" s="117"/>
      <c r="BB48" s="154"/>
      <c r="BD48" s="154"/>
      <c r="BF48" s="153"/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E50" s="169"/>
      <c r="G50" s="18"/>
      <c r="I50" s="28"/>
      <c r="K50" s="28"/>
      <c r="M50" s="28"/>
      <c r="O50" s="270"/>
      <c r="Q50" s="28"/>
      <c r="S50" s="18"/>
      <c r="U50" s="18"/>
      <c r="W50" s="18"/>
      <c r="Y50" s="271"/>
      <c r="Z50" s="235"/>
      <c r="AB50" s="146"/>
      <c r="AC50" s="117"/>
      <c r="AD50" s="151"/>
      <c r="AF50" s="154"/>
      <c r="AH50" s="154"/>
      <c r="AJ50" s="154"/>
      <c r="AL50" s="153"/>
      <c r="AN50" s="154"/>
      <c r="AP50" s="154"/>
      <c r="AR50" s="154"/>
      <c r="AS50" s="154"/>
      <c r="AT50" s="153"/>
      <c r="AV50" s="153"/>
      <c r="AW50" s="273"/>
      <c r="AX50" s="155"/>
      <c r="AZ50" s="146"/>
      <c r="BA50" s="117"/>
      <c r="BB50" s="154"/>
      <c r="BD50" s="154"/>
      <c r="BF50" s="153"/>
      <c r="BH50" s="157"/>
    </row>
    <row r="51" spans="2:60" ht="12">
      <c r="B51" s="2"/>
      <c r="E51" s="169"/>
      <c r="G51" s="18"/>
      <c r="I51" s="28"/>
      <c r="K51" s="28"/>
      <c r="M51" s="28"/>
      <c r="O51" s="270"/>
      <c r="Q51" s="28"/>
      <c r="S51" s="18"/>
      <c r="U51" s="18"/>
      <c r="W51" s="18"/>
      <c r="Y51" s="271"/>
      <c r="Z51" s="235"/>
      <c r="AB51" s="146"/>
      <c r="AC51" s="117"/>
      <c r="AD51" s="151"/>
      <c r="AF51" s="154"/>
      <c r="AH51" s="154"/>
      <c r="AJ51" s="154"/>
      <c r="AL51" s="153"/>
      <c r="AN51" s="154"/>
      <c r="AP51" s="154"/>
      <c r="AR51" s="154"/>
      <c r="AS51" s="154"/>
      <c r="AT51" s="153"/>
      <c r="AV51" s="153"/>
      <c r="AW51" s="273"/>
      <c r="AX51" s="155"/>
      <c r="AZ51" s="146"/>
      <c r="BA51" s="117"/>
      <c r="BB51" s="154"/>
      <c r="BD51" s="154"/>
      <c r="BF51" s="153"/>
      <c r="BH51" s="157"/>
    </row>
    <row r="52" spans="2:60" ht="12">
      <c r="B52" s="2"/>
      <c r="E52" s="169"/>
      <c r="G52" s="18"/>
      <c r="I52" s="28"/>
      <c r="K52" s="28"/>
      <c r="M52" s="28"/>
      <c r="O52" s="270"/>
      <c r="Q52" s="28" t="s">
        <v>299</v>
      </c>
      <c r="S52" s="18"/>
      <c r="U52" s="18"/>
      <c r="W52" s="18"/>
      <c r="Y52" s="271"/>
      <c r="Z52" s="235"/>
      <c r="AB52" s="146"/>
      <c r="AC52" s="117"/>
      <c r="AD52" s="151"/>
      <c r="AF52" s="154"/>
      <c r="AH52" s="154"/>
      <c r="AJ52" s="154"/>
      <c r="AL52" s="153"/>
      <c r="AN52" s="154"/>
      <c r="AP52" s="154"/>
      <c r="AR52" s="154"/>
      <c r="AS52" s="154"/>
      <c r="AT52" s="153"/>
      <c r="AV52" s="153"/>
      <c r="AW52" s="273"/>
      <c r="AX52" s="155"/>
      <c r="AZ52" s="146"/>
      <c r="BA52" s="117"/>
      <c r="BB52" s="154"/>
      <c r="BD52" s="154"/>
      <c r="BF52" s="153"/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20-year Nominal Levelized at 6.57%</v>
      </c>
      <c r="E58" s="169"/>
      <c r="G58" s="18">
        <f>+-PMT($G$18,$G$14,NPV($G$18,G28:G56))</f>
        <v>482707.60321980028</v>
      </c>
      <c r="I58" s="28">
        <f>+-PMT($G$18,$G$14,NPV($G$18,I28:I56))</f>
        <v>0</v>
      </c>
      <c r="J58" s="28"/>
      <c r="K58" s="28">
        <f>+-PMT($G$18,$G$14,NPV($G$18,K28:K56))</f>
        <v>15.499999999999993</v>
      </c>
      <c r="M58" s="28">
        <f>+-PMT($G$18,$G$14,NPV($G$18,M28:M56))</f>
        <v>0</v>
      </c>
      <c r="O58" s="28">
        <f>+-PMT($G$18,$G$14,NPV($G$18,O28:O56))</f>
        <v>1.3915143264500005</v>
      </c>
      <c r="Q58" s="28">
        <f>+-PMT($G$18,$G$14,NPV($G$18,Q28:Q56))</f>
        <v>0</v>
      </c>
      <c r="S58" s="18">
        <f>+-PMT($G$18,$G$14,NPV($G$18,S28:S56))</f>
        <v>8153.6623952735999</v>
      </c>
      <c r="U58" s="18">
        <f>+-PMT($G$18,$G$14,NPV($G$18,U28:U56))</f>
        <v>23515.342020079479</v>
      </c>
      <c r="W58" s="18">
        <f>+-PMT($G$18,$G$14,NPV($G$18,W28:W56))</f>
        <v>-15361.679624805871</v>
      </c>
      <c r="Y58" s="271">
        <f>+-PMT($G$18,$G$14,NPV($G$18,Y28:Y56))</f>
        <v>-31.823985208310333</v>
      </c>
      <c r="Z58" s="235"/>
      <c r="AB58" s="2"/>
      <c r="AD58" s="151">
        <f>+-PMT($G$18,$G$14,NPV($G$18,AD28:AD56))</f>
        <v>482707.60321980028</v>
      </c>
      <c r="AF58" s="154">
        <f>+-PMT($G$18,$G$14,NPV($G$18,AF28:AF56))</f>
        <v>120.24366524670354</v>
      </c>
      <c r="AH58" s="154">
        <f>+-PMT($G$18,$G$14,NPV($G$18,AH28:AH56))</f>
        <v>24.085328559824685</v>
      </c>
      <c r="AJ58" s="154">
        <f>+-PMT($G$18,$G$14,NPV($G$18,AJ28:AJ56))</f>
        <v>2.4579563978918837</v>
      </c>
      <c r="AL58" s="153">
        <f>+-PMT($G$18,$G$14,NPV($G$18,AL28:AL56))</f>
        <v>12501.809453640006</v>
      </c>
      <c r="AN58" s="154">
        <f>+-PMT($G$18,$G$14,NPV($G$18,AN28:AN56))</f>
        <v>4.6157267710799834</v>
      </c>
      <c r="AP58" s="154">
        <f>+-PMT($G$18,$G$14,NPV($G$18,AP28:AP56))</f>
        <v>30.31997414846419</v>
      </c>
      <c r="AR58" s="154">
        <f>+-PMT($G$18,$G$14,NPV($G$18,AR28:AR56))</f>
        <v>2.7736721154353288</v>
      </c>
      <c r="AS58" s="154"/>
      <c r="AT58" s="153">
        <f>+-PMT($G$18,$G$14,NPV($G$18,AT28:AT56))</f>
        <v>7540.7873502286266</v>
      </c>
      <c r="AV58" s="153">
        <f>+-PMT($G$18,$G$14,NPV($G$18,AV28:AV56))</f>
        <v>15974.554669850851</v>
      </c>
      <c r="AW58" s="273"/>
      <c r="AX58" s="155">
        <f>+-PMT($G$18,$G$14,NPV($G$18,AX28:AX56))</f>
        <v>23515.342020079479</v>
      </c>
      <c r="AZ58" s="2"/>
      <c r="BB58" s="154">
        <f>+-PMT($G$18,$G$14,NPV($G$18,BB28:BB56))</f>
        <v>78.306948775348715</v>
      </c>
      <c r="BD58" s="154">
        <f>+-PMT($G$18,$G$14,NPV($G$18,BD28:BD56))</f>
        <v>5.1563013509176479</v>
      </c>
      <c r="BF58" s="153">
        <f>+-PMT($G$18,$G$14,NPV($G$18,BF28:BF56))</f>
        <v>4961.0221034113811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2B760-CED5-4B4E-B037-16AAE7AF13F8}">
  <sheetPr codeName="Sheet39">
    <tabColor theme="0" tint="-0.249977111117893"/>
    <pageSetUpPr fitToPage="1"/>
  </sheetPr>
  <dimension ref="A1:BL101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231" customFormat="1">
      <c r="A1" s="231" t="str">
        <f>+'Workpaper Index'!C3</f>
        <v>PACIFICORP</v>
      </c>
    </row>
    <row r="2" spans="1:64" s="231" customFormat="1">
      <c r="A2" s="231" t="str">
        <f>+'Workpaper Index'!C4</f>
        <v xml:space="preserve">WASHINGTON JUNE, 1 2024 RENEWABLES REPORT </v>
      </c>
    </row>
    <row r="3" spans="1:64" s="231" customFormat="1">
      <c r="A3" s="231" t="str">
        <f>+'Workpaper Index'!C5</f>
        <v>EVALUATION OF RENEWABLE RESOURCE COST</v>
      </c>
    </row>
    <row r="4" spans="1:64" s="231" customFormat="1"/>
    <row r="5" spans="1:64" s="231" customFormat="1"/>
    <row r="7" spans="1:64">
      <c r="AB7" t="s">
        <v>315</v>
      </c>
    </row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85" t="s">
        <v>96</v>
      </c>
      <c r="AO8" s="386"/>
      <c r="AP8" s="386"/>
      <c r="AQ8" s="386"/>
      <c r="AR8" s="386"/>
      <c r="AS8" s="386"/>
      <c r="AT8" s="386"/>
      <c r="AU8" s="386"/>
      <c r="AV8" s="386"/>
      <c r="AW8" s="387"/>
      <c r="AZ8" s="244" t="s">
        <v>97</v>
      </c>
      <c r="BA8" s="245"/>
      <c r="BB8" s="245"/>
      <c r="BC8" s="245"/>
      <c r="BD8" s="245"/>
      <c r="BE8" s="246"/>
      <c r="BG8" s="385" t="s">
        <v>97</v>
      </c>
      <c r="BH8" s="386"/>
      <c r="BI8" s="386"/>
      <c r="BJ8" s="386"/>
      <c r="BK8" s="386"/>
      <c r="BL8" s="38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436"/>
      <c r="AO9" s="437"/>
      <c r="AP9" s="437"/>
      <c r="AQ9" s="437"/>
      <c r="AR9" s="438"/>
      <c r="AS9" s="437"/>
      <c r="AT9" s="437"/>
      <c r="AU9" s="437"/>
      <c r="AV9" s="439"/>
      <c r="AW9" s="440"/>
      <c r="AZ9" s="116"/>
      <c r="BA9" s="117"/>
      <c r="BB9" s="117"/>
      <c r="BC9" s="117"/>
      <c r="BD9" s="118"/>
      <c r="BE9" s="121"/>
      <c r="BG9" s="436"/>
      <c r="BH9" s="437"/>
      <c r="BI9" s="437"/>
      <c r="BJ9" s="437"/>
      <c r="BK9" s="438"/>
      <c r="BL9" s="441"/>
    </row>
    <row r="10" spans="1:64" ht="12">
      <c r="B10" s="250"/>
      <c r="C10" s="231" t="s">
        <v>98</v>
      </c>
      <c r="D10" s="231"/>
      <c r="E10" s="231"/>
      <c r="F10" s="231"/>
      <c r="G10" s="251" t="s">
        <v>344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230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388" t="s">
        <v>230</v>
      </c>
      <c r="BH10" s="389"/>
      <c r="BI10" s="389"/>
      <c r="BJ10" s="389"/>
      <c r="BK10" s="390"/>
      <c r="BL10" s="398"/>
    </row>
    <row r="11" spans="1:64" ht="12">
      <c r="B11" s="250"/>
      <c r="C11" s="231" t="s">
        <v>31</v>
      </c>
      <c r="D11" s="231"/>
      <c r="E11" s="231"/>
      <c r="F11" s="231"/>
      <c r="G11" s="280">
        <v>111</v>
      </c>
      <c r="H11" s="252"/>
      <c r="I11" s="348">
        <v>111</v>
      </c>
      <c r="AB11" s="122" t="s">
        <v>99</v>
      </c>
      <c r="AC11" s="123"/>
      <c r="AD11" s="123"/>
      <c r="AE11" s="123"/>
      <c r="AF11" s="281">
        <f>+G11*(G12/AJ16)</f>
        <v>91.93965074327572</v>
      </c>
      <c r="AG11" s="127"/>
      <c r="AH11" s="123" t="s">
        <v>100</v>
      </c>
      <c r="AI11" s="124"/>
      <c r="AJ11" s="166">
        <f>'(2.1)_Proxy Resources'!N94</f>
        <v>7.5808934397681389</v>
      </c>
      <c r="AK11" s="235"/>
      <c r="AN11" s="444" t="s">
        <v>99</v>
      </c>
      <c r="AO11" s="445"/>
      <c r="AP11" s="445"/>
      <c r="AQ11" s="445"/>
      <c r="AR11" s="446">
        <f>+I11*(I12/AV16)</f>
        <v>65.133191198492042</v>
      </c>
      <c r="AS11" s="447"/>
      <c r="AT11" s="445" t="s">
        <v>100</v>
      </c>
      <c r="AU11" s="448"/>
      <c r="AV11" s="396">
        <f>'(2.1)_Proxy Resources'!N53</f>
        <v>19.805241420865066</v>
      </c>
      <c r="AW11" s="235"/>
      <c r="AZ11" s="122" t="s">
        <v>99</v>
      </c>
      <c r="BA11" s="123"/>
      <c r="BB11" s="123"/>
      <c r="BC11" s="123"/>
      <c r="BD11" s="134">
        <f>(AF11*AF13-G11*G19)</f>
        <v>86.755950743275719</v>
      </c>
      <c r="BE11" s="130"/>
      <c r="BG11" s="444" t="s">
        <v>99</v>
      </c>
      <c r="BH11" s="445"/>
      <c r="BI11" s="445"/>
      <c r="BJ11" s="445"/>
      <c r="BK11" s="368">
        <f>(AR11*AR13-I11*I19)</f>
        <v>47.595191198492046</v>
      </c>
      <c r="BL11" s="449"/>
    </row>
    <row r="12" spans="1:64" ht="12">
      <c r="B12" s="250"/>
      <c r="C12" s="231" t="s">
        <v>32</v>
      </c>
      <c r="D12" s="231"/>
      <c r="E12" s="231"/>
      <c r="F12" s="231"/>
      <c r="G12" s="282">
        <v>0.40330056606909381</v>
      </c>
      <c r="H12" s="252"/>
      <c r="I12" s="349">
        <v>0.41242555849043083</v>
      </c>
      <c r="AB12" s="122" t="s">
        <v>32</v>
      </c>
      <c r="AC12" s="123"/>
      <c r="AD12" s="123"/>
      <c r="AE12" s="123"/>
      <c r="AF12" s="131">
        <f>+AD75/8760/AF11</f>
        <v>0.50058109469574208</v>
      </c>
      <c r="AG12" s="127"/>
      <c r="AH12" s="117" t="s">
        <v>101</v>
      </c>
      <c r="AI12" s="118"/>
      <c r="AJ12" s="117">
        <v>2008</v>
      </c>
      <c r="AK12" s="235"/>
      <c r="AN12" s="444" t="s">
        <v>32</v>
      </c>
      <c r="AO12" s="445"/>
      <c r="AP12" s="445"/>
      <c r="AQ12" s="445"/>
      <c r="AR12" s="131">
        <f>AD70/8760/AR11</f>
        <v>0</v>
      </c>
      <c r="AS12" s="447"/>
      <c r="AT12" s="437" t="s">
        <v>101</v>
      </c>
      <c r="AU12" s="438"/>
      <c r="AV12" s="450">
        <v>2016</v>
      </c>
      <c r="AW12" s="235"/>
      <c r="AZ12" s="122"/>
      <c r="BA12" s="123"/>
      <c r="BB12" s="123"/>
      <c r="BC12" s="123"/>
      <c r="BD12" s="131"/>
      <c r="BE12" s="132"/>
      <c r="BG12" s="444"/>
      <c r="BH12" s="445"/>
      <c r="BI12" s="445"/>
      <c r="BJ12" s="445"/>
      <c r="BK12" s="451"/>
      <c r="BL12" s="452"/>
    </row>
    <row r="13" spans="1:64" ht="12">
      <c r="B13" s="250"/>
      <c r="C13" s="231" t="s">
        <v>33</v>
      </c>
      <c r="D13" s="231"/>
      <c r="E13" s="231"/>
      <c r="F13" s="231"/>
      <c r="G13" s="251">
        <v>2010</v>
      </c>
      <c r="H13" s="252"/>
      <c r="I13" s="350">
        <v>2019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Resources'!$O$94</f>
        <v>2.8538881199911357</v>
      </c>
      <c r="AK13" s="235"/>
      <c r="AN13" s="444" t="s">
        <v>102</v>
      </c>
      <c r="AO13" s="445"/>
      <c r="AP13" s="445"/>
      <c r="AQ13" s="445"/>
      <c r="AR13" s="453">
        <v>1</v>
      </c>
      <c r="AS13" s="447"/>
      <c r="AT13" s="437" t="s">
        <v>103</v>
      </c>
      <c r="AU13" s="438"/>
      <c r="AV13" s="396">
        <f>'(2.1)_Proxy Resources'!O53</f>
        <v>2.02116486562735</v>
      </c>
      <c r="AW13" s="235"/>
      <c r="AZ13" s="122" t="s">
        <v>102</v>
      </c>
      <c r="BA13" s="123"/>
      <c r="BB13" s="123"/>
      <c r="BC13" s="123"/>
      <c r="BD13" s="133">
        <v>1</v>
      </c>
      <c r="BE13" s="132"/>
      <c r="BG13" s="444" t="s">
        <v>102</v>
      </c>
      <c r="BH13" s="445"/>
      <c r="BI13" s="445"/>
      <c r="BJ13" s="445"/>
      <c r="BK13" s="453">
        <v>1</v>
      </c>
      <c r="BL13" s="452"/>
    </row>
    <row r="14" spans="1:64" ht="12">
      <c r="B14" s="250"/>
      <c r="C14" s="231" t="s">
        <v>34</v>
      </c>
      <c r="D14" s="231"/>
      <c r="E14" s="231"/>
      <c r="F14" s="231"/>
      <c r="G14" s="251">
        <v>20</v>
      </c>
      <c r="H14" s="252"/>
      <c r="I14" s="351">
        <v>30</v>
      </c>
      <c r="AB14" s="122" t="s">
        <v>104</v>
      </c>
      <c r="AC14" s="123"/>
      <c r="AD14" s="123"/>
      <c r="AE14" s="123"/>
      <c r="AF14" s="134">
        <f>'(2.1)_Proxy Resources'!H94*(1+E28)</f>
        <v>7277.4747099407059</v>
      </c>
      <c r="AG14" s="127"/>
      <c r="AH14" s="117"/>
      <c r="AI14" s="118"/>
      <c r="AJ14" s="166"/>
      <c r="AK14" s="235"/>
      <c r="AN14" s="444" t="s">
        <v>104</v>
      </c>
      <c r="AO14" s="445"/>
      <c r="AP14" s="445"/>
      <c r="AQ14" s="445"/>
      <c r="AR14" s="454">
        <f>'(2.1)_Proxy Resources'!H53</f>
        <v>6414.883554173548</v>
      </c>
      <c r="AS14" s="447"/>
      <c r="AT14" s="437"/>
      <c r="AU14" s="438"/>
      <c r="AV14" s="396"/>
      <c r="AW14" s="235"/>
      <c r="AZ14" s="122" t="s">
        <v>192</v>
      </c>
      <c r="BA14" s="123"/>
      <c r="BB14" s="123"/>
      <c r="BC14" s="123"/>
      <c r="BD14" s="167">
        <f>'(2.1)_Proxy Resources'!J95</f>
        <v>747</v>
      </c>
      <c r="BE14" s="132"/>
      <c r="BG14" s="444" t="s">
        <v>232</v>
      </c>
      <c r="BH14" s="445"/>
      <c r="BI14" s="445"/>
      <c r="BJ14" s="445"/>
      <c r="BK14" s="397">
        <f>'(2.1)_Proxy Resources'!J54</f>
        <v>702</v>
      </c>
      <c r="BL14" s="452"/>
    </row>
    <row r="15" spans="1:64" ht="12">
      <c r="A15" t="s">
        <v>138</v>
      </c>
      <c r="B15" s="250"/>
      <c r="C15" s="231" t="s">
        <v>107</v>
      </c>
      <c r="D15" s="231"/>
      <c r="E15" s="231"/>
      <c r="F15" s="231"/>
      <c r="G15" s="283">
        <v>181.96328000344269</v>
      </c>
      <c r="H15" s="252"/>
      <c r="I15" s="382">
        <v>105.49341773922377</v>
      </c>
      <c r="AB15" s="122" t="s">
        <v>192</v>
      </c>
      <c r="AC15" s="123"/>
      <c r="AD15" s="123"/>
      <c r="AE15" s="123"/>
      <c r="AF15" s="167">
        <f>'(2.1)_Proxy Resources'!J94</f>
        <v>1174.8198494434653</v>
      </c>
      <c r="AG15" s="127"/>
      <c r="AH15" s="117" t="s">
        <v>145</v>
      </c>
      <c r="AI15" s="118"/>
      <c r="AJ15" s="166">
        <f>'(2.1)_Proxy Resources'!$P$81</f>
        <v>2.302423580786026</v>
      </c>
      <c r="AK15" s="235"/>
      <c r="AN15" s="444" t="s">
        <v>231</v>
      </c>
      <c r="AO15" s="445"/>
      <c r="AP15" s="445"/>
      <c r="AQ15" s="445"/>
      <c r="AR15" s="397">
        <f>'(2.1)_Proxy Resources'!J53</f>
        <v>1362.6215812395926</v>
      </c>
      <c r="AS15" s="447"/>
      <c r="AT15" s="437" t="s">
        <v>141</v>
      </c>
      <c r="AU15" s="438"/>
      <c r="AV15" s="396">
        <f>'(2.1)_Proxy Resources'!P53</f>
        <v>2.2807762714164963</v>
      </c>
      <c r="AW15" s="235"/>
      <c r="AZ15" s="122" t="s">
        <v>108</v>
      </c>
      <c r="BA15" s="123"/>
      <c r="BB15" s="123"/>
      <c r="BC15" s="123"/>
      <c r="BD15" s="136">
        <f>'(2.1)_Proxy Resources'!K95</f>
        <v>8.6199999999999999E-2</v>
      </c>
      <c r="BE15" s="132"/>
      <c r="BG15" s="444" t="s">
        <v>108</v>
      </c>
      <c r="BH15" s="445"/>
      <c r="BI15" s="445"/>
      <c r="BJ15" s="445"/>
      <c r="BK15" s="455">
        <f>'(2.1)_Proxy Resources'!K54</f>
        <v>7.3700000000000002E-2</v>
      </c>
      <c r="BL15" s="452"/>
    </row>
    <row r="16" spans="1:64" ht="12">
      <c r="A16" t="s">
        <v>138</v>
      </c>
      <c r="B16" s="250"/>
      <c r="C16" s="231" t="s">
        <v>109</v>
      </c>
      <c r="D16" s="231"/>
      <c r="E16" s="231"/>
      <c r="F16" s="231"/>
      <c r="G16" s="283">
        <v>4.1883704162822877</v>
      </c>
      <c r="H16" s="252"/>
      <c r="AB16" s="122" t="s">
        <v>108</v>
      </c>
      <c r="AC16" s="123"/>
      <c r="AD16" s="123"/>
      <c r="AE16" s="123"/>
      <c r="AF16" s="136">
        <f>'(2.1)_Proxy Resources'!K92</f>
        <v>8.5860000000000006E-2</v>
      </c>
      <c r="AG16" s="127"/>
      <c r="AH16" s="117" t="s">
        <v>110</v>
      </c>
      <c r="AI16" s="124"/>
      <c r="AJ16" s="137">
        <f>'(2.1)_Proxy Resources'!$D$81</f>
        <v>0.48691029900332239</v>
      </c>
      <c r="AK16" s="235"/>
      <c r="AN16" s="444" t="s">
        <v>108</v>
      </c>
      <c r="AO16" s="445"/>
      <c r="AP16" s="445"/>
      <c r="AQ16" s="445"/>
      <c r="AR16" s="455">
        <f>'(2.1)_Proxy Resources'!K52</f>
        <v>7.2562879502455491E-2</v>
      </c>
      <c r="AS16" s="447"/>
      <c r="AT16" s="437" t="s">
        <v>110</v>
      </c>
      <c r="AU16" s="448"/>
      <c r="AV16" s="456">
        <f>'(2.1)_Proxy Resources'!D53</f>
        <v>0.70285573530285894</v>
      </c>
      <c r="AW16" s="235"/>
      <c r="AZ16" s="122" t="s">
        <v>100</v>
      </c>
      <c r="BA16" s="124"/>
      <c r="BB16" s="166">
        <f>'(2.1)_Proxy Resources'!N95</f>
        <v>4.24</v>
      </c>
      <c r="BE16" s="130"/>
      <c r="BG16" s="444" t="s">
        <v>100</v>
      </c>
      <c r="BH16" s="448"/>
      <c r="BI16" s="396">
        <f>'(2.1)_Proxy Resources'!L54</f>
        <v>15.97</v>
      </c>
      <c r="BL16" s="449"/>
    </row>
    <row r="17" spans="1:64" ht="12">
      <c r="A17" t="s">
        <v>138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N17" s="2"/>
      <c r="AS17" s="447"/>
      <c r="AU17" s="447"/>
      <c r="AV17" s="445"/>
      <c r="AW17" s="449"/>
      <c r="AZ17" s="116" t="s">
        <v>101</v>
      </c>
      <c r="BA17" s="118"/>
      <c r="BB17" s="117">
        <v>2008</v>
      </c>
      <c r="BE17" s="128"/>
      <c r="BG17" s="436" t="s">
        <v>101</v>
      </c>
      <c r="BH17" s="438"/>
      <c r="BI17" s="450">
        <v>2016</v>
      </c>
      <c r="BL17" s="457"/>
    </row>
    <row r="18" spans="1:64" ht="12">
      <c r="B18" s="250"/>
      <c r="C18" s="231" t="s">
        <v>112</v>
      </c>
      <c r="D18" s="231"/>
      <c r="E18" s="231"/>
      <c r="F18" s="231"/>
      <c r="G18" s="282">
        <f>'(2.2)_Forward_Price_Curve'!AA5</f>
        <v>7.3164524549999999E-2</v>
      </c>
      <c r="H18" s="252"/>
      <c r="I18" s="458">
        <f>'(2.2)_Forward_Price_Curve'!AA8</f>
        <v>6.5699999999999995E-2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459"/>
      <c r="AO18" s="460"/>
      <c r="AP18" s="460"/>
      <c r="AQ18" s="460"/>
      <c r="AR18" s="460"/>
      <c r="AS18" s="460"/>
      <c r="AT18" s="460"/>
      <c r="AU18" s="460"/>
      <c r="AV18" s="460"/>
      <c r="AW18" s="461"/>
      <c r="AZ18" s="138"/>
      <c r="BA18" s="139"/>
      <c r="BB18" s="139"/>
      <c r="BC18" s="139"/>
      <c r="BD18" s="139"/>
      <c r="BE18" s="141"/>
      <c r="BG18" s="459"/>
      <c r="BH18" s="460"/>
      <c r="BI18" s="460"/>
      <c r="BJ18" s="460"/>
      <c r="BK18" s="460"/>
      <c r="BL18" s="462"/>
    </row>
    <row r="19" spans="1:64" ht="12">
      <c r="B19" s="256"/>
      <c r="C19" s="257" t="s">
        <v>102</v>
      </c>
      <c r="D19" s="257"/>
      <c r="E19" s="257"/>
      <c r="F19" s="257"/>
      <c r="G19" s="168">
        <f>'(2.2)_Forward_Price_Curve'!I103</f>
        <v>4.6699999999999998E-2</v>
      </c>
      <c r="H19" s="259"/>
      <c r="I19" s="458">
        <f>'(2.2)_Forward_Price_Curve'!L103</f>
        <v>0.158</v>
      </c>
    </row>
    <row r="20" spans="1:64">
      <c r="B20" s="231"/>
      <c r="C20" s="231"/>
      <c r="D20" s="231"/>
      <c r="E20" s="231"/>
      <c r="F20" s="231"/>
      <c r="G20" s="231"/>
      <c r="H20" s="231"/>
      <c r="I20">
        <v>41</v>
      </c>
      <c r="J20" t="s">
        <v>345</v>
      </c>
    </row>
    <row r="23" spans="1:64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f>+G13</f>
        <v>2010</v>
      </c>
      <c r="E28" s="169">
        <f>+INDEX('(2.2)_Forward_Price_Curve'!$U:$U,MATCH($C28,'(2.2)_Forward_Price_Curve'!C:C,0))</f>
        <v>1.7999999999999999E-2</v>
      </c>
      <c r="G28" s="18">
        <v>382696</v>
      </c>
      <c r="I28" s="268">
        <f>$G$15*(1+E28)</f>
        <v>185.23861904350466</v>
      </c>
      <c r="J28" s="268"/>
      <c r="K28" s="268">
        <f>G16</f>
        <v>4.1883704162822877</v>
      </c>
      <c r="L28" s="269"/>
      <c r="M28" s="268">
        <f>$G$17</f>
        <v>0</v>
      </c>
      <c r="O28" s="270">
        <f>'(2.2)_Forward_Price_Curve'!Y23</f>
        <v>5.2748738999999985</v>
      </c>
      <c r="Q28" s="270">
        <f>-'(2.2)_Forward_Price_Curve'!AO21</f>
        <v>-35.45584940933778</v>
      </c>
      <c r="S28" s="18">
        <f>(I28*$G$11*1000+(K28+M28+O28+Q28)*G28)/1000</f>
        <v>10614.220715137053</v>
      </c>
      <c r="U28" s="18">
        <f t="shared" ref="U28:U47" si="0">AX28</f>
        <v>36279.230866665086</v>
      </c>
      <c r="W28" s="18">
        <f t="shared" ref="W28:W47" si="1">S28-U28</f>
        <v>-25665.010151528033</v>
      </c>
      <c r="Y28" s="271">
        <f>+W28*1000/G28</f>
        <v>-67.063701087881853</v>
      </c>
      <c r="Z28" s="235"/>
      <c r="AB28" s="146">
        <f>$C$28</f>
        <v>2010</v>
      </c>
      <c r="AC28" s="117"/>
      <c r="AD28" s="151">
        <f t="shared" ref="AD28:AD47" si="2">G28</f>
        <v>382696</v>
      </c>
      <c r="AF28" s="152">
        <f>$AF$15*$AF$16*(1+E28)</f>
        <v>102.68569285413383</v>
      </c>
      <c r="AG28" s="272"/>
      <c r="AH28" s="152">
        <f>$AJ$11*(1+E28)</f>
        <v>7.7173495216839658</v>
      </c>
      <c r="AI28" s="272"/>
      <c r="AJ28" s="152">
        <f>$AJ$13*(1+E28)</f>
        <v>2.9052581061509763</v>
      </c>
      <c r="AK28" s="272"/>
      <c r="AL28" s="153">
        <f>((AF28+AH28)*$AF$11*1000+AJ28*AD28)/1000</f>
        <v>11262.24781321931</v>
      </c>
      <c r="AN28" s="154">
        <f>INDEX('(2.2)_Forward_Price_Curve'!$J:$J,MATCH($AB28,'(2.2)_Forward_Price_Curve'!$C:$C,0),1)</f>
        <v>10.836874999999999</v>
      </c>
      <c r="AO28" s="279"/>
      <c r="AP28" s="154">
        <f>AN28*$AF$14/1000+$AJ$14/(1+E29)</f>
        <v>78.865083747288679</v>
      </c>
      <c r="AQ28" s="272"/>
      <c r="AR28" s="152">
        <f>$AJ$15*(1+E28)</f>
        <v>2.3438672052401746</v>
      </c>
      <c r="AS28" s="152"/>
      <c r="AT28" s="153">
        <f>AL28-BF28</f>
        <v>5200.8901729360996</v>
      </c>
      <c r="AU28" s="272"/>
      <c r="AV28" s="153">
        <f t="shared" ref="AV28:AV68" si="3">(AP28+AR28)*AD28/1000</f>
        <v>31078.340693728984</v>
      </c>
      <c r="AW28" s="273"/>
      <c r="AX28" s="155">
        <f>AT28+AV28</f>
        <v>36279.230866665086</v>
      </c>
      <c r="AZ28" s="146">
        <f>$C$28</f>
        <v>2010</v>
      </c>
      <c r="BA28" s="117"/>
      <c r="BB28" s="152">
        <f>$BD$14*$BD$15*(1+E28)</f>
        <v>65.550445199999999</v>
      </c>
      <c r="BD28" s="152">
        <f>$BB$16*(1+E28)</f>
        <v>4.3163200000000002</v>
      </c>
      <c r="BE28" s="272"/>
      <c r="BF28" s="153">
        <f>(BB28+BD28)*$BD$11</f>
        <v>6061.3576402832105</v>
      </c>
      <c r="BG28" s="272"/>
      <c r="BH28" s="156"/>
    </row>
    <row r="29" spans="1:64" ht="12">
      <c r="B29" s="2"/>
      <c r="C29">
        <f>+IF(C28&gt;$G$13+$G$14,XX,C28+1)</f>
        <v>2011</v>
      </c>
      <c r="E29" s="169">
        <f>+INDEX('(2.2)_Forward_Price_Curve'!$U:$U,MATCH($C29,'(2.2)_Forward_Price_Curve'!C:C,0))</f>
        <v>1.9E-2</v>
      </c>
      <c r="G29" s="18">
        <v>382696</v>
      </c>
      <c r="I29" s="28">
        <f>I28*(1+$E29)</f>
        <v>188.75815280533124</v>
      </c>
      <c r="K29" s="28">
        <f>K28*(1+$E29)</f>
        <v>4.2679494541916512</v>
      </c>
      <c r="M29" s="28">
        <f>M28*(1+$E29)</f>
        <v>0</v>
      </c>
      <c r="O29" s="270">
        <f>'(2.2)_Forward_Price_Curve'!Y24</f>
        <v>5.3750965040999983</v>
      </c>
      <c r="Q29" s="270">
        <f>-'(2.2)_Forward_Price_Curve'!AO22</f>
        <v>-35.45584940933778</v>
      </c>
      <c r="S29" s="18">
        <f t="shared" ref="S29:S47" si="4">(I29*$G$11*1000+(K29+M29+O29+Q29)*G29)/1000</f>
        <v>11073.698331890217</v>
      </c>
      <c r="U29" s="18">
        <f t="shared" si="0"/>
        <v>35232.617931175067</v>
      </c>
      <c r="W29" s="18">
        <f t="shared" si="1"/>
        <v>-24158.919599284851</v>
      </c>
      <c r="Y29" s="271">
        <f t="shared" ref="Y29:Y47" si="5">+W29*1000/G29</f>
        <v>-63.128226057457745</v>
      </c>
      <c r="Z29" s="235"/>
      <c r="AB29" s="146">
        <f>+IF(AB28&gt;$G$13+$G$14,XX,AB28+1)</f>
        <v>2011</v>
      </c>
      <c r="AC29" s="117"/>
      <c r="AD29" s="151">
        <f t="shared" si="2"/>
        <v>382696</v>
      </c>
      <c r="AF29" s="154">
        <f>AF28*(1+$E29)</f>
        <v>104.63672101836237</v>
      </c>
      <c r="AH29" s="154">
        <f>AH28*(1+$E29)</f>
        <v>7.8639791625959603</v>
      </c>
      <c r="AJ29" s="154">
        <f>AJ28*(1+$E29)</f>
        <v>2.9604580101678448</v>
      </c>
      <c r="AL29" s="153">
        <f t="shared" ref="AL29:AL66" si="6">((AF29+AH29)*$AF$11*1000+AJ29*AD29)/1000</f>
        <v>11476.230521670477</v>
      </c>
      <c r="AN29" s="154">
        <f>INDEX('(2.2)_Forward_Price_Curve'!$J:$J,MATCH($AB29,'(2.2)_Forward_Price_Curve'!$C:$C,0),1)</f>
        <v>10.419479166666667</v>
      </c>
      <c r="AP29" s="154">
        <f>AN29*$AF$14/1000+$AJ$14</f>
        <v>75.827496126170729</v>
      </c>
      <c r="AR29" s="154">
        <f>AR28*(1+$E29)</f>
        <v>2.3884006821397374</v>
      </c>
      <c r="AS29" s="154"/>
      <c r="AT29" s="153">
        <f t="shared" ref="AT29:AT68" si="7">AL29-BF29</f>
        <v>5299.7070862218879</v>
      </c>
      <c r="AV29" s="153">
        <f t="shared" si="3"/>
        <v>29932.910844953178</v>
      </c>
      <c r="AW29" s="273"/>
      <c r="AX29" s="155">
        <f t="shared" ref="AX29:AX68" si="8">AT29+AV29</f>
        <v>35232.617931175067</v>
      </c>
      <c r="AZ29" s="146">
        <f>+IF(AZ28&gt;$G$13+$G$14,XX,AZ28+1)</f>
        <v>2011</v>
      </c>
      <c r="BA29" s="117"/>
      <c r="BB29" s="154">
        <f>BB28*(1+$E29)</f>
        <v>66.795903658799986</v>
      </c>
      <c r="BD29" s="154">
        <f>BD28*(1+$E29)</f>
        <v>4.39833008</v>
      </c>
      <c r="BF29" s="153">
        <f t="shared" ref="BF29:BF68" si="9">(BB29+BD29)*$BD$11</f>
        <v>6176.5234354485892</v>
      </c>
      <c r="BH29" s="157"/>
    </row>
    <row r="30" spans="1:64" ht="15.75" customHeight="1">
      <c r="B30" s="2"/>
      <c r="C30">
        <f>+IF(C29&gt;$G$13+$G$14,XX,C29+1)</f>
        <v>2012</v>
      </c>
      <c r="E30" s="169">
        <f>+INDEX('(2.2)_Forward_Price_Curve'!$U:$U,MATCH($C30,'(2.2)_Forward_Price_Curve'!C:C,0))</f>
        <v>0.02</v>
      </c>
      <c r="G30" s="18">
        <v>382696</v>
      </c>
      <c r="I30" s="28">
        <f t="shared" ref="I30:I37" si="10">I29*(1+$E30)</f>
        <v>192.53331586143787</v>
      </c>
      <c r="K30" s="28">
        <f t="shared" ref="K30:K36" si="11">K29*(1+$E30)</f>
        <v>4.3533084432754841</v>
      </c>
      <c r="M30" s="28">
        <f t="shared" ref="M30:M68" si="12">M29*(1+$E30)</f>
        <v>0</v>
      </c>
      <c r="O30" s="270">
        <f>'(2.2)_Forward_Price_Curve'!Y25</f>
        <v>5.4772233376778976</v>
      </c>
      <c r="Q30" s="270">
        <f>-'(2.2)_Forward_Price_Curve'!AO23</f>
        <v>-35.45584940933778</v>
      </c>
      <c r="S30" s="18">
        <f t="shared" si="4"/>
        <v>11564.491505507407</v>
      </c>
      <c r="U30" s="18">
        <f t="shared" si="0"/>
        <v>35382.522511977717</v>
      </c>
      <c r="W30" s="18">
        <f t="shared" si="1"/>
        <v>-23818.031006470308</v>
      </c>
      <c r="Y30" s="271">
        <f t="shared" si="5"/>
        <v>-62.237470489553871</v>
      </c>
      <c r="Z30" s="235"/>
      <c r="AB30" s="146">
        <f>+IF(AB29&gt;$G$13+$G$14,XX,AB29+1)</f>
        <v>2012</v>
      </c>
      <c r="AC30" s="117"/>
      <c r="AD30" s="151">
        <f t="shared" si="2"/>
        <v>382696</v>
      </c>
      <c r="AF30" s="154">
        <f t="shared" ref="AF30:AF36" si="13">AF29*(1+$E30)</f>
        <v>106.72945543872962</v>
      </c>
      <c r="AH30" s="154">
        <f t="shared" ref="AH30:AH37" si="14">AH29*(1+$E30)</f>
        <v>8.021258745847879</v>
      </c>
      <c r="AJ30" s="154">
        <f t="shared" ref="AJ30:AJ37" si="15">AJ29*(1+$E30)</f>
        <v>3.0196671703712017</v>
      </c>
      <c r="AL30" s="153">
        <f t="shared" si="6"/>
        <v>11705.755132103888</v>
      </c>
      <c r="AN30" s="154">
        <f>INDEX('(2.2)_Forward_Price_Curve'!$J:$J,MATCH($AB30,'(2.2)_Forward_Price_Curve'!$C:$C,0),1)</f>
        <v>10.428681771666666</v>
      </c>
      <c r="AP30" s="154">
        <f>AN30*$AF$14/1000+$AJ$14*(1+E30)</f>
        <v>75.894467851323782</v>
      </c>
      <c r="AR30" s="154">
        <f t="shared" ref="AR30:AR37" si="16">AR29*(1+$E30)</f>
        <v>2.4361686957825324</v>
      </c>
      <c r="AS30" s="154"/>
      <c r="AT30" s="153">
        <f t="shared" si="7"/>
        <v>5405.701227946327</v>
      </c>
      <c r="AV30" s="153">
        <f t="shared" si="3"/>
        <v>29976.821284031394</v>
      </c>
      <c r="AW30" s="273"/>
      <c r="AX30" s="155">
        <f t="shared" si="8"/>
        <v>35382.522511977717</v>
      </c>
      <c r="AZ30" s="146">
        <f>+IF(AZ29&gt;$G$13+$G$14,XX,AZ29+1)</f>
        <v>2012</v>
      </c>
      <c r="BA30" s="117"/>
      <c r="BB30" s="154">
        <f t="shared" ref="BB30:BB68" si="17">BB29*(1+$E30)</f>
        <v>68.13182173197599</v>
      </c>
      <c r="BD30" s="154">
        <f t="shared" ref="BD30:BD68" si="18">BD29*(1+$E30)</f>
        <v>4.4862966815999998</v>
      </c>
      <c r="BF30" s="153">
        <f t="shared" si="9"/>
        <v>6300.0539041575612</v>
      </c>
      <c r="BH30" s="157"/>
    </row>
    <row r="31" spans="1:64" ht="12">
      <c r="B31" s="2"/>
      <c r="C31">
        <f>+IF(C30&gt;$G$13+$G$14,XX,C30+1)</f>
        <v>2013</v>
      </c>
      <c r="E31" s="169">
        <f>+INDEX('(2.2)_Forward_Price_Curve'!$U:$U,MATCH($C31,'(2.2)_Forward_Price_Curve'!C:C,0))</f>
        <v>0.02</v>
      </c>
      <c r="G31" s="18">
        <v>382696</v>
      </c>
      <c r="I31" s="28">
        <f t="shared" si="10"/>
        <v>196.38398217866663</v>
      </c>
      <c r="K31" s="28">
        <f t="shared" si="11"/>
        <v>4.4403746121409942</v>
      </c>
      <c r="M31" s="28">
        <f t="shared" si="12"/>
        <v>0</v>
      </c>
      <c r="O31" s="270">
        <f>'(2.2)_Forward_Price_Curve'!Y26</f>
        <v>5.5867678044314557</v>
      </c>
      <c r="Q31" s="270">
        <f>-'(2.2)_Forward_Price_Curve'!AO24</f>
        <v>-37.067478927944045</v>
      </c>
      <c r="S31" s="18">
        <f t="shared" si="4"/>
        <v>11450.393400276129</v>
      </c>
      <c r="U31" s="18">
        <f t="shared" si="0"/>
        <v>36077.899287749744</v>
      </c>
      <c r="W31" s="18">
        <f t="shared" si="1"/>
        <v>-24627.505887473613</v>
      </c>
      <c r="Y31" s="271">
        <f t="shared" si="5"/>
        <v>-64.352660826017555</v>
      </c>
      <c r="Z31" s="235"/>
      <c r="AB31" s="146">
        <f>+IF(AB30&gt;$G$13+$G$14,XX,AB30+1)</f>
        <v>2013</v>
      </c>
      <c r="AC31" s="117"/>
      <c r="AD31" s="151">
        <f t="shared" si="2"/>
        <v>382696</v>
      </c>
      <c r="AF31" s="154">
        <f t="shared" si="13"/>
        <v>108.86404454750421</v>
      </c>
      <c r="AH31" s="154">
        <f t="shared" si="14"/>
        <v>8.1816839207648364</v>
      </c>
      <c r="AJ31" s="154">
        <f t="shared" si="15"/>
        <v>3.0800605137786259</v>
      </c>
      <c r="AL31" s="153">
        <f t="shared" si="6"/>
        <v>11939.870234745964</v>
      </c>
      <c r="AN31" s="154">
        <f>INDEX('(2.2)_Forward_Price_Curve'!$J:$J,MATCH($AB31,'(2.2)_Forward_Price_Curve'!$C:$C,0),1)</f>
        <v>10.632848438333333</v>
      </c>
      <c r="AP31" s="154">
        <f>AN31*$AF$14/1000+$AJ$14*(1+E31)</f>
        <v>77.380285604603358</v>
      </c>
      <c r="AR31" s="154">
        <f t="shared" si="16"/>
        <v>2.4848920696981831</v>
      </c>
      <c r="AS31" s="154"/>
      <c r="AT31" s="153">
        <f t="shared" si="7"/>
        <v>5513.8152525052492</v>
      </c>
      <c r="AV31" s="153">
        <f t="shared" si="3"/>
        <v>30564.084035244497</v>
      </c>
      <c r="AW31" s="273"/>
      <c r="AX31" s="155">
        <f t="shared" si="8"/>
        <v>36077.899287749744</v>
      </c>
      <c r="AZ31" s="146">
        <f>+IF(AZ30&gt;$G$13+$G$14,XX,AZ30+1)</f>
        <v>2013</v>
      </c>
      <c r="BA31" s="117"/>
      <c r="BB31" s="154">
        <f t="shared" si="17"/>
        <v>69.494458166615516</v>
      </c>
      <c r="BD31" s="154">
        <f t="shared" si="18"/>
        <v>4.5760226152319996</v>
      </c>
      <c r="BF31" s="153">
        <f t="shared" si="9"/>
        <v>6426.0549822407147</v>
      </c>
      <c r="BH31" s="157"/>
    </row>
    <row r="32" spans="1:64" ht="12">
      <c r="B32" s="2"/>
      <c r="C32">
        <f>+IF(C31&gt;$G$13+$G$14,XX,C31+1)</f>
        <v>2014</v>
      </c>
      <c r="E32" s="169">
        <f>+INDEX('(2.2)_Forward_Price_Curve'!$U:$U,MATCH($C32,'(2.2)_Forward_Price_Curve'!C:C,0))</f>
        <v>0.02</v>
      </c>
      <c r="G32" s="18">
        <v>382696</v>
      </c>
      <c r="I32" s="28">
        <f t="shared" si="10"/>
        <v>200.31166182223996</v>
      </c>
      <c r="K32" s="28">
        <f t="shared" si="11"/>
        <v>4.5291821043838141</v>
      </c>
      <c r="M32" s="28">
        <f t="shared" si="12"/>
        <v>0</v>
      </c>
      <c r="O32" s="270">
        <f>'(2.2)_Forward_Price_Curve'!Y27</f>
        <v>5.6929163927156532</v>
      </c>
      <c r="Q32" s="270">
        <f>-'(2.2)_Forward_Price_Curve'!AO25</f>
        <v>-37.067478927944045</v>
      </c>
      <c r="S32" s="18">
        <f t="shared" si="4"/>
        <v>11960.974752906139</v>
      </c>
      <c r="U32" s="18">
        <f t="shared" si="0"/>
        <v>35410.964078314144</v>
      </c>
      <c r="W32" s="18">
        <f t="shared" si="1"/>
        <v>-23449.989325408005</v>
      </c>
      <c r="Y32" s="271">
        <f t="shared" si="5"/>
        <v>-61.275762812801815</v>
      </c>
      <c r="Z32" s="235"/>
      <c r="AB32" s="146">
        <f>+IF(AB31&gt;$G$13+$G$14,XX,AB31+1)</f>
        <v>2014</v>
      </c>
      <c r="AC32" s="117"/>
      <c r="AD32" s="151">
        <f t="shared" si="2"/>
        <v>382696</v>
      </c>
      <c r="AF32" s="154">
        <f t="shared" si="13"/>
        <v>111.04132543845429</v>
      </c>
      <c r="AH32" s="154">
        <f t="shared" si="14"/>
        <v>8.3453175991801327</v>
      </c>
      <c r="AJ32" s="154">
        <f t="shared" si="15"/>
        <v>3.1416617240541984</v>
      </c>
      <c r="AL32" s="153">
        <f t="shared" si="6"/>
        <v>12178.667639440882</v>
      </c>
      <c r="AN32" s="154">
        <f>INDEX('(2.2)_Forward_Price_Curve'!$J:$J,MATCH($AB32,'(2.2)_Forward_Price_Curve'!$C:$C,0),1)</f>
        <v>10.346954939583332</v>
      </c>
      <c r="AP32" s="154">
        <f t="shared" ref="AP32:AP37" si="19">AN32*$AF$14/1000+$AJ$14*(1+E32)</f>
        <v>75.299702897713772</v>
      </c>
      <c r="AR32" s="154">
        <f t="shared" si="16"/>
        <v>2.5345899110921466</v>
      </c>
      <c r="AS32" s="154"/>
      <c r="AT32" s="153">
        <f t="shared" si="7"/>
        <v>5624.0915575553536</v>
      </c>
      <c r="AV32" s="153">
        <f t="shared" si="3"/>
        <v>29786.872520758789</v>
      </c>
      <c r="AW32" s="273"/>
      <c r="AX32" s="155">
        <f t="shared" si="8"/>
        <v>35410.964078314144</v>
      </c>
      <c r="AZ32" s="146">
        <f>+IF(AZ31&gt;$G$13+$G$14,XX,AZ31+1)</f>
        <v>2014</v>
      </c>
      <c r="BA32" s="117"/>
      <c r="BB32" s="154">
        <f t="shared" si="17"/>
        <v>70.884347329947829</v>
      </c>
      <c r="BD32" s="154">
        <f t="shared" si="18"/>
        <v>4.6675430675366396</v>
      </c>
      <c r="BF32" s="153">
        <f t="shared" si="9"/>
        <v>6554.5760818855288</v>
      </c>
      <c r="BH32" s="157"/>
    </row>
    <row r="33" spans="2:60" ht="12">
      <c r="B33" s="2"/>
      <c r="C33">
        <f>+IF(C32&gt;$G$13+$G$14,XX,C32+1)</f>
        <v>2015</v>
      </c>
      <c r="E33" s="169">
        <f>+INDEX('(2.2)_Forward_Price_Curve'!$U:$U,MATCH($C33,'(2.2)_Forward_Price_Curve'!C:C,0))</f>
        <v>0.02</v>
      </c>
      <c r="G33" s="18">
        <v>382696</v>
      </c>
      <c r="I33" s="28">
        <f t="shared" si="10"/>
        <v>204.31789505868477</v>
      </c>
      <c r="K33" s="28">
        <f t="shared" si="11"/>
        <v>4.6197657464714901</v>
      </c>
      <c r="M33" s="28">
        <f t="shared" si="12"/>
        <v>0</v>
      </c>
      <c r="O33" s="270">
        <f>'(2.2)_Forward_Price_Curve'!Y28</f>
        <v>5.7953888877845348</v>
      </c>
      <c r="Q33" s="270">
        <f>-'(2.2)_Forward_Price_Curve'!AO26</f>
        <v>-37.067478927944045</v>
      </c>
      <c r="S33" s="18">
        <f t="shared" si="4"/>
        <v>12479.548453616777</v>
      </c>
      <c r="U33" s="18">
        <f t="shared" si="0"/>
        <v>32718.969880172233</v>
      </c>
      <c r="W33" s="18">
        <f t="shared" si="1"/>
        <v>-20239.421426555455</v>
      </c>
      <c r="Y33" s="271">
        <f t="shared" si="5"/>
        <v>-52.886420099910779</v>
      </c>
      <c r="Z33" s="235"/>
      <c r="AB33" s="146">
        <f>+IF(AB32&gt;$G$13+$G$14,XX,AB32+1)</f>
        <v>2015</v>
      </c>
      <c r="AC33" s="117"/>
      <c r="AD33" s="151">
        <f t="shared" si="2"/>
        <v>382696</v>
      </c>
      <c r="AF33" s="154">
        <f t="shared" si="13"/>
        <v>113.26215194722339</v>
      </c>
      <c r="AH33" s="154">
        <f t="shared" si="14"/>
        <v>8.512223951163735</v>
      </c>
      <c r="AJ33" s="154">
        <f t="shared" si="15"/>
        <v>3.2044949585352827</v>
      </c>
      <c r="AL33" s="153">
        <f t="shared" si="6"/>
        <v>12422.240992229705</v>
      </c>
      <c r="AN33" s="154">
        <f>INDEX('(2.2)_Forward_Price_Curve'!$J:$J,MATCH($AB33,'(2.2)_Forward_Price_Curve'!$C:$C,0),1)</f>
        <v>9.3330180370833329</v>
      </c>
      <c r="AP33" s="154">
        <f>AN33*$AF$14/1000+$AJ$14*(1+E33)</f>
        <v>67.920802732294405</v>
      </c>
      <c r="AR33" s="154">
        <f t="shared" si="16"/>
        <v>2.5852817093139895</v>
      </c>
      <c r="AS33" s="154"/>
      <c r="AT33" s="153">
        <f t="shared" si="7"/>
        <v>5736.5733887064653</v>
      </c>
      <c r="AV33" s="153">
        <f t="shared" si="3"/>
        <v>26982.396491465766</v>
      </c>
      <c r="AW33" s="273"/>
      <c r="AX33" s="155">
        <f t="shared" si="8"/>
        <v>32718.969880172233</v>
      </c>
      <c r="AZ33" s="146">
        <f>+IF(AZ32&gt;$G$13+$G$14,XX,AZ32+1)</f>
        <v>2015</v>
      </c>
      <c r="BA33" s="117"/>
      <c r="BB33" s="154">
        <f t="shared" si="17"/>
        <v>72.302034276546792</v>
      </c>
      <c r="BD33" s="154">
        <f t="shared" si="18"/>
        <v>4.7608939288873726</v>
      </c>
      <c r="BF33" s="153">
        <f t="shared" si="9"/>
        <v>6685.6676035232394</v>
      </c>
      <c r="BH33" s="157"/>
    </row>
    <row r="34" spans="2:60" ht="12">
      <c r="B34" s="2"/>
      <c r="C34">
        <f>+IF(C33&gt;$G$13+$G$14,XX,C33+1)</f>
        <v>2016</v>
      </c>
      <c r="E34" s="169">
        <f>+INDEX('(2.2)_Forward_Price_Curve'!$U:$U,MATCH($C34,'(2.2)_Forward_Price_Curve'!C:C,0))</f>
        <v>0.02</v>
      </c>
      <c r="G34" s="18">
        <v>382696</v>
      </c>
      <c r="I34" s="28">
        <f t="shared" si="10"/>
        <v>208.40425295985847</v>
      </c>
      <c r="K34" s="28">
        <f t="shared" si="11"/>
        <v>4.7121610614009199</v>
      </c>
      <c r="M34" s="28">
        <f t="shared" si="12"/>
        <v>0</v>
      </c>
      <c r="O34" s="270">
        <f>'(2.2)_Forward_Price_Curve'!Y29</f>
        <v>5.8997058877646564</v>
      </c>
      <c r="Q34" s="270">
        <f>-'(2.2)_Forward_Price_Curve'!AO27</f>
        <v>-37.067478927944045</v>
      </c>
      <c r="S34" s="18">
        <f t="shared" si="4"/>
        <v>13008.415196713684</v>
      </c>
      <c r="U34" s="18">
        <f t="shared" si="0"/>
        <v>31798.364914758193</v>
      </c>
      <c r="W34" s="18">
        <f t="shared" si="1"/>
        <v>-18789.949718044511</v>
      </c>
      <c r="Y34" s="271">
        <f t="shared" si="5"/>
        <v>-49.09889237944612</v>
      </c>
      <c r="Z34" s="235"/>
      <c r="AB34" s="146">
        <f>+IF(AB33&gt;$G$13+$G$14,XX,AB33+1)</f>
        <v>2016</v>
      </c>
      <c r="AC34" s="117"/>
      <c r="AD34" s="151">
        <f t="shared" si="2"/>
        <v>382696</v>
      </c>
      <c r="AF34" s="154">
        <f t="shared" si="13"/>
        <v>115.52739498616786</v>
      </c>
      <c r="AH34" s="154">
        <f t="shared" si="14"/>
        <v>8.6824684301870096</v>
      </c>
      <c r="AJ34" s="154">
        <f t="shared" si="15"/>
        <v>3.2685848577059882</v>
      </c>
      <c r="AL34" s="153">
        <f t="shared" si="6"/>
        <v>12670.685812074298</v>
      </c>
      <c r="AN34" s="154">
        <f>INDEX('(2.2)_Forward_Price_Curve'!$J:$J,MATCH($AB34,'(2.2)_Forward_Price_Curve'!$C:$C,0),1)</f>
        <v>8.9541666666666657</v>
      </c>
      <c r="AP34" s="154">
        <f t="shared" si="19"/>
        <v>65.163721465260735</v>
      </c>
      <c r="AR34" s="154">
        <f t="shared" si="16"/>
        <v>2.6369873435002695</v>
      </c>
      <c r="AS34" s="154"/>
      <c r="AT34" s="153">
        <f t="shared" si="7"/>
        <v>5851.304856480594</v>
      </c>
      <c r="AV34" s="153">
        <f t="shared" si="3"/>
        <v>25947.060058277599</v>
      </c>
      <c r="AW34" s="273"/>
      <c r="AX34" s="155">
        <f t="shared" si="8"/>
        <v>31798.364914758193</v>
      </c>
      <c r="AZ34" s="146">
        <f>+IF(AZ33&gt;$G$13+$G$14,XX,AZ33+1)</f>
        <v>2016</v>
      </c>
      <c r="BA34" s="117"/>
      <c r="BB34" s="154">
        <f t="shared" si="17"/>
        <v>73.748074962077723</v>
      </c>
      <c r="BD34" s="154">
        <f t="shared" si="18"/>
        <v>4.8561118074651199</v>
      </c>
      <c r="BF34" s="153">
        <f t="shared" si="9"/>
        <v>6819.3809555937041</v>
      </c>
      <c r="BH34" s="157"/>
    </row>
    <row r="35" spans="2:60" ht="12">
      <c r="B35" s="2"/>
      <c r="C35">
        <f>+IF(C34&gt;$G$13+$G$14,XX,C34+1)</f>
        <v>2017</v>
      </c>
      <c r="E35" s="169">
        <f>+INDEX('(2.2)_Forward_Price_Curve'!$U:$U,MATCH($C35,'(2.2)_Forward_Price_Curve'!C:C,0))</f>
        <v>1.9E-2</v>
      </c>
      <c r="G35" s="18">
        <v>382696</v>
      </c>
      <c r="I35" s="28">
        <f t="shared" si="10"/>
        <v>212.36393376609576</v>
      </c>
      <c r="K35" s="28">
        <f t="shared" si="11"/>
        <v>4.8016921215675366</v>
      </c>
      <c r="M35" s="28">
        <f t="shared" si="12"/>
        <v>0</v>
      </c>
      <c r="O35" s="270">
        <f>'(2.2)_Forward_Price_Curve'!Y30</f>
        <v>6.0059005937444203</v>
      </c>
      <c r="Q35" s="270">
        <f>-'(2.2)_Forward_Price_Curve'!AO28</f>
        <v>-38.679108446550309</v>
      </c>
      <c r="S35" s="18">
        <f t="shared" si="4"/>
        <v>12906.079063754636</v>
      </c>
      <c r="U35" s="18">
        <f t="shared" si="0"/>
        <v>33844.60334189696</v>
      </c>
      <c r="W35" s="18">
        <f t="shared" si="1"/>
        <v>-20938.524278142322</v>
      </c>
      <c r="Y35" s="271">
        <f t="shared" si="5"/>
        <v>-54.7132038958921</v>
      </c>
      <c r="Z35" s="235"/>
      <c r="AB35" s="146">
        <f>+IF(AB34&gt;$G$13+$G$14,XX,AB34+1)</f>
        <v>2017</v>
      </c>
      <c r="AC35" s="117"/>
      <c r="AD35" s="151">
        <f t="shared" si="2"/>
        <v>382696</v>
      </c>
      <c r="AF35" s="154">
        <f t="shared" si="13"/>
        <v>117.72241549090504</v>
      </c>
      <c r="AH35" s="154">
        <f t="shared" si="14"/>
        <v>8.8474353303605628</v>
      </c>
      <c r="AJ35" s="154">
        <f t="shared" si="15"/>
        <v>3.3306879700024017</v>
      </c>
      <c r="AL35" s="153">
        <f t="shared" si="6"/>
        <v>12911.428842503708</v>
      </c>
      <c r="AN35" s="154">
        <f>INDEX('(2.2)_Forward_Price_Curve'!$J:$J,MATCH($AB35,'(2.2)_Forward_Price_Curve'!$C:$C,0),1)</f>
        <v>9.6420833333333338</v>
      </c>
      <c r="AP35" s="154">
        <f t="shared" si="19"/>
        <v>70.170017609474115</v>
      </c>
      <c r="AR35" s="154">
        <f t="shared" si="16"/>
        <v>2.6870901030267742</v>
      </c>
      <c r="AS35" s="154"/>
      <c r="AT35" s="153">
        <f t="shared" si="7"/>
        <v>5962.4796487537242</v>
      </c>
      <c r="AV35" s="153">
        <f t="shared" si="3"/>
        <v>27882.12369314324</v>
      </c>
      <c r="AW35" s="273"/>
      <c r="AX35" s="155">
        <f t="shared" si="8"/>
        <v>33844.60334189696</v>
      </c>
      <c r="AZ35" s="146">
        <f>+IF(AZ34&gt;$G$13+$G$14,XX,AZ34+1)</f>
        <v>2017</v>
      </c>
      <c r="BA35" s="117"/>
      <c r="BB35" s="154">
        <f t="shared" si="17"/>
        <v>75.149288386357199</v>
      </c>
      <c r="BD35" s="154">
        <f t="shared" si="18"/>
        <v>4.9483779318069567</v>
      </c>
      <c r="BF35" s="153">
        <f t="shared" si="9"/>
        <v>6948.9491937499843</v>
      </c>
      <c r="BH35" s="157"/>
    </row>
    <row r="36" spans="2:60" ht="12">
      <c r="B36" s="2"/>
      <c r="C36">
        <f>+IF(C35&gt;$G$13+$G$14,XX,C35+1)</f>
        <v>2018</v>
      </c>
      <c r="E36" s="169">
        <f>+INDEX('(2.2)_Forward_Price_Curve'!$U:$U,MATCH($C36,'(2.2)_Forward_Price_Curve'!C:C,0))</f>
        <v>1.9E-2</v>
      </c>
      <c r="G36" s="18">
        <v>382696</v>
      </c>
      <c r="I36" s="28">
        <f t="shared" si="10"/>
        <v>216.39884850765156</v>
      </c>
      <c r="K36" s="28">
        <f t="shared" si="11"/>
        <v>4.8929242718773196</v>
      </c>
      <c r="M36" s="28">
        <f t="shared" si="12"/>
        <v>0</v>
      </c>
      <c r="O36" s="270">
        <f>'(2.2)_Forward_Price_Curve'!Y31</f>
        <v>6.1140068044318197</v>
      </c>
      <c r="Q36" s="270">
        <f>-'(2.2)_Forward_Price_Curve'!AO29</f>
        <v>-38.679108446550309</v>
      </c>
      <c r="S36" s="18">
        <f t="shared" si="4"/>
        <v>13430.24059346751</v>
      </c>
      <c r="U36" s="18">
        <f t="shared" si="0"/>
        <v>38612.23367410904</v>
      </c>
      <c r="W36" s="18">
        <f t="shared" si="1"/>
        <v>-25181.993080641529</v>
      </c>
      <c r="Y36" s="271">
        <f t="shared" si="5"/>
        <v>-65.801558105236353</v>
      </c>
      <c r="Z36" s="235"/>
      <c r="AB36" s="146">
        <f>+IF(AB35&gt;$G$13+$G$14,XX,AB35+1)</f>
        <v>2018</v>
      </c>
      <c r="AC36" s="117"/>
      <c r="AD36" s="151">
        <f t="shared" si="2"/>
        <v>382696</v>
      </c>
      <c r="AF36" s="154">
        <f t="shared" si="13"/>
        <v>119.95914138523221</v>
      </c>
      <c r="AH36" s="154">
        <f t="shared" si="14"/>
        <v>9.0155366016374128</v>
      </c>
      <c r="AJ36" s="154">
        <f t="shared" si="15"/>
        <v>3.3939710414324469</v>
      </c>
      <c r="AL36" s="153">
        <f t="shared" si="6"/>
        <v>13156.745990511277</v>
      </c>
      <c r="AN36" s="154">
        <f>INDEX('(2.2)_Forward_Price_Curve'!$J:$J,MATCH($AB36,'(2.2)_Forward_Price_Curve'!$C:$C,0),1)</f>
        <v>11.30625</v>
      </c>
      <c r="AP36" s="154">
        <f t="shared" si="19"/>
        <v>82.280948439267121</v>
      </c>
      <c r="AR36" s="154">
        <f t="shared" si="16"/>
        <v>2.7381448149842829</v>
      </c>
      <c r="AS36" s="154"/>
      <c r="AT36" s="153">
        <f t="shared" si="7"/>
        <v>6075.7667620800448</v>
      </c>
      <c r="AV36" s="153">
        <f t="shared" si="3"/>
        <v>32536.466912028995</v>
      </c>
      <c r="AW36" s="273"/>
      <c r="AX36" s="155">
        <f t="shared" si="8"/>
        <v>38612.23367410904</v>
      </c>
      <c r="AZ36" s="146">
        <f>+IF(AZ35&gt;$G$13+$G$14,XX,AZ35+1)</f>
        <v>2018</v>
      </c>
      <c r="BA36" s="117"/>
      <c r="BB36" s="154">
        <f t="shared" si="17"/>
        <v>76.577124865697982</v>
      </c>
      <c r="BD36" s="154">
        <f t="shared" si="18"/>
        <v>5.0423971125112885</v>
      </c>
      <c r="BF36" s="153">
        <f t="shared" si="9"/>
        <v>7080.9792284312325</v>
      </c>
      <c r="BH36" s="157"/>
    </row>
    <row r="37" spans="2:60" ht="12">
      <c r="B37" s="2"/>
      <c r="C37">
        <f>+IF(C36&gt;$G$13+$G$14,XX,C36+1)</f>
        <v>2019</v>
      </c>
      <c r="E37" s="169">
        <f>+INDEX('(2.2)_Forward_Price_Curve'!$U:$U,MATCH($C37,'(2.2)_Forward_Price_Curve'!C:C,0))</f>
        <v>1.9E-2</v>
      </c>
      <c r="G37" s="18">
        <v>382696</v>
      </c>
      <c r="I37" s="28">
        <f t="shared" si="10"/>
        <v>220.51042662929692</v>
      </c>
      <c r="K37" s="28">
        <f>K36*(1+$E37)</f>
        <v>4.9858898330429886</v>
      </c>
      <c r="M37" s="28">
        <f t="shared" si="12"/>
        <v>0</v>
      </c>
      <c r="O37" s="270">
        <f>'(2.2)_Forward_Price_Curve'!Y32</f>
        <v>6.2240589269115922</v>
      </c>
      <c r="Q37" s="270">
        <f>-'(2.2)_Forward_Price_Curve'!AO30</f>
        <v>-40.290737965156573</v>
      </c>
      <c r="S37" s="18">
        <f t="shared" si="4"/>
        <v>13347.555650177977</v>
      </c>
      <c r="U37" s="18">
        <f t="shared" si="0"/>
        <v>39989.255696010725</v>
      </c>
      <c r="W37" s="18">
        <f t="shared" si="1"/>
        <v>-26641.700045832746</v>
      </c>
      <c r="Y37" s="271">
        <f t="shared" si="5"/>
        <v>-69.615830961997887</v>
      </c>
      <c r="Z37" s="235"/>
      <c r="AB37" s="146">
        <f>+IF(AB36&gt;$G$13+$G$14,XX,AB36+1)</f>
        <v>2019</v>
      </c>
      <c r="AC37" s="117"/>
      <c r="AD37" s="151">
        <f t="shared" si="2"/>
        <v>382696</v>
      </c>
      <c r="AF37" s="154">
        <f>AF36*(1+$E37)</f>
        <v>122.23836507155161</v>
      </c>
      <c r="AH37" s="154">
        <f t="shared" si="14"/>
        <v>9.1868317970685229</v>
      </c>
      <c r="AJ37" s="154">
        <f t="shared" si="15"/>
        <v>3.4584564912196631</v>
      </c>
      <c r="AL37" s="153">
        <f t="shared" si="6"/>
        <v>13406.72416433099</v>
      </c>
      <c r="AN37" s="154">
        <f>INDEX('(2.2)_Forward_Price_Curve'!$J:$J,MATCH($AB37,'(2.2)_Forward_Price_Curve'!$C:$C,0),1)</f>
        <v>11.752083333333331</v>
      </c>
      <c r="AP37" s="154">
        <f t="shared" si="19"/>
        <v>85.525489247448988</v>
      </c>
      <c r="AR37" s="154">
        <f t="shared" si="16"/>
        <v>2.7901695664689838</v>
      </c>
      <c r="AS37" s="154"/>
      <c r="AT37" s="153">
        <f t="shared" si="7"/>
        <v>6191.206330559563</v>
      </c>
      <c r="AV37" s="153">
        <f t="shared" si="3"/>
        <v>33798.049365451159</v>
      </c>
      <c r="AW37" s="273"/>
      <c r="AX37" s="155">
        <f t="shared" si="8"/>
        <v>39989.255696010725</v>
      </c>
      <c r="AZ37" s="146">
        <f>+IF(AZ36&gt;$G$13+$G$14,XX,AZ36+1)</f>
        <v>2019</v>
      </c>
      <c r="BA37" s="117"/>
      <c r="BB37" s="154">
        <f t="shared" si="17"/>
        <v>78.032090238146239</v>
      </c>
      <c r="BD37" s="154">
        <f t="shared" si="18"/>
        <v>5.1382026576490025</v>
      </c>
      <c r="BF37" s="153">
        <f t="shared" si="9"/>
        <v>7215.5178337714269</v>
      </c>
      <c r="BH37" s="157"/>
    </row>
    <row r="38" spans="2:60" ht="12">
      <c r="B38" s="2"/>
      <c r="C38">
        <f>+IF(C37&gt;$G$13+$G$14,XX,C37+1)</f>
        <v>2020</v>
      </c>
      <c r="E38" s="169">
        <f>+INDEX('(2.2)_Forward_Price_Curve'!$U:$U,MATCH($C38,'(2.2)_Forward_Price_Curve'!C:C,0))</f>
        <v>1.9E-2</v>
      </c>
      <c r="G38" s="544">
        <v>355863</v>
      </c>
      <c r="I38" s="420">
        <v>214.28385699702636</v>
      </c>
      <c r="K38" s="420">
        <v>9.2737432604549515</v>
      </c>
      <c r="M38" s="28">
        <f t="shared" si="12"/>
        <v>0</v>
      </c>
      <c r="O38" s="546">
        <v>0.63</v>
      </c>
      <c r="Q38" s="549">
        <v>-32.06642661499032</v>
      </c>
      <c r="S38" s="18">
        <f t="shared" si="4"/>
        <v>15898.629140074909</v>
      </c>
      <c r="U38" s="18">
        <f t="shared" si="0"/>
        <v>12067.745420271458</v>
      </c>
      <c r="W38" s="18">
        <f t="shared" si="1"/>
        <v>3830.8837198034507</v>
      </c>
      <c r="Y38" s="271">
        <f t="shared" si="5"/>
        <v>10.765052055997534</v>
      </c>
      <c r="Z38" s="235"/>
      <c r="AB38" s="146">
        <f>+IF(AB37&gt;$G$13+$G$14,XX,AB37+1)</f>
        <v>2020</v>
      </c>
      <c r="AC38" s="117"/>
      <c r="AD38" s="151">
        <f t="shared" si="2"/>
        <v>355863</v>
      </c>
      <c r="AF38" s="399">
        <f>AR15*AR16</f>
        <v>98.875745606933918</v>
      </c>
      <c r="AH38" s="399">
        <f>AV11</f>
        <v>19.805241420865066</v>
      </c>
      <c r="AJ38" s="399">
        <f>AV13</f>
        <v>2.02116486562735</v>
      </c>
      <c r="AL38" s="153">
        <f t="shared" si="6"/>
        <v>11630.74628977982</v>
      </c>
      <c r="AN38" s="399">
        <f>INDEX('(2.2)_Forward_Price_Curve'!$K:$K,MATCH($AB38,'(2.2)_Forward_Price_Curve'!$C:$C,0),1)</f>
        <v>2.6944208333333339</v>
      </c>
      <c r="AP38" s="154">
        <f t="shared" ref="AP38:AP68" si="20">AN38*$AF$14/1000</f>
        <v>19.608579472520699</v>
      </c>
      <c r="AR38" s="399">
        <f>AV15</f>
        <v>2.2807762714164963</v>
      </c>
      <c r="AS38" s="154"/>
      <c r="AT38" s="153">
        <f t="shared" si="7"/>
        <v>4278.1336171667363</v>
      </c>
      <c r="AV38" s="153">
        <f t="shared" si="3"/>
        <v>7789.6118031047217</v>
      </c>
      <c r="AW38" s="273"/>
      <c r="AX38" s="155">
        <f t="shared" si="8"/>
        <v>12067.745420271458</v>
      </c>
      <c r="AZ38" s="383">
        <f>+IF(AZ37&gt;$G$13+$G$14,XX,AZ37+1)</f>
        <v>2020</v>
      </c>
      <c r="BA38" s="117"/>
      <c r="BB38" s="399">
        <f t="shared" si="17"/>
        <v>79.514699952671009</v>
      </c>
      <c r="BD38" s="399">
        <f t="shared" si="18"/>
        <v>5.2358285081443334</v>
      </c>
      <c r="BF38" s="153">
        <f t="shared" si="9"/>
        <v>7352.6126726130833</v>
      </c>
      <c r="BH38" s="157"/>
    </row>
    <row r="39" spans="2:60" ht="12">
      <c r="B39" s="2"/>
      <c r="C39">
        <f>+IF(C38&gt;$G$13+$G$14,XX,C38+1)</f>
        <v>2021</v>
      </c>
      <c r="E39" s="169">
        <f>+INDEX('(2.2)_Forward_Price_Curve'!$U:$U,MATCH($C39,'(2.2)_Forward_Price_Curve'!C:C,0))</f>
        <v>1.7999999999999999E-2</v>
      </c>
      <c r="G39" s="545">
        <v>429997.99999999994</v>
      </c>
      <c r="I39" s="360">
        <v>303.06365391318457</v>
      </c>
      <c r="K39" s="360">
        <v>14.391339302287342</v>
      </c>
      <c r="M39" s="28">
        <f t="shared" si="12"/>
        <v>0</v>
      </c>
      <c r="O39" s="547">
        <v>0.6399999999999999</v>
      </c>
      <c r="Q39" s="548">
        <v>-34.476814342354764</v>
      </c>
      <c r="S39" s="18">
        <f t="shared" si="4"/>
        <v>25278.55020808458</v>
      </c>
      <c r="U39" s="18">
        <f t="shared" si="0"/>
        <v>14508.310199187341</v>
      </c>
      <c r="W39" s="18">
        <f t="shared" si="1"/>
        <v>10770.240008897239</v>
      </c>
      <c r="Y39" s="271">
        <f t="shared" si="5"/>
        <v>25.047186286673988</v>
      </c>
      <c r="Z39" s="235"/>
      <c r="AB39" s="146">
        <f>+IF(AB38&gt;$G$13+$G$14,XX,AB38+1)</f>
        <v>2021</v>
      </c>
      <c r="AC39" s="117"/>
      <c r="AD39" s="151">
        <f t="shared" si="2"/>
        <v>429997.99999999994</v>
      </c>
      <c r="AF39" s="154">
        <f t="shared" ref="AF39:AF68" si="21">AF38*(1+$E39)</f>
        <v>100.65550902785873</v>
      </c>
      <c r="AH39" s="154">
        <f t="shared" ref="AH39:AH68" si="22">AH38*(1+$E39)</f>
        <v>20.161735766440639</v>
      </c>
      <c r="AJ39" s="154">
        <f t="shared" ref="AJ39:AJ68" si="23">AJ38*(1+$E39)</f>
        <v>2.0575458332086423</v>
      </c>
      <c r="AL39" s="153">
        <f t="shared" si="6"/>
        <v>11992.635883340779</v>
      </c>
      <c r="AN39" s="154">
        <f>INDEX('(2.2)_Forward_Price_Curve'!$K:$K,MATCH($AB39,'(2.2)_Forward_Price_Curve'!$C:$C,0),1)</f>
        <v>2.8767624999999999</v>
      </c>
      <c r="AP39" s="154">
        <f t="shared" si="20"/>
        <v>20.9355663402558</v>
      </c>
      <c r="AR39" s="154">
        <f>AR38*(1+$E39)</f>
        <v>2.3218302443019931</v>
      </c>
      <c r="AS39" s="154"/>
      <c r="AT39" s="153">
        <f t="shared" si="7"/>
        <v>4507.6761826206612</v>
      </c>
      <c r="AV39" s="153">
        <f t="shared" si="3"/>
        <v>10000.634016566681</v>
      </c>
      <c r="AW39" s="273"/>
      <c r="AX39" s="155">
        <f t="shared" si="8"/>
        <v>14508.310199187341</v>
      </c>
      <c r="AZ39" s="384">
        <f>+IF(AZ38&gt;$I$13+$I$14,XX,AZ38+1)</f>
        <v>2021</v>
      </c>
      <c r="BA39" s="117"/>
      <c r="BB39" s="154">
        <f t="shared" si="17"/>
        <v>80.945964551819088</v>
      </c>
      <c r="BD39" s="154">
        <f t="shared" si="18"/>
        <v>5.3300734212909315</v>
      </c>
      <c r="BF39" s="153">
        <f t="shared" si="9"/>
        <v>7484.9597007201182</v>
      </c>
      <c r="BH39" s="157"/>
    </row>
    <row r="40" spans="2:60" ht="12">
      <c r="B40" s="2"/>
      <c r="C40">
        <f>+IF(C39&gt;$G$13+$G$14,XX,C39+1)</f>
        <v>2022</v>
      </c>
      <c r="E40" s="169">
        <f>+INDEX('(2.2)_Forward_Price_Curve'!$U:$U,MATCH($C40,'(2.2)_Forward_Price_Curve'!C:C,0))</f>
        <v>1.7999999999999999E-2</v>
      </c>
      <c r="G40" s="545">
        <v>429997.99999999994</v>
      </c>
      <c r="I40" s="360">
        <v>308.82186333753498</v>
      </c>
      <c r="K40" s="360">
        <v>14.722340106239955</v>
      </c>
      <c r="M40" s="28">
        <f t="shared" si="12"/>
        <v>0</v>
      </c>
      <c r="O40" s="547">
        <v>0.66</v>
      </c>
      <c r="Q40" s="548">
        <v>-34.476814342354764</v>
      </c>
      <c r="S40" s="18">
        <f t="shared" si="4"/>
        <v>26068.641097885491</v>
      </c>
      <c r="U40" s="18">
        <f t="shared" si="0"/>
        <v>15023.902948293369</v>
      </c>
      <c r="W40" s="18">
        <f t="shared" si="1"/>
        <v>11044.738149592122</v>
      </c>
      <c r="Y40" s="271">
        <f t="shared" si="5"/>
        <v>25.685557024898078</v>
      </c>
      <c r="Z40" s="235"/>
      <c r="AB40" s="146">
        <f>+IF(AB39&gt;$G$13+$G$14,XX,AB39+1)</f>
        <v>2022</v>
      </c>
      <c r="AC40" s="117"/>
      <c r="AD40" s="151">
        <f t="shared" si="2"/>
        <v>429997.99999999994</v>
      </c>
      <c r="AF40" s="154">
        <f t="shared" si="21"/>
        <v>102.46730819036019</v>
      </c>
      <c r="AH40" s="154">
        <f t="shared" si="22"/>
        <v>20.524647010236571</v>
      </c>
      <c r="AJ40" s="154">
        <f t="shared" si="23"/>
        <v>2.0945816582063976</v>
      </c>
      <c r="AL40" s="153">
        <f t="shared" si="6"/>
        <v>12208.503329240913</v>
      </c>
      <c r="AN40" s="154">
        <f>INDEX('(2.2)_Forward_Price_Curve'!$K:$K,MATCH($AB40,'(2.2)_Forward_Price_Curve'!$C:$C,0),1)</f>
        <v>3.0098541666666665</v>
      </c>
      <c r="AP40" s="154">
        <f t="shared" si="20"/>
        <v>21.904137578526324</v>
      </c>
      <c r="AR40" s="154">
        <f t="shared" ref="AR40:AR68" si="24">AR39*(1+$E40)</f>
        <v>2.363623188699429</v>
      </c>
      <c r="AS40" s="154"/>
      <c r="AT40" s="153">
        <f t="shared" si="7"/>
        <v>4588.8143539078328</v>
      </c>
      <c r="AV40" s="153">
        <f t="shared" si="3"/>
        <v>10435.088594385537</v>
      </c>
      <c r="AW40" s="273"/>
      <c r="AX40" s="155">
        <f t="shared" si="8"/>
        <v>15023.902948293369</v>
      </c>
      <c r="AZ40" s="384">
        <f>+IF(AZ39&gt;$I$13+$I$14,XX,AZ39+1)</f>
        <v>2022</v>
      </c>
      <c r="BA40" s="117"/>
      <c r="BB40" s="154">
        <f t="shared" si="17"/>
        <v>82.402991913751833</v>
      </c>
      <c r="BD40" s="154">
        <f t="shared" si="18"/>
        <v>5.4260147428741687</v>
      </c>
      <c r="BF40" s="153">
        <f t="shared" si="9"/>
        <v>7619.6889753330806</v>
      </c>
      <c r="BH40" s="157"/>
    </row>
    <row r="41" spans="2:60" ht="12">
      <c r="B41" s="2"/>
      <c r="C41">
        <f>+IF(C40&gt;$G$13+$G$14,XX,C40+1)</f>
        <v>2023</v>
      </c>
      <c r="E41" s="169">
        <f>+INDEX('(2.2)_Forward_Price_Curve'!$U:$U,MATCH($C41,'(2.2)_Forward_Price_Curve'!C:C,0))</f>
        <v>1.9E-2</v>
      </c>
      <c r="G41" s="545">
        <v>429997.99999999994</v>
      </c>
      <c r="I41" s="360">
        <v>314.68947874094818</v>
      </c>
      <c r="K41" s="360">
        <v>15.060953928683469</v>
      </c>
      <c r="M41" s="28">
        <f t="shared" si="12"/>
        <v>0</v>
      </c>
      <c r="O41" s="547">
        <v>0.67</v>
      </c>
      <c r="Q41" s="548">
        <v>-35.802845663214562</v>
      </c>
      <c r="S41" s="18">
        <f t="shared" si="4"/>
        <v>26299.658838180345</v>
      </c>
      <c r="U41" s="18">
        <f t="shared" si="0"/>
        <v>16592.553318137798</v>
      </c>
      <c r="W41" s="18">
        <f t="shared" si="1"/>
        <v>9707.1055200425471</v>
      </c>
      <c r="Y41" s="271">
        <f t="shared" si="5"/>
        <v>22.574768999024528</v>
      </c>
      <c r="Z41" s="235"/>
      <c r="AB41" s="146">
        <f>+IF(AB40&gt;$G$13+$G$14,XX,AB40+1)</f>
        <v>2023</v>
      </c>
      <c r="AC41" s="117"/>
      <c r="AD41" s="151">
        <f t="shared" si="2"/>
        <v>429997.99999999994</v>
      </c>
      <c r="AF41" s="154">
        <f t="shared" si="21"/>
        <v>104.41418704597702</v>
      </c>
      <c r="AH41" s="154">
        <f t="shared" si="22"/>
        <v>20.914615303431063</v>
      </c>
      <c r="AJ41" s="154">
        <f t="shared" si="23"/>
        <v>2.134378709712319</v>
      </c>
      <c r="AL41" s="153">
        <f t="shared" si="6"/>
        <v>12440.464892496489</v>
      </c>
      <c r="AN41" s="154">
        <f>INDEX('(2.2)_Forward_Price_Curve'!$K:$K,MATCH($AB41,'(2.2)_Forward_Price_Curve'!$C:$C,0),1)</f>
        <v>3.4771000000000001</v>
      </c>
      <c r="AP41" s="154">
        <f t="shared" si="20"/>
        <v>25.304507313934828</v>
      </c>
      <c r="AR41" s="154">
        <f t="shared" si="24"/>
        <v>2.4085320292847179</v>
      </c>
      <c r="AS41" s="154"/>
      <c r="AT41" s="153">
        <f t="shared" si="7"/>
        <v>4676.0018266320812</v>
      </c>
      <c r="AV41" s="153">
        <f t="shared" si="3"/>
        <v>11916.551491505716</v>
      </c>
      <c r="AW41" s="273"/>
      <c r="AX41" s="155">
        <f t="shared" si="8"/>
        <v>16592.553318137798</v>
      </c>
      <c r="AZ41" s="384">
        <f>+IF(AZ40&gt;$I$13+$I$14,XX,AZ40+1)</f>
        <v>2023</v>
      </c>
      <c r="BA41" s="117"/>
      <c r="BB41" s="154">
        <f t="shared" si="17"/>
        <v>83.968648760113112</v>
      </c>
      <c r="BD41" s="154">
        <f t="shared" si="18"/>
        <v>5.5291090229887772</v>
      </c>
      <c r="BF41" s="153">
        <f t="shared" si="9"/>
        <v>7764.4630658644082</v>
      </c>
      <c r="BH41" s="157"/>
    </row>
    <row r="42" spans="2:60" ht="12">
      <c r="B42" s="2"/>
      <c r="C42">
        <f>+IF(C41&gt;$G$13+$G$14,XX,C41+1)</f>
        <v>2024</v>
      </c>
      <c r="E42" s="169">
        <f>+INDEX('(2.2)_Forward_Price_Curve'!$U:$U,MATCH($C42,'(2.2)_Forward_Price_Curve'!C:C,0))</f>
        <v>1.9E-2</v>
      </c>
      <c r="G42" s="545">
        <v>430004.99999999994</v>
      </c>
      <c r="I42" s="360">
        <v>320.66857883702613</v>
      </c>
      <c r="K42" s="360">
        <v>15.449567802930979</v>
      </c>
      <c r="M42" s="28">
        <f t="shared" si="12"/>
        <v>0</v>
      </c>
      <c r="O42" s="547">
        <v>0.69</v>
      </c>
      <c r="Q42" s="548">
        <v>-35.802845663214569</v>
      </c>
      <c r="S42" s="18">
        <f t="shared" si="4"/>
        <v>27138.904454598658</v>
      </c>
      <c r="U42" s="18">
        <f t="shared" si="0"/>
        <v>18192.993737669793</v>
      </c>
      <c r="W42" s="18">
        <f t="shared" si="1"/>
        <v>8945.9107169288654</v>
      </c>
      <c r="Y42" s="271">
        <f t="shared" si="5"/>
        <v>20.804201618420407</v>
      </c>
      <c r="Z42" s="235"/>
      <c r="AB42" s="146">
        <f>+IF(AB41&gt;$G$13+$G$14,XX,AB41+1)</f>
        <v>2024</v>
      </c>
      <c r="AC42" s="117"/>
      <c r="AD42" s="151">
        <f t="shared" si="2"/>
        <v>430004.99999999994</v>
      </c>
      <c r="AF42" s="154">
        <f t="shared" si="21"/>
        <v>106.39805659985056</v>
      </c>
      <c r="AH42" s="154">
        <f t="shared" si="22"/>
        <v>21.311992994196252</v>
      </c>
      <c r="AJ42" s="154">
        <f t="shared" si="23"/>
        <v>2.174931905196853</v>
      </c>
      <c r="AL42" s="153">
        <f t="shared" si="6"/>
        <v>12676.848949977257</v>
      </c>
      <c r="AN42" s="154">
        <f>INDEX('(2.2)_Forward_Price_Curve'!$K:$K,MATCH($AB42,'(2.2)_Forward_Price_Curve'!$C:$C,0),1)</f>
        <v>3.9537833333333325</v>
      </c>
      <c r="AP42" s="154">
        <f t="shared" si="20"/>
        <v>28.773558216918392</v>
      </c>
      <c r="AR42" s="154">
        <f t="shared" si="24"/>
        <v>2.4542941378411274</v>
      </c>
      <c r="AS42" s="154"/>
      <c r="AT42" s="153">
        <f t="shared" si="7"/>
        <v>4764.8610858614256</v>
      </c>
      <c r="AV42" s="153">
        <f t="shared" si="3"/>
        <v>13428.132651808366</v>
      </c>
      <c r="AW42" s="273"/>
      <c r="AX42" s="155">
        <f t="shared" si="8"/>
        <v>18192.993737669793</v>
      </c>
      <c r="AZ42" s="384">
        <f>+IF(AZ41&gt;$I$13+$I$14,XX,AZ41+1)</f>
        <v>2024</v>
      </c>
      <c r="BA42" s="117"/>
      <c r="BB42" s="154">
        <f t="shared" si="17"/>
        <v>85.564053086555248</v>
      </c>
      <c r="BD42" s="154">
        <f t="shared" si="18"/>
        <v>5.6341620944255633</v>
      </c>
      <c r="BF42" s="153">
        <f t="shared" si="9"/>
        <v>7911.9878641158311</v>
      </c>
      <c r="BH42" s="157"/>
    </row>
    <row r="43" spans="2:60" ht="12">
      <c r="B43" s="2"/>
      <c r="C43">
        <f>+IF(C42&gt;$G$13+$G$14,XX,C42+1)</f>
        <v>2025</v>
      </c>
      <c r="E43" s="169">
        <f>+INDEX('(2.2)_Forward_Price_Curve'!$U:$U,MATCH($C43,'(2.2)_Forward_Price_Curve'!C:C,0))</f>
        <v>1.9E-2</v>
      </c>
      <c r="G43" s="545">
        <v>429997.99999999994</v>
      </c>
      <c r="I43" s="360">
        <v>326.7612818349296</v>
      </c>
      <c r="K43" s="360">
        <v>15.746317698162139</v>
      </c>
      <c r="M43" s="28">
        <f t="shared" si="12"/>
        <v>0</v>
      </c>
      <c r="O43" s="547">
        <v>0.69999999999999984</v>
      </c>
      <c r="Q43" s="548">
        <v>-37.128876984074367</v>
      </c>
      <c r="S43" s="18">
        <f t="shared" si="4"/>
        <v>27377.043155853506</v>
      </c>
      <c r="U43" s="18">
        <f t="shared" si="0"/>
        <v>18788.032866587109</v>
      </c>
      <c r="W43" s="18">
        <f t="shared" si="1"/>
        <v>8589.0102892663963</v>
      </c>
      <c r="Y43" s="271">
        <f t="shared" si="5"/>
        <v>19.974535437993659</v>
      </c>
      <c r="Z43" s="235"/>
      <c r="AB43" s="146">
        <f>+IF(AB42&gt;$G$13+$G$14,XX,AB42+1)</f>
        <v>2025</v>
      </c>
      <c r="AC43" s="117"/>
      <c r="AD43" s="151">
        <f t="shared" si="2"/>
        <v>429997.99999999994</v>
      </c>
      <c r="AF43" s="154">
        <f t="shared" si="21"/>
        <v>108.41961967524772</v>
      </c>
      <c r="AH43" s="154">
        <f t="shared" si="22"/>
        <v>21.716920861085978</v>
      </c>
      <c r="AJ43" s="154">
        <f t="shared" si="23"/>
        <v>2.2162556113955931</v>
      </c>
      <c r="AL43" s="153">
        <f t="shared" si="6"/>
        <v>12917.693566237545</v>
      </c>
      <c r="AN43" s="154">
        <f>INDEX('(2.2)_Forward_Price_Curve'!$K:$K,MATCH($AB43,'(2.2)_Forward_Price_Curve'!$C:$C,0),1)</f>
        <v>4.1086708333333339</v>
      </c>
      <c r="AP43" s="154">
        <f t="shared" si="20"/>
        <v>29.900748081054342</v>
      </c>
      <c r="AR43" s="154">
        <f t="shared" si="24"/>
        <v>2.5009257264601086</v>
      </c>
      <c r="AS43" s="154"/>
      <c r="AT43" s="153">
        <f t="shared" si="7"/>
        <v>4855.3779327035145</v>
      </c>
      <c r="AV43" s="153">
        <f t="shared" si="3"/>
        <v>13932.654933883596</v>
      </c>
      <c r="AW43" s="273"/>
      <c r="AX43" s="155">
        <f t="shared" si="8"/>
        <v>18788.032866587109</v>
      </c>
      <c r="AZ43" s="384">
        <f>+IF(AZ42&gt;$I$13+$I$14,XX,AZ42+1)</f>
        <v>2025</v>
      </c>
      <c r="BA43" s="117"/>
      <c r="BB43" s="154">
        <f t="shared" si="17"/>
        <v>87.18977009519979</v>
      </c>
      <c r="BD43" s="154">
        <f t="shared" si="18"/>
        <v>5.7412111742196483</v>
      </c>
      <c r="BF43" s="153">
        <f t="shared" si="9"/>
        <v>8062.3156335340309</v>
      </c>
      <c r="BH43" s="157"/>
    </row>
    <row r="44" spans="2:60" ht="12">
      <c r="B44" s="2"/>
      <c r="C44">
        <f>+IF(C43&gt;$G$13+$G$14,XX,C43+1)</f>
        <v>2026</v>
      </c>
      <c r="E44" s="169">
        <f>+INDEX('(2.2)_Forward_Price_Curve'!$U:$U,MATCH($C44,'(2.2)_Forward_Price_Curve'!C:C,0))</f>
        <v>1.9E-2</v>
      </c>
      <c r="G44" s="545">
        <v>429997.99999999994</v>
      </c>
      <c r="I44" s="360">
        <v>332.73408592429303</v>
      </c>
      <c r="K44" s="360">
        <v>16.092736687521707</v>
      </c>
      <c r="M44" s="28">
        <f t="shared" si="12"/>
        <v>0</v>
      </c>
      <c r="O44" s="547">
        <v>0.72</v>
      </c>
      <c r="Q44" s="548">
        <v>-38.454908304934165</v>
      </c>
      <c r="S44" s="18">
        <f t="shared" si="4"/>
        <v>27627.393026452402</v>
      </c>
      <c r="U44" s="18">
        <f t="shared" si="0"/>
        <v>19144.268293267232</v>
      </c>
      <c r="W44" s="18">
        <f t="shared" si="1"/>
        <v>8483.12473318517</v>
      </c>
      <c r="Y44" s="271">
        <f t="shared" si="5"/>
        <v>19.728288813401857</v>
      </c>
      <c r="Z44" s="235"/>
      <c r="AB44" s="146">
        <f>+IF(AB43&gt;$G$13+$G$14,XX,AB43+1)</f>
        <v>2026</v>
      </c>
      <c r="AC44" s="117"/>
      <c r="AD44" s="151">
        <f t="shared" si="2"/>
        <v>429997.99999999994</v>
      </c>
      <c r="AF44" s="154">
        <f t="shared" si="21"/>
        <v>110.47959244907742</v>
      </c>
      <c r="AH44" s="154">
        <f t="shared" si="22"/>
        <v>22.12954235744661</v>
      </c>
      <c r="AJ44" s="154">
        <f t="shared" si="23"/>
        <v>2.2583644680121093</v>
      </c>
      <c r="AL44" s="153">
        <f t="shared" si="6"/>
        <v>13163.129743996058</v>
      </c>
      <c r="AN44" s="154">
        <f>INDEX('(2.2)_Forward_Price_Curve'!$K:$K,MATCH($AB44,'(2.2)_Forward_Price_Curve'!$C:$C,0),1)</f>
        <v>4.1864999999999997</v>
      </c>
      <c r="AP44" s="154">
        <f t="shared" si="20"/>
        <v>30.467147873166763</v>
      </c>
      <c r="AR44" s="154">
        <f t="shared" si="24"/>
        <v>2.5484433152628503</v>
      </c>
      <c r="AS44" s="154"/>
      <c r="AT44" s="153">
        <f t="shared" si="7"/>
        <v>4947.6301134248806</v>
      </c>
      <c r="AV44" s="153">
        <f t="shared" si="3"/>
        <v>14196.638179842354</v>
      </c>
      <c r="AW44" s="273"/>
      <c r="AX44" s="155">
        <f t="shared" si="8"/>
        <v>19144.268293267232</v>
      </c>
      <c r="AZ44" s="384">
        <f>+IF(AZ43&gt;$I$13+$I$14,XX,AZ43+1)</f>
        <v>2026</v>
      </c>
      <c r="BA44" s="117"/>
      <c r="BB44" s="154">
        <f t="shared" si="17"/>
        <v>88.846375727008578</v>
      </c>
      <c r="BD44" s="154">
        <f t="shared" si="18"/>
        <v>5.8502941865298208</v>
      </c>
      <c r="BF44" s="153">
        <f t="shared" si="9"/>
        <v>8215.4996305711775</v>
      </c>
      <c r="BH44" s="157"/>
    </row>
    <row r="45" spans="2:60" ht="12">
      <c r="B45" s="2"/>
      <c r="C45">
        <f>+IF(C44&gt;$G$13+$G$14,XX,C44+1)</f>
        <v>2027</v>
      </c>
      <c r="E45" s="169">
        <f>+INDEX('(2.2)_Forward_Price_Curve'!$U:$U,MATCH($C45,'(2.2)_Forward_Price_Curve'!C:C,0))</f>
        <v>1.9E-2</v>
      </c>
      <c r="G45" s="545">
        <v>429997.99999999994</v>
      </c>
      <c r="I45" s="360">
        <v>338.81613140657532</v>
      </c>
      <c r="K45" s="360">
        <v>16.446776894647183</v>
      </c>
      <c r="M45" s="28">
        <f t="shared" si="12"/>
        <v>0</v>
      </c>
      <c r="O45" s="547">
        <v>0.74</v>
      </c>
      <c r="Q45" s="548">
        <v>-38.454908304934165</v>
      </c>
      <c r="S45" s="18">
        <f t="shared" si="4"/>
        <v>28463.336615969278</v>
      </c>
      <c r="U45" s="18">
        <f t="shared" si="0"/>
        <v>20106.547390355823</v>
      </c>
      <c r="W45" s="18">
        <f t="shared" si="1"/>
        <v>8356.7892256134546</v>
      </c>
      <c r="Y45" s="271">
        <f t="shared" si="5"/>
        <v>19.434483940886832</v>
      </c>
      <c r="Z45" s="235"/>
      <c r="AB45" s="146">
        <f>+IF(AB44&gt;$G$13+$G$14,XX,AB44+1)</f>
        <v>2027</v>
      </c>
      <c r="AC45" s="117"/>
      <c r="AD45" s="151">
        <f t="shared" si="2"/>
        <v>429997.99999999994</v>
      </c>
      <c r="AF45" s="154">
        <f t="shared" si="21"/>
        <v>112.57870470560988</v>
      </c>
      <c r="AH45" s="154">
        <f t="shared" si="22"/>
        <v>22.550003662238094</v>
      </c>
      <c r="AJ45" s="154">
        <f t="shared" si="23"/>
        <v>2.3012733929043394</v>
      </c>
      <c r="AL45" s="153">
        <f t="shared" si="6"/>
        <v>13413.229209131981</v>
      </c>
      <c r="AN45" s="154">
        <f>INDEX('(2.2)_Forward_Price_Curve'!$K:$K,MATCH($AB45,'(2.2)_Forward_Price_Curve'!$C:$C,0),1)</f>
        <v>4.4573125000000005</v>
      </c>
      <c r="AP45" s="154">
        <f t="shared" si="20"/>
        <v>32.437978993052589</v>
      </c>
      <c r="AR45" s="154">
        <f t="shared" si="24"/>
        <v>2.5968637382528441</v>
      </c>
      <c r="AS45" s="154"/>
      <c r="AT45" s="153">
        <f t="shared" si="7"/>
        <v>5041.6350855799519</v>
      </c>
      <c r="AV45" s="153">
        <f t="shared" si="3"/>
        <v>15064.912304775871</v>
      </c>
      <c r="AW45" s="273"/>
      <c r="AX45" s="155">
        <f t="shared" si="8"/>
        <v>20106.547390355823</v>
      </c>
      <c r="AZ45" s="384">
        <f>+IF(AZ44&gt;$I$13+$I$14,XX,AZ44+1)</f>
        <v>2027</v>
      </c>
      <c r="BA45" s="117"/>
      <c r="BB45" s="154">
        <f t="shared" si="17"/>
        <v>90.534456865821738</v>
      </c>
      <c r="BD45" s="154">
        <f t="shared" si="18"/>
        <v>5.9614497760738869</v>
      </c>
      <c r="BF45" s="153">
        <f t="shared" si="9"/>
        <v>8371.5941235520295</v>
      </c>
      <c r="BH45" s="157"/>
    </row>
    <row r="46" spans="2:60" ht="12">
      <c r="B46" s="2"/>
      <c r="C46">
        <f>+IF(C45&gt;$G$13+$G$14,XX,C45+1)</f>
        <v>2028</v>
      </c>
      <c r="E46" s="169">
        <f>+INDEX('(2.2)_Forward_Price_Curve'!$U:$U,MATCH($C46,'(2.2)_Forward_Price_Curve'!C:C,0))</f>
        <v>1.9E-2</v>
      </c>
      <c r="G46" s="545">
        <v>430004.99999999994</v>
      </c>
      <c r="I46" s="360">
        <v>345.25363790330022</v>
      </c>
      <c r="K46" s="360">
        <v>16.854656961634433</v>
      </c>
      <c r="M46" s="28">
        <f t="shared" si="12"/>
        <v>0</v>
      </c>
      <c r="O46" s="547">
        <v>0.75000000000000011</v>
      </c>
      <c r="Q46" s="548">
        <v>-39.78093962579397</v>
      </c>
      <c r="S46" s="18">
        <f t="shared" si="4"/>
        <v>28787.241380264404</v>
      </c>
      <c r="U46" s="18">
        <f t="shared" si="0"/>
        <v>20712.908146513608</v>
      </c>
      <c r="W46" s="18">
        <f t="shared" si="1"/>
        <v>8074.3332337507964</v>
      </c>
      <c r="Y46" s="271">
        <f t="shared" si="5"/>
        <v>18.777300807550603</v>
      </c>
      <c r="Z46" s="235"/>
      <c r="AB46" s="146">
        <f>+IF(AB45&gt;$G$13+$G$14,XX,AB45+1)</f>
        <v>2028</v>
      </c>
      <c r="AC46" s="117"/>
      <c r="AD46" s="151">
        <f t="shared" si="2"/>
        <v>430004.99999999994</v>
      </c>
      <c r="AF46" s="154">
        <f t="shared" si="21"/>
        <v>114.71770009501645</v>
      </c>
      <c r="AH46" s="154">
        <f t="shared" si="22"/>
        <v>22.978453731820615</v>
      </c>
      <c r="AJ46" s="154">
        <f t="shared" si="23"/>
        <v>2.3449975873695217</v>
      </c>
      <c r="AL46" s="153">
        <f t="shared" si="6"/>
        <v>13668.096979088601</v>
      </c>
      <c r="AN46" s="154">
        <f>INDEX('(2.2)_Forward_Price_Curve'!$K:$K,MATCH($AB46,'(2.2)_Forward_Price_Curve'!$C:$C,0),1)</f>
        <v>4.6136041666666676</v>
      </c>
      <c r="AP46" s="154">
        <f t="shared" si="20"/>
        <v>33.575387644593739</v>
      </c>
      <c r="AR46" s="154">
        <f t="shared" si="24"/>
        <v>2.6462041492796478</v>
      </c>
      <c r="AS46" s="154"/>
      <c r="AT46" s="153">
        <f t="shared" si="7"/>
        <v>5137.442567189084</v>
      </c>
      <c r="AV46" s="153">
        <f t="shared" si="3"/>
        <v>15575.465579324524</v>
      </c>
      <c r="AW46" s="273"/>
      <c r="AX46" s="155">
        <f t="shared" si="8"/>
        <v>20712.908146513608</v>
      </c>
      <c r="AZ46" s="384">
        <f>+IF(AZ45&gt;$I$13+$I$14,XX,AZ45+1)</f>
        <v>2028</v>
      </c>
      <c r="BA46" s="117"/>
      <c r="BB46" s="154">
        <f t="shared" si="17"/>
        <v>92.254611546272344</v>
      </c>
      <c r="BD46" s="154">
        <f t="shared" si="18"/>
        <v>6.07471732181929</v>
      </c>
      <c r="BF46" s="153">
        <f t="shared" si="9"/>
        <v>8530.6544118995171</v>
      </c>
      <c r="BH46" s="157"/>
    </row>
    <row r="47" spans="2:60" ht="11.25" customHeight="1">
      <c r="B47" s="2"/>
      <c r="C47">
        <f>+IF(C46&gt;$G$13+$G$14,XX,C46+1)</f>
        <v>2029</v>
      </c>
      <c r="E47" s="169">
        <f>+INDEX('(2.2)_Forward_Price_Curve'!$U:$U,MATCH($C47,'(2.2)_Forward_Price_Curve'!C:C,0))</f>
        <v>1.7999999999999999E-2</v>
      </c>
      <c r="G47" s="545">
        <v>429997.99999999994</v>
      </c>
      <c r="I47" s="360">
        <v>351.81345702346289</v>
      </c>
      <c r="K47" s="360">
        <v>17.161586712042336</v>
      </c>
      <c r="M47" s="28"/>
      <c r="O47" s="547">
        <v>0.76999999999999991</v>
      </c>
      <c r="Q47" s="548">
        <v>-39.78093962579397</v>
      </c>
      <c r="S47" s="18">
        <f t="shared" si="4"/>
        <v>29656.115675397006</v>
      </c>
      <c r="U47" s="18">
        <f t="shared" si="0"/>
        <v>21265.455546833542</v>
      </c>
      <c r="W47" s="18">
        <f t="shared" si="1"/>
        <v>8390.6601285634642</v>
      </c>
      <c r="Y47" s="271">
        <f t="shared" si="5"/>
        <v>19.513253849002705</v>
      </c>
      <c r="Z47" s="235"/>
      <c r="AB47" s="146">
        <f>+IF(AB46&gt;$G$13+$G$14,XX,AB46+1)</f>
        <v>2029</v>
      </c>
      <c r="AC47" s="117"/>
      <c r="AD47" s="151">
        <f t="shared" si="2"/>
        <v>429997.99999999994</v>
      </c>
      <c r="AF47" s="154">
        <f t="shared" si="21"/>
        <v>116.78261869672676</v>
      </c>
      <c r="AH47" s="154">
        <f t="shared" si="22"/>
        <v>23.392065898993387</v>
      </c>
      <c r="AJ47" s="154">
        <f t="shared" si="23"/>
        <v>2.3872075439421732</v>
      </c>
      <c r="AL47" s="153">
        <f t="shared" si="6"/>
        <v>13914.106014259389</v>
      </c>
      <c r="AN47" s="154">
        <f>INDEX('(2.2)_Forward_Price_Curve'!$K:$K,MATCH($AB47,'(2.2)_Forward_Price_Curve'!$C:$C,0),1)</f>
        <v>4.7541666666666673</v>
      </c>
      <c r="AP47" s="154">
        <f t="shared" si="20"/>
        <v>34.59832768350978</v>
      </c>
      <c r="AR47" s="154">
        <f t="shared" si="24"/>
        <v>2.6938358239666815</v>
      </c>
      <c r="AS47" s="154"/>
      <c r="AT47" s="153">
        <f t="shared" si="7"/>
        <v>5229.8998229456811</v>
      </c>
      <c r="AV47" s="153">
        <f t="shared" si="3"/>
        <v>16035.555723887861</v>
      </c>
      <c r="AW47" s="273"/>
      <c r="AX47" s="155">
        <f t="shared" si="8"/>
        <v>21265.455546833542</v>
      </c>
      <c r="AZ47" s="384">
        <f>+IF(AZ46&gt;$I$13+$I$14,XX,AZ46+1)</f>
        <v>2029</v>
      </c>
      <c r="BA47" s="117"/>
      <c r="BB47" s="154">
        <f t="shared" si="17"/>
        <v>93.915194554105241</v>
      </c>
      <c r="BD47" s="154">
        <f t="shared" si="18"/>
        <v>6.1840622336120372</v>
      </c>
      <c r="BF47" s="153">
        <f t="shared" si="9"/>
        <v>8684.2061913137077</v>
      </c>
      <c r="BH47" s="157"/>
    </row>
    <row r="48" spans="2:60" ht="12">
      <c r="B48" s="2"/>
      <c r="C48">
        <f>+IF(C47&gt;$G$13+$G$14,XX,C47+1)</f>
        <v>2030</v>
      </c>
      <c r="E48" s="169">
        <f>+INDEX('(2.2)_Forward_Price_Curve'!$U:$U,MATCH($C48,'(2.2)_Forward_Price_Curve'!C:C,0))</f>
        <v>1.7999999999999999E-2</v>
      </c>
      <c r="G48" s="545">
        <v>429997.99999999994</v>
      </c>
      <c r="I48" s="360">
        <v>358.49791270690872</v>
      </c>
      <c r="K48" s="360">
        <v>17.539141619707269</v>
      </c>
      <c r="M48" s="28">
        <f t="shared" si="12"/>
        <v>0</v>
      </c>
      <c r="O48" s="547">
        <v>0.78</v>
      </c>
      <c r="Q48" s="548">
        <v>-41.10697094665376</v>
      </c>
      <c r="S48" s="18">
        <f t="shared" ref="S48:S64" si="25">(I48*$G$11*1000+(K48+M48+O48+Q48)*G48)/1000</f>
        <v>29994.547275538534</v>
      </c>
      <c r="U48" s="18">
        <f t="shared" ref="U48:U68" si="26">AX48</f>
        <v>22314.109578997093</v>
      </c>
      <c r="W48" s="18">
        <f t="shared" ref="W48:W64" si="27">S48-U48</f>
        <v>7680.4376965414413</v>
      </c>
      <c r="Y48" s="271">
        <f t="shared" ref="Y48:Y64" si="28">+W48*1000/G48</f>
        <v>17.861566092264248</v>
      </c>
      <c r="Z48" s="235"/>
      <c r="AB48" s="146">
        <f>+IF(AB47&gt;$G$13+$G$14,XX,AB47+1)</f>
        <v>2030</v>
      </c>
      <c r="AC48" s="117"/>
      <c r="AD48" s="151">
        <f t="shared" ref="AD48:AD64" si="29">G48</f>
        <v>429997.99999999994</v>
      </c>
      <c r="AF48" s="154">
        <f t="shared" si="21"/>
        <v>118.88470583326784</v>
      </c>
      <c r="AH48" s="154">
        <f t="shared" si="22"/>
        <v>23.813123085175267</v>
      </c>
      <c r="AJ48" s="154">
        <f t="shared" si="23"/>
        <v>2.4301772797331322</v>
      </c>
      <c r="AL48" s="153">
        <f t="shared" si="6"/>
        <v>14164.559922516057</v>
      </c>
      <c r="AN48" s="154">
        <f>INDEX('(2.2)_Forward_Price_Curve'!$K:$K,MATCH($AB48,'(2.2)_Forward_Price_Curve'!$C:$C,0),1)</f>
        <v>5.052529166666667</v>
      </c>
      <c r="AP48" s="154">
        <f t="shared" si="20"/>
        <v>36.769653231654459</v>
      </c>
      <c r="AR48" s="154">
        <f t="shared" si="24"/>
        <v>2.7423248687980819</v>
      </c>
      <c r="AS48" s="154"/>
      <c r="AT48" s="153">
        <f t="shared" si="7"/>
        <v>5324.0380197587019</v>
      </c>
      <c r="AV48" s="153">
        <f t="shared" si="3"/>
        <v>16990.071559238389</v>
      </c>
      <c r="AW48" s="273"/>
      <c r="AX48" s="155">
        <f t="shared" si="8"/>
        <v>22314.109578997093</v>
      </c>
      <c r="AZ48" s="384">
        <f>+IF(AZ47&gt;$I$13+$I$14,XX,AZ47+1)</f>
        <v>2030</v>
      </c>
      <c r="BA48" s="117"/>
      <c r="BB48" s="154">
        <f t="shared" si="17"/>
        <v>95.605668056079139</v>
      </c>
      <c r="BD48" s="154">
        <f t="shared" si="18"/>
        <v>6.2953753538170538</v>
      </c>
      <c r="BF48" s="153">
        <f t="shared" si="9"/>
        <v>8840.5219027573548</v>
      </c>
      <c r="BH48" s="157"/>
    </row>
    <row r="49" spans="2:60" ht="12">
      <c r="B49" s="2"/>
      <c r="C49">
        <f>+IF(C48&gt;$G$13+$G$14,XX,C48+1)</f>
        <v>2031</v>
      </c>
      <c r="E49" s="169">
        <f>+INDEX('(2.2)_Forward_Price_Curve'!$U:$U,MATCH($C49,'(2.2)_Forward_Price_Curve'!C:C,0))</f>
        <v>1.7999999999999999E-2</v>
      </c>
      <c r="G49" s="545">
        <v>429997.99999999994</v>
      </c>
      <c r="I49" s="360">
        <v>365.30937304833992</v>
      </c>
      <c r="K49" s="360">
        <v>17.925002735340829</v>
      </c>
      <c r="M49" s="28">
        <f t="shared" si="12"/>
        <v>0</v>
      </c>
      <c r="O49" s="547">
        <v>0.8</v>
      </c>
      <c r="Q49" s="28"/>
      <c r="S49" s="18">
        <f t="shared" si="25"/>
        <v>48601.054134556813</v>
      </c>
      <c r="U49" s="18">
        <f t="shared" si="26"/>
        <v>22860.977055097701</v>
      </c>
      <c r="W49" s="18">
        <f t="shared" si="27"/>
        <v>25740.077079459112</v>
      </c>
      <c r="Y49" s="271">
        <f t="shared" si="28"/>
        <v>59.860922793731866</v>
      </c>
      <c r="Z49" s="235"/>
      <c r="AB49" s="146">
        <f>+IF(AB48&gt;$G$13+$G$14,XX,AB48+1)</f>
        <v>2031</v>
      </c>
      <c r="AC49" s="117"/>
      <c r="AD49" s="151">
        <f t="shared" si="29"/>
        <v>429997.99999999994</v>
      </c>
      <c r="AF49" s="154">
        <f t="shared" si="21"/>
        <v>121.02463053826666</v>
      </c>
      <c r="AH49" s="154">
        <f t="shared" si="22"/>
        <v>24.241759300708424</v>
      </c>
      <c r="AJ49" s="154">
        <f t="shared" si="23"/>
        <v>2.4739204707683289</v>
      </c>
      <c r="AL49" s="153">
        <f t="shared" si="6"/>
        <v>14419.522001121348</v>
      </c>
      <c r="AN49" s="154">
        <f>INDEX('(2.2)_Forward_Price_Curve'!$K:$K,MATCH($AB49,'(2.2)_Forward_Price_Curve'!$C:$C,0),1)</f>
        <v>5.1898791666666666</v>
      </c>
      <c r="AP49" s="154">
        <f t="shared" si="20"/>
        <v>37.769214383064813</v>
      </c>
      <c r="AR49" s="154">
        <f t="shared" si="24"/>
        <v>2.7916867164364474</v>
      </c>
      <c r="AS49" s="154"/>
      <c r="AT49" s="153">
        <f t="shared" si="7"/>
        <v>5419.8707041143607</v>
      </c>
      <c r="AV49" s="153">
        <f t="shared" si="3"/>
        <v>17441.10635098334</v>
      </c>
      <c r="AW49" s="273"/>
      <c r="AX49" s="155">
        <f t="shared" si="8"/>
        <v>22860.977055097701</v>
      </c>
      <c r="AZ49" s="384">
        <f>+IF(AZ48&gt;$I$13+$I$14,XX,AZ48+1)</f>
        <v>2031</v>
      </c>
      <c r="BA49" s="117"/>
      <c r="BB49" s="154">
        <f t="shared" si="17"/>
        <v>97.326570081088562</v>
      </c>
      <c r="BD49" s="154">
        <f t="shared" si="18"/>
        <v>6.4086921101857612</v>
      </c>
      <c r="BF49" s="153">
        <f t="shared" si="9"/>
        <v>8999.6512970069871</v>
      </c>
      <c r="BH49" s="157"/>
    </row>
    <row r="50" spans="2:60" ht="12">
      <c r="B50" s="2"/>
      <c r="C50">
        <f>C49+1</f>
        <v>2032</v>
      </c>
      <c r="E50" s="169">
        <f>+INDEX('(2.2)_Forward_Price_Curve'!$U:$U,MATCH($C50,'(2.2)_Forward_Price_Curve'!C:C,0))</f>
        <v>1.7999999999999999E-2</v>
      </c>
      <c r="G50" s="545">
        <v>430004.99999999994</v>
      </c>
      <c r="I50" s="360">
        <v>372.25025113625833</v>
      </c>
      <c r="K50" s="360">
        <v>18.369542803177282</v>
      </c>
      <c r="M50" s="28">
        <f t="shared" si="12"/>
        <v>0</v>
      </c>
      <c r="O50" s="547">
        <v>0.82</v>
      </c>
      <c r="Q50" s="28"/>
      <c r="S50" s="18">
        <f t="shared" si="25"/>
        <v>49571.377229204925</v>
      </c>
      <c r="U50" s="18">
        <f t="shared" si="26"/>
        <v>23427.34152080083</v>
      </c>
      <c r="W50" s="18">
        <f t="shared" si="27"/>
        <v>26144.035708404095</v>
      </c>
      <c r="Y50" s="271">
        <f t="shared" si="28"/>
        <v>60.799376073311002</v>
      </c>
      <c r="Z50" s="235"/>
      <c r="AB50" s="146">
        <f>AB49+1</f>
        <v>2032</v>
      </c>
      <c r="AC50" s="117"/>
      <c r="AD50" s="151">
        <f t="shared" si="29"/>
        <v>430004.99999999994</v>
      </c>
      <c r="AF50" s="154">
        <f t="shared" si="21"/>
        <v>123.20307388795547</v>
      </c>
      <c r="AH50" s="154">
        <f t="shared" si="22"/>
        <v>24.678110968121175</v>
      </c>
      <c r="AJ50" s="154">
        <f t="shared" si="23"/>
        <v>2.5184510392421586</v>
      </c>
      <c r="AL50" s="153">
        <f t="shared" si="6"/>
        <v>14679.091026298804</v>
      </c>
      <c r="AN50" s="154">
        <f>INDEX('(2.2)_Forward_Price_Curve'!$K:$K,MATCH($AB50,'(2.2)_Forward_Price_Curve'!$C:$C,0),1)</f>
        <v>5.3326874999999996</v>
      </c>
      <c r="AP50" s="154">
        <f t="shared" si="20"/>
        <v>38.808498417266925</v>
      </c>
      <c r="AR50" s="154">
        <f t="shared" si="24"/>
        <v>2.8419370773323034</v>
      </c>
      <c r="AS50" s="154"/>
      <c r="AT50" s="153">
        <f t="shared" si="7"/>
        <v>5517.4460059456906</v>
      </c>
      <c r="AV50" s="153">
        <f t="shared" si="3"/>
        <v>17909.895514855139</v>
      </c>
      <c r="AW50" s="273"/>
      <c r="AX50" s="155">
        <f t="shared" si="8"/>
        <v>23427.34152080083</v>
      </c>
      <c r="AZ50" s="384">
        <f>+IF(AZ49&gt;$I$13+$I$14,XX,AZ49+1)</f>
        <v>2032</v>
      </c>
      <c r="BA50" s="117"/>
      <c r="BB50" s="154">
        <f t="shared" si="17"/>
        <v>99.078448342548157</v>
      </c>
      <c r="BD50" s="154">
        <f t="shared" si="18"/>
        <v>6.5240485681691052</v>
      </c>
      <c r="BF50" s="153">
        <f t="shared" si="9"/>
        <v>9161.6450203531131</v>
      </c>
      <c r="BH50" s="157"/>
    </row>
    <row r="51" spans="2:60" ht="12">
      <c r="B51" s="2"/>
      <c r="C51">
        <f t="shared" ref="C51:C68" si="30">C50+1</f>
        <v>2033</v>
      </c>
      <c r="E51" s="169">
        <f>+INDEX('(2.2)_Forward_Price_Curve'!$U:$U,MATCH($C51,'(2.2)_Forward_Price_Curve'!C:C,0))</f>
        <v>1.9E-2</v>
      </c>
      <c r="G51" s="545">
        <v>429997.99999999994</v>
      </c>
      <c r="I51" s="360">
        <v>379.32300590784723</v>
      </c>
      <c r="K51" s="360">
        <v>18.722378557019731</v>
      </c>
      <c r="M51" s="28">
        <f t="shared" si="12"/>
        <v>0</v>
      </c>
      <c r="O51" s="547">
        <v>0.84000000000000008</v>
      </c>
      <c r="Q51" s="28"/>
      <c r="S51" s="18">
        <f t="shared" si="25"/>
        <v>50516.637310532409</v>
      </c>
      <c r="U51" s="18">
        <f t="shared" si="26"/>
        <v>24131.355550305845</v>
      </c>
      <c r="W51" s="18">
        <f t="shared" si="27"/>
        <v>26385.281760226564</v>
      </c>
      <c r="Y51" s="271">
        <f t="shared" si="28"/>
        <v>61.361405774507247</v>
      </c>
      <c r="Z51" s="235"/>
      <c r="AB51" s="146">
        <f t="shared" ref="AB51:AB68" si="31">AB50+1</f>
        <v>2033</v>
      </c>
      <c r="AC51" s="117"/>
      <c r="AD51" s="151">
        <f t="shared" si="29"/>
        <v>429997.99999999994</v>
      </c>
      <c r="AF51" s="154">
        <f t="shared" si="21"/>
        <v>125.54393229182661</v>
      </c>
      <c r="AH51" s="154">
        <f t="shared" si="22"/>
        <v>25.146995076515473</v>
      </c>
      <c r="AJ51" s="154">
        <f t="shared" si="23"/>
        <v>2.5663016089877595</v>
      </c>
      <c r="AL51" s="153">
        <f t="shared" si="6"/>
        <v>14957.975791687217</v>
      </c>
      <c r="AN51" s="154">
        <f>INDEX('(2.2)_Forward_Price_Curve'!$K:$K,MATCH($AB51,'(2.2)_Forward_Price_Curve'!$C:$C,0),1)</f>
        <v>5.5168416666666671</v>
      </c>
      <c r="AP51" s="154">
        <f t="shared" si="20"/>
        <v>40.148675707913803</v>
      </c>
      <c r="AR51" s="154">
        <f t="shared" si="24"/>
        <v>2.8959338818016169</v>
      </c>
      <c r="AS51" s="154"/>
      <c r="AT51" s="153">
        <f t="shared" si="7"/>
        <v>5622.2595159473949</v>
      </c>
      <c r="AV51" s="153">
        <f t="shared" si="3"/>
        <v>18509.096034358448</v>
      </c>
      <c r="AW51" s="273"/>
      <c r="AX51" s="155">
        <f t="shared" si="8"/>
        <v>24131.355550305845</v>
      </c>
      <c r="AZ51" s="384">
        <f>+IF(AZ50&gt;$I$13+$I$14,XX,AZ50+1)</f>
        <v>2033</v>
      </c>
      <c r="BA51" s="117"/>
      <c r="BB51" s="154">
        <f t="shared" si="17"/>
        <v>100.96093886105656</v>
      </c>
      <c r="BD51" s="154">
        <f t="shared" si="18"/>
        <v>6.6480054909643176</v>
      </c>
      <c r="BF51" s="153">
        <f t="shared" si="9"/>
        <v>9335.7162757398219</v>
      </c>
      <c r="BH51" s="157"/>
    </row>
    <row r="52" spans="2:60" ht="12">
      <c r="B52" s="2"/>
      <c r="C52">
        <f t="shared" si="30"/>
        <v>2034</v>
      </c>
      <c r="E52" s="169">
        <f>+INDEX('(2.2)_Forward_Price_Curve'!$U:$U,MATCH($C52,'(2.2)_Forward_Price_Curve'!C:C,0))</f>
        <v>1.7999999999999999E-2</v>
      </c>
      <c r="G52" s="545">
        <v>429997.99999999994</v>
      </c>
      <c r="I52" s="360">
        <v>386.25672507016304</v>
      </c>
      <c r="K52" s="360">
        <v>19.134270885274169</v>
      </c>
      <c r="M52" s="28">
        <f t="shared" si="12"/>
        <v>0</v>
      </c>
      <c r="O52" s="547">
        <v>0.85999999999999988</v>
      </c>
      <c r="Q52" s="28"/>
      <c r="S52" s="18">
        <f t="shared" si="25"/>
        <v>51471.992974914225</v>
      </c>
      <c r="U52" s="18">
        <f t="shared" si="26"/>
        <v>24791.502095664866</v>
      </c>
      <c r="W52" s="18">
        <f t="shared" si="27"/>
        <v>26680.490879249359</v>
      </c>
      <c r="Y52" s="271">
        <f t="shared" si="28"/>
        <v>62.04794180263481</v>
      </c>
      <c r="Z52" s="235"/>
      <c r="AB52" s="146">
        <f t="shared" si="31"/>
        <v>2034</v>
      </c>
      <c r="AC52" s="117"/>
      <c r="AD52" s="151">
        <f t="shared" si="29"/>
        <v>429997.99999999994</v>
      </c>
      <c r="AF52" s="154">
        <f t="shared" si="21"/>
        <v>127.80372307307948</v>
      </c>
      <c r="AH52" s="154">
        <f t="shared" si="22"/>
        <v>25.599640987892752</v>
      </c>
      <c r="AJ52" s="154">
        <f t="shared" si="23"/>
        <v>2.6124950379495391</v>
      </c>
      <c r="AL52" s="153">
        <f t="shared" si="6"/>
        <v>15227.219355937585</v>
      </c>
      <c r="AN52" s="154">
        <f>INDEX('(2.2)_Forward_Price_Curve'!$K:$K,MATCH($AB52,'(2.2)_Forward_Price_Curve'!$C:$C,0),1)</f>
        <v>5.688295833333334</v>
      </c>
      <c r="AP52" s="154">
        <f t="shared" si="20"/>
        <v>41.396429069744428</v>
      </c>
      <c r="AR52" s="154">
        <f t="shared" si="24"/>
        <v>2.9480606916740459</v>
      </c>
      <c r="AS52" s="154"/>
      <c r="AT52" s="153">
        <f t="shared" si="7"/>
        <v>5723.4601872344483</v>
      </c>
      <c r="AV52" s="153">
        <f t="shared" si="3"/>
        <v>19068.041908430416</v>
      </c>
      <c r="AW52" s="273"/>
      <c r="AX52" s="155">
        <f t="shared" si="8"/>
        <v>24791.502095664866</v>
      </c>
      <c r="AZ52" s="384">
        <f>+IF(AZ51&gt;$I$13+$I$14,XX,AZ51+1)</f>
        <v>2034</v>
      </c>
      <c r="BA52" s="117"/>
      <c r="BB52" s="154">
        <f t="shared" si="17"/>
        <v>102.77823576055557</v>
      </c>
      <c r="BD52" s="154">
        <f t="shared" si="18"/>
        <v>6.7676695898016757</v>
      </c>
      <c r="BF52" s="153">
        <f t="shared" si="9"/>
        <v>9503.7591687031363</v>
      </c>
      <c r="BH52" s="157"/>
    </row>
    <row r="53" spans="2:60" ht="12">
      <c r="B53" s="2"/>
      <c r="C53">
        <f t="shared" si="30"/>
        <v>2035</v>
      </c>
      <c r="E53" s="169">
        <f>+INDEX('(2.2)_Forward_Price_Curve'!$U:$U,MATCH($C53,'(2.2)_Forward_Price_Curve'!C:C,0))</f>
        <v>1.7999999999999999E-2</v>
      </c>
      <c r="G53" s="545">
        <v>429997.99999999994</v>
      </c>
      <c r="I53" s="360">
        <v>109.96767982682951</v>
      </c>
      <c r="K53" s="360">
        <v>19.5552248447502</v>
      </c>
      <c r="M53" s="28">
        <f t="shared" si="12"/>
        <v>0</v>
      </c>
      <c r="O53" s="547">
        <v>0.86999999999999988</v>
      </c>
      <c r="Q53" s="28"/>
      <c r="S53" s="18">
        <f t="shared" si="25"/>
        <v>20989.218293570972</v>
      </c>
      <c r="U53" s="18">
        <f t="shared" si="26"/>
        <v>25410.845843646937</v>
      </c>
      <c r="W53" s="18">
        <f t="shared" si="27"/>
        <v>-4421.6275500759657</v>
      </c>
      <c r="Y53" s="271">
        <f t="shared" si="28"/>
        <v>-10.282902595072457</v>
      </c>
      <c r="Z53" s="235"/>
      <c r="AB53" s="146">
        <f t="shared" si="31"/>
        <v>2035</v>
      </c>
      <c r="AC53" s="117"/>
      <c r="AD53" s="151">
        <f t="shared" si="29"/>
        <v>429997.99999999994</v>
      </c>
      <c r="AF53" s="154">
        <f t="shared" si="21"/>
        <v>130.10419008839492</v>
      </c>
      <c r="AH53" s="154">
        <f t="shared" si="22"/>
        <v>26.060434525674822</v>
      </c>
      <c r="AJ53" s="154">
        <f t="shared" si="23"/>
        <v>2.6595199486326306</v>
      </c>
      <c r="AL53" s="153">
        <f t="shared" si="6"/>
        <v>15501.309304344464</v>
      </c>
      <c r="AN53" s="154">
        <f>INDEX('(2.2)_Forward_Price_Curve'!$K:$K,MATCH($AB53,'(2.2)_Forward_Price_Curve'!$C:$C,0),1)</f>
        <v>5.846000000000001</v>
      </c>
      <c r="AP53" s="154">
        <f t="shared" si="20"/>
        <v>42.544117154313376</v>
      </c>
      <c r="AR53" s="154">
        <f t="shared" si="24"/>
        <v>3.001125784124179</v>
      </c>
      <c r="AS53" s="154"/>
      <c r="AT53" s="153">
        <f t="shared" si="7"/>
        <v>5826.4824706046711</v>
      </c>
      <c r="AV53" s="153">
        <f t="shared" si="3"/>
        <v>19584.363373042266</v>
      </c>
      <c r="AW53" s="273"/>
      <c r="AX53" s="155">
        <f t="shared" si="8"/>
        <v>25410.845843646937</v>
      </c>
      <c r="AZ53" s="384">
        <f>+IF(AZ52&gt;$I$13+$I$14,XX,AZ52+1)</f>
        <v>2035</v>
      </c>
      <c r="BA53" s="117"/>
      <c r="BB53" s="154">
        <f t="shared" si="17"/>
        <v>104.62824400424557</v>
      </c>
      <c r="BD53" s="154">
        <f t="shared" si="18"/>
        <v>6.8894876424181062</v>
      </c>
      <c r="BF53" s="153">
        <f t="shared" si="9"/>
        <v>9674.8268337397931</v>
      </c>
      <c r="BH53" s="157"/>
    </row>
    <row r="54" spans="2:60" ht="12">
      <c r="B54" s="2"/>
      <c r="C54">
        <f t="shared" si="30"/>
        <v>2036</v>
      </c>
      <c r="E54" s="169">
        <f>+INDEX('(2.2)_Forward_Price_Curve'!$U:$U,MATCH($C54,'(2.2)_Forward_Price_Curve'!C:C,0))</f>
        <v>1.7999999999999999E-2</v>
      </c>
      <c r="G54" s="545">
        <v>430004.99999999994</v>
      </c>
      <c r="I54" s="360">
        <v>112.05706574353927</v>
      </c>
      <c r="K54" s="360">
        <v>20.040194420900004</v>
      </c>
      <c r="M54" s="28">
        <f t="shared" si="12"/>
        <v>0</v>
      </c>
      <c r="O54" s="547">
        <v>0.89000000000000024</v>
      </c>
      <c r="Q54" s="28"/>
      <c r="S54" s="18">
        <f t="shared" si="25"/>
        <v>21438.422549491963</v>
      </c>
      <c r="U54" s="18">
        <f t="shared" si="26"/>
        <v>26245.753197418751</v>
      </c>
      <c r="W54" s="18">
        <f t="shared" si="27"/>
        <v>-4807.3306479267885</v>
      </c>
      <c r="Y54" s="271">
        <f t="shared" si="28"/>
        <v>-11.179708719495796</v>
      </c>
      <c r="Z54" s="235"/>
      <c r="AB54" s="146">
        <f t="shared" si="31"/>
        <v>2036</v>
      </c>
      <c r="AC54" s="117"/>
      <c r="AD54" s="151">
        <f t="shared" si="29"/>
        <v>430004.99999999994</v>
      </c>
      <c r="AF54" s="154">
        <f t="shared" si="21"/>
        <v>132.44606550998603</v>
      </c>
      <c r="AH54" s="154">
        <f t="shared" si="22"/>
        <v>26.529522347136968</v>
      </c>
      <c r="AJ54" s="154">
        <f t="shared" si="23"/>
        <v>2.7073913077080181</v>
      </c>
      <c r="AL54" s="153">
        <f t="shared" si="6"/>
        <v>15780.351823561819</v>
      </c>
      <c r="AN54" s="154">
        <f>INDEX('(2.2)_Forward_Price_Curve'!$K:$K,MATCH($AB54,'(2.2)_Forward_Price_Curve'!$C:$C,0),1)</f>
        <v>6.0717541666666675</v>
      </c>
      <c r="AP54" s="154">
        <f t="shared" si="20"/>
        <v>44.187037392893778</v>
      </c>
      <c r="AR54" s="154">
        <f t="shared" si="24"/>
        <v>3.0551460482384143</v>
      </c>
      <c r="AS54" s="154"/>
      <c r="AT54" s="153">
        <f t="shared" si="7"/>
        <v>5931.3781068147091</v>
      </c>
      <c r="AV54" s="153">
        <f t="shared" si="3"/>
        <v>20314.375090604044</v>
      </c>
      <c r="AW54" s="273"/>
      <c r="AX54" s="155">
        <f t="shared" si="8"/>
        <v>26245.753197418751</v>
      </c>
      <c r="AZ54" s="384">
        <f>+IF(AZ53&gt;$I$13+$I$14,XX,AZ53+1)</f>
        <v>2036</v>
      </c>
      <c r="BA54" s="117"/>
      <c r="BB54" s="154">
        <f t="shared" si="17"/>
        <v>106.51155239632199</v>
      </c>
      <c r="BD54" s="154">
        <f t="shared" si="18"/>
        <v>7.0134984199816319</v>
      </c>
      <c r="BF54" s="153">
        <f t="shared" si="9"/>
        <v>9848.9737167471103</v>
      </c>
      <c r="BH54" s="157"/>
    </row>
    <row r="55" spans="2:60" ht="12">
      <c r="B55" s="2"/>
      <c r="C55">
        <f t="shared" si="30"/>
        <v>2037</v>
      </c>
      <c r="E55" s="169">
        <f>+INDEX('(2.2)_Forward_Price_Curve'!$U:$U,MATCH($C55,'(2.2)_Forward_Price_Curve'!C:C,0))</f>
        <v>1.7999999999999999E-2</v>
      </c>
      <c r="G55" s="545">
        <v>430004.99999999994</v>
      </c>
      <c r="I55" s="360">
        <v>114.18614999266651</v>
      </c>
      <c r="K55" s="360">
        <v>20.425119466744064</v>
      </c>
      <c r="M55" s="28">
        <f t="shared" si="12"/>
        <v>0</v>
      </c>
      <c r="O55" s="547">
        <v>0.91000000000000025</v>
      </c>
      <c r="Q55" s="28"/>
      <c r="S55" s="18">
        <f t="shared" si="25"/>
        <v>21848.87069548326</v>
      </c>
      <c r="U55" s="18">
        <f t="shared" si="26"/>
        <v>26902.834799996592</v>
      </c>
      <c r="W55" s="18">
        <f t="shared" si="27"/>
        <v>-5053.9641045133321</v>
      </c>
      <c r="Y55" s="271">
        <f t="shared" si="28"/>
        <v>-11.753268228307421</v>
      </c>
      <c r="Z55" s="235"/>
      <c r="AB55" s="146">
        <f t="shared" si="31"/>
        <v>2037</v>
      </c>
      <c r="AC55" s="117"/>
      <c r="AD55" s="151">
        <f t="shared" si="29"/>
        <v>430004.99999999994</v>
      </c>
      <c r="AF55" s="154">
        <f t="shared" si="21"/>
        <v>134.83009468916578</v>
      </c>
      <c r="AH55" s="154">
        <f t="shared" si="22"/>
        <v>27.007053749385435</v>
      </c>
      <c r="AJ55" s="154">
        <f t="shared" si="23"/>
        <v>2.7561243512467626</v>
      </c>
      <c r="AL55" s="153">
        <f t="shared" si="6"/>
        <v>16064.398156385932</v>
      </c>
      <c r="AN55" s="154">
        <f>INDEX('(2.2)_Forward_Price_Curve'!$K:$K,MATCH($AB55,'(2.2)_Forward_Price_Curve'!$C:$C,0),1)</f>
        <v>6.240054166666666</v>
      </c>
      <c r="AP55" s="154">
        <f t="shared" si="20"/>
        <v>45.411836386576788</v>
      </c>
      <c r="AR55" s="154">
        <f t="shared" si="24"/>
        <v>3.1101386771067059</v>
      </c>
      <c r="AS55" s="154"/>
      <c r="AT55" s="153">
        <f t="shared" si="7"/>
        <v>6038.142912737374</v>
      </c>
      <c r="AV55" s="153">
        <f t="shared" si="3"/>
        <v>20864.691887259218</v>
      </c>
      <c r="AW55" s="273"/>
      <c r="AX55" s="155">
        <f t="shared" si="8"/>
        <v>26902.834799996592</v>
      </c>
      <c r="AZ55" s="384">
        <f>+IF(AZ54&gt;$I$13+$I$14,XX,AZ54+1)</f>
        <v>2037</v>
      </c>
      <c r="BA55" s="117"/>
      <c r="BB55" s="154">
        <f t="shared" si="17"/>
        <v>108.42876033945579</v>
      </c>
      <c r="BD55" s="154">
        <f t="shared" si="18"/>
        <v>7.1397413915413015</v>
      </c>
      <c r="BF55" s="153">
        <f t="shared" si="9"/>
        <v>10026.255243648558</v>
      </c>
      <c r="BH55" s="157"/>
    </row>
    <row r="56" spans="2:60" ht="12">
      <c r="B56" s="2"/>
      <c r="C56">
        <f t="shared" si="30"/>
        <v>2038</v>
      </c>
      <c r="E56" s="169">
        <f>+INDEX('(2.2)_Forward_Price_Curve'!$U:$U,MATCH($C56,'(2.2)_Forward_Price_Curve'!C:C,0))</f>
        <v>1.7999999999999999E-2</v>
      </c>
      <c r="G56" s="545">
        <v>430004.99999999994</v>
      </c>
      <c r="I56" s="360">
        <v>116.35568684252718</v>
      </c>
      <c r="K56" s="360">
        <v>20.89489721447918</v>
      </c>
      <c r="M56" s="28">
        <f t="shared" si="12"/>
        <v>0</v>
      </c>
      <c r="O56" s="547">
        <v>0.92999999999999994</v>
      </c>
      <c r="Q56" s="28"/>
      <c r="S56" s="18">
        <f t="shared" si="25"/>
        <v>22300.296166232638</v>
      </c>
      <c r="U56" s="18">
        <f t="shared" si="26"/>
        <v>28038.081562425956</v>
      </c>
      <c r="W56" s="18">
        <f t="shared" si="27"/>
        <v>-5737.7853961933179</v>
      </c>
      <c r="Y56" s="271">
        <f t="shared" si="28"/>
        <v>-13.343531810544805</v>
      </c>
      <c r="Z56" s="235"/>
      <c r="AB56" s="146">
        <f t="shared" si="31"/>
        <v>2038</v>
      </c>
      <c r="AC56" s="117"/>
      <c r="AD56" s="151">
        <f t="shared" si="29"/>
        <v>430004.99999999994</v>
      </c>
      <c r="AF56" s="154">
        <f t="shared" si="21"/>
        <v>137.25703639357076</v>
      </c>
      <c r="AH56" s="154">
        <f t="shared" si="22"/>
        <v>27.493180716874374</v>
      </c>
      <c r="AJ56" s="154">
        <f t="shared" si="23"/>
        <v>2.8057345895692043</v>
      </c>
      <c r="AL56" s="153">
        <f t="shared" si="6"/>
        <v>16353.557323200877</v>
      </c>
      <c r="AN56" s="154">
        <f>INDEX('(2.2)_Forward_Price_Curve'!$K:$K,MATCH($AB56,'(2.2)_Forward_Price_Curve'!$C:$C,0),1)</f>
        <v>6.5604041666666673</v>
      </c>
      <c r="AP56" s="154">
        <f t="shared" si="20"/>
        <v>47.743175409906307</v>
      </c>
      <c r="AR56" s="154">
        <f t="shared" si="24"/>
        <v>3.1661211732946266</v>
      </c>
      <c r="AS56" s="154"/>
      <c r="AT56" s="153">
        <f t="shared" si="7"/>
        <v>6146.8294851666451</v>
      </c>
      <c r="AV56" s="153">
        <f t="shared" si="3"/>
        <v>21891.252077259313</v>
      </c>
      <c r="AW56" s="273"/>
      <c r="AX56" s="155">
        <f t="shared" si="8"/>
        <v>28038.081562425956</v>
      </c>
      <c r="AZ56" s="384">
        <f>+IF(AZ55&gt;$I$13+$I$14,XX,AZ55+1)</f>
        <v>2038</v>
      </c>
      <c r="BA56" s="117"/>
      <c r="BB56" s="154">
        <f t="shared" si="17"/>
        <v>110.38047802556599</v>
      </c>
      <c r="BD56" s="154">
        <f t="shared" si="18"/>
        <v>7.2682567365890449</v>
      </c>
      <c r="BF56" s="153">
        <f t="shared" si="9"/>
        <v>10206.727838034232</v>
      </c>
      <c r="BH56" s="157"/>
    </row>
    <row r="57" spans="2:60" ht="12">
      <c r="B57" s="2"/>
      <c r="C57">
        <f t="shared" si="30"/>
        <v>2039</v>
      </c>
      <c r="E57" s="169">
        <f>+INDEX('(2.2)_Forward_Price_Curve'!$U:$U,MATCH($C57,'(2.2)_Forward_Price_Curve'!C:C,0))</f>
        <v>1.7999999999999999E-2</v>
      </c>
      <c r="G57" s="545">
        <v>430004.99999999994</v>
      </c>
      <c r="I57" s="360">
        <v>118.56644489253517</v>
      </c>
      <c r="K57" s="360">
        <v>21.375479850412194</v>
      </c>
      <c r="M57" s="28">
        <f t="shared" si="12"/>
        <v>0</v>
      </c>
      <c r="O57" s="547">
        <v>0.95999999999999985</v>
      </c>
      <c r="Q57" s="28"/>
      <c r="S57" s="18">
        <f t="shared" si="25"/>
        <v>22765.2433961479</v>
      </c>
      <c r="U57" s="18">
        <f t="shared" si="26"/>
        <v>28836.170423135183</v>
      </c>
      <c r="W57" s="18">
        <f t="shared" si="27"/>
        <v>-6070.9270269872832</v>
      </c>
      <c r="Y57" s="271">
        <f t="shared" si="28"/>
        <v>-14.118270780542748</v>
      </c>
      <c r="Z57" s="235"/>
      <c r="AB57" s="146">
        <f t="shared" si="31"/>
        <v>2039</v>
      </c>
      <c r="AC57" s="117"/>
      <c r="AD57" s="151">
        <f t="shared" si="29"/>
        <v>430004.99999999994</v>
      </c>
      <c r="AF57" s="154">
        <f t="shared" si="21"/>
        <v>139.72766304865505</v>
      </c>
      <c r="AH57" s="154">
        <f t="shared" si="22"/>
        <v>27.988057969778112</v>
      </c>
      <c r="AJ57" s="154">
        <f t="shared" si="23"/>
        <v>2.8562378121814502</v>
      </c>
      <c r="AL57" s="153">
        <f t="shared" si="6"/>
        <v>16647.921355018498</v>
      </c>
      <c r="AN57" s="154">
        <f>INDEX('(2.2)_Forward_Price_Curve'!$K:$K,MATCH($AB57,'(2.2)_Forward_Price_Curve'!$C:$C,0),1)</f>
        <v>6.7722499999999988</v>
      </c>
      <c r="AP57" s="154">
        <f t="shared" si="20"/>
        <v>49.284878104395936</v>
      </c>
      <c r="AR57" s="154">
        <f t="shared" si="24"/>
        <v>3.22311135441393</v>
      </c>
      <c r="AS57" s="154"/>
      <c r="AT57" s="153">
        <f t="shared" si="7"/>
        <v>6257.4724158996487</v>
      </c>
      <c r="AV57" s="153">
        <f t="shared" si="3"/>
        <v>22578.698007235533</v>
      </c>
      <c r="AW57" s="273"/>
      <c r="AX57" s="155">
        <f t="shared" si="8"/>
        <v>28836.170423135183</v>
      </c>
      <c r="AZ57" s="384">
        <f>+IF(AZ56&gt;$I$13+$I$14,XX,AZ56+1)</f>
        <v>2039</v>
      </c>
      <c r="BA57" s="117"/>
      <c r="BB57" s="154">
        <f t="shared" si="17"/>
        <v>112.36732663002618</v>
      </c>
      <c r="BD57" s="154">
        <f t="shared" si="18"/>
        <v>7.3990853578476479</v>
      </c>
      <c r="BF57" s="153">
        <f t="shared" si="9"/>
        <v>10390.448939118849</v>
      </c>
      <c r="BH57" s="157"/>
    </row>
    <row r="58" spans="2:60" ht="12">
      <c r="B58" s="2"/>
      <c r="C58">
        <f t="shared" si="30"/>
        <v>2040</v>
      </c>
      <c r="E58" s="169">
        <f>+INDEX('(2.2)_Forward_Price_Curve'!$U:$U,MATCH($C58,'(2.2)_Forward_Price_Curve'!C:C,0))</f>
        <v>1.7999999999999999E-2</v>
      </c>
      <c r="G58" s="545">
        <v>430004.99999999994</v>
      </c>
      <c r="I58" s="360">
        <v>120.81920734549334</v>
      </c>
      <c r="K58" s="360">
        <v>21.927025793511323</v>
      </c>
      <c r="M58" s="28">
        <f t="shared" si="12"/>
        <v>0</v>
      </c>
      <c r="O58" s="547">
        <v>0.9800000000000002</v>
      </c>
      <c r="Q58" s="28"/>
      <c r="S58" s="18">
        <f t="shared" si="25"/>
        <v>23261.067641688598</v>
      </c>
      <c r="U58" s="18">
        <f t="shared" si="26"/>
        <v>29923.601251896536</v>
      </c>
      <c r="W58" s="18">
        <f t="shared" si="27"/>
        <v>-6662.5336102079382</v>
      </c>
      <c r="Y58" s="271">
        <f t="shared" si="28"/>
        <v>-15.494084046017928</v>
      </c>
      <c r="Z58" s="235"/>
      <c r="AB58" s="146">
        <f t="shared" si="31"/>
        <v>2040</v>
      </c>
      <c r="AC58" s="117"/>
      <c r="AD58" s="151">
        <f t="shared" si="29"/>
        <v>430004.99999999994</v>
      </c>
      <c r="AF58" s="154">
        <f t="shared" si="21"/>
        <v>142.24276098353084</v>
      </c>
      <c r="AH58" s="154">
        <f t="shared" si="22"/>
        <v>28.491843013234117</v>
      </c>
      <c r="AJ58" s="154">
        <f t="shared" si="23"/>
        <v>2.9076500928007163</v>
      </c>
      <c r="AL58" s="153">
        <f t="shared" si="6"/>
        <v>16947.583939408833</v>
      </c>
      <c r="AN58" s="154">
        <f>INDEX('(2.2)_Forward_Price_Curve'!$K:$K,MATCH($AB58,'(2.2)_Forward_Price_Curve'!$C:$C,0),1)</f>
        <v>7.075779166666667</v>
      </c>
      <c r="AP58" s="154">
        <f t="shared" si="20"/>
        <v>51.493803938541994</v>
      </c>
      <c r="AR58" s="154">
        <f t="shared" si="24"/>
        <v>3.2811273587933809</v>
      </c>
      <c r="AS58" s="154"/>
      <c r="AT58" s="153">
        <f t="shared" si="7"/>
        <v>6370.1069193858439</v>
      </c>
      <c r="AV58" s="153">
        <f t="shared" si="3"/>
        <v>23553.494332510694</v>
      </c>
      <c r="AW58" s="273"/>
      <c r="AX58" s="155">
        <f t="shared" si="8"/>
        <v>29923.601251896536</v>
      </c>
      <c r="AZ58" s="384">
        <f>+IF(AZ57&gt;$I$13+$I$14,XX,AZ57+1)</f>
        <v>2040</v>
      </c>
      <c r="BA58" s="117"/>
      <c r="BB58" s="154">
        <f t="shared" si="17"/>
        <v>114.38993850936666</v>
      </c>
      <c r="BD58" s="154">
        <f t="shared" si="18"/>
        <v>7.5322688942889053</v>
      </c>
      <c r="BF58" s="153">
        <f t="shared" si="9"/>
        <v>10577.477020022989</v>
      </c>
      <c r="BH58" s="157"/>
    </row>
    <row r="59" spans="2:60" ht="12">
      <c r="B59" s="2"/>
      <c r="C59">
        <f t="shared" si="30"/>
        <v>2041</v>
      </c>
      <c r="E59" s="169">
        <f>+INDEX('(2.2)_Forward_Price_Curve'!$U:$U,MATCH($C59,'(2.2)_Forward_Price_Curve'!C:C,0))</f>
        <v>1.7999999999999999E-2</v>
      </c>
      <c r="G59" s="545">
        <v>430004.99999999994</v>
      </c>
      <c r="I59" s="360">
        <v>123.11477228505774</v>
      </c>
      <c r="K59" s="360">
        <v>22.37005955237202</v>
      </c>
      <c r="M59" s="28">
        <f t="shared" si="12"/>
        <v>0</v>
      </c>
      <c r="O59" s="547">
        <v>1</v>
      </c>
      <c r="Q59" s="28"/>
      <c r="S59" s="18">
        <f t="shared" si="25"/>
        <v>23714.982181459138</v>
      </c>
      <c r="U59" s="18">
        <f t="shared" si="26"/>
        <v>30572.961193437477</v>
      </c>
      <c r="W59" s="18">
        <f t="shared" si="27"/>
        <v>-6857.9790119783393</v>
      </c>
      <c r="Y59" s="271">
        <f t="shared" si="28"/>
        <v>-15.948602951078104</v>
      </c>
      <c r="Z59" s="235"/>
      <c r="AB59" s="146">
        <f t="shared" si="31"/>
        <v>2041</v>
      </c>
      <c r="AC59" s="117"/>
      <c r="AD59" s="151">
        <f t="shared" si="29"/>
        <v>430004.99999999994</v>
      </c>
      <c r="AF59" s="154">
        <f t="shared" si="21"/>
        <v>144.80313068123439</v>
      </c>
      <c r="AH59" s="154">
        <f t="shared" si="22"/>
        <v>29.00469618747233</v>
      </c>
      <c r="AJ59" s="154">
        <f t="shared" si="23"/>
        <v>2.9599877944711293</v>
      </c>
      <c r="AL59" s="153">
        <f t="shared" si="6"/>
        <v>17252.640450318188</v>
      </c>
      <c r="AN59" s="154">
        <f>INDEX('(2.2)_Forward_Price_Curve'!$K:$K,MATCH($AB59,'(2.2)_Forward_Price_Curve'!$C:$C,0),1)</f>
        <v>7.2385291666666687</v>
      </c>
      <c r="AP59" s="154">
        <f t="shared" si="20"/>
        <v>52.678212947584854</v>
      </c>
      <c r="AR59" s="154">
        <f t="shared" si="24"/>
        <v>3.3401876512516617</v>
      </c>
      <c r="AS59" s="154"/>
      <c r="AT59" s="153">
        <f t="shared" si="7"/>
        <v>6484.7688439347858</v>
      </c>
      <c r="AV59" s="153">
        <f t="shared" si="3"/>
        <v>24088.192349502693</v>
      </c>
      <c r="AW59" s="273"/>
      <c r="AX59" s="155">
        <f t="shared" si="8"/>
        <v>30572.961193437477</v>
      </c>
      <c r="AZ59" s="384">
        <f>+IF(AZ58&gt;$I$13+$I$14,XX,AZ58+1)</f>
        <v>2041</v>
      </c>
      <c r="BA59" s="117"/>
      <c r="BB59" s="154">
        <f t="shared" si="17"/>
        <v>116.44895740253526</v>
      </c>
      <c r="BD59" s="154">
        <f t="shared" si="18"/>
        <v>7.6678497343861061</v>
      </c>
      <c r="BF59" s="153">
        <f t="shared" si="9"/>
        <v>10767.871606383402</v>
      </c>
      <c r="BH59" s="157"/>
    </row>
    <row r="60" spans="2:60" ht="12">
      <c r="B60" s="2"/>
      <c r="C60">
        <f t="shared" si="30"/>
        <v>2042</v>
      </c>
      <c r="E60" s="169">
        <f>+INDEX('(2.2)_Forward_Price_Curve'!$U:$U,MATCH($C60,'(2.2)_Forward_Price_Curve'!C:C,0))</f>
        <v>1.7999999999999999E-2</v>
      </c>
      <c r="G60" s="545">
        <v>430004.99999999994</v>
      </c>
      <c r="I60" s="360">
        <v>125.45395295847381</v>
      </c>
      <c r="K60" s="360">
        <v>22.884570922076581</v>
      </c>
      <c r="M60" s="28">
        <f t="shared" si="12"/>
        <v>0</v>
      </c>
      <c r="O60" s="547">
        <v>1.0199999999999998</v>
      </c>
      <c r="Q60" s="28"/>
      <c r="S60" s="18">
        <f t="shared" si="25"/>
        <v>24204.47379773813</v>
      </c>
      <c r="U60" s="18">
        <f t="shared" si="26"/>
        <v>31236.485973298491</v>
      </c>
      <c r="W60" s="18">
        <f t="shared" si="27"/>
        <v>-7032.0121755603614</v>
      </c>
      <c r="Y60" s="271">
        <f t="shared" si="28"/>
        <v>-16.353326532390003</v>
      </c>
      <c r="Z60" s="235"/>
      <c r="AB60" s="146">
        <f t="shared" si="31"/>
        <v>2042</v>
      </c>
      <c r="AC60" s="117"/>
      <c r="AD60" s="151">
        <f t="shared" si="29"/>
        <v>430004.99999999994</v>
      </c>
      <c r="AF60" s="154">
        <f t="shared" si="21"/>
        <v>147.40958703349662</v>
      </c>
      <c r="AH60" s="154">
        <f t="shared" si="22"/>
        <v>29.526780718846833</v>
      </c>
      <c r="AJ60" s="154">
        <f t="shared" si="23"/>
        <v>3.0132675747716098</v>
      </c>
      <c r="AL60" s="153">
        <f t="shared" si="6"/>
        <v>17563.187978423917</v>
      </c>
      <c r="AN60" s="154">
        <f>INDEX('(2.2)_Forward_Price_Curve'!$K:$K,MATCH($AB60,'(2.2)_Forward_Price_Curve'!$C:$C,0),1)</f>
        <v>7.4050000000000002</v>
      </c>
      <c r="AP60" s="154">
        <f t="shared" si="20"/>
        <v>53.889700227110929</v>
      </c>
      <c r="AR60" s="154">
        <f t="shared" si="24"/>
        <v>3.4003110289741918</v>
      </c>
      <c r="AS60" s="154"/>
      <c r="AT60" s="153">
        <f t="shared" si="7"/>
        <v>6601.4946831256129</v>
      </c>
      <c r="AV60" s="153">
        <f t="shared" si="3"/>
        <v>24634.991290172879</v>
      </c>
      <c r="AW60" s="273"/>
      <c r="AX60" s="155">
        <f t="shared" si="8"/>
        <v>31236.485973298491</v>
      </c>
      <c r="AZ60" s="384">
        <f>+IF(AZ59&gt;$I$13+$I$14,XX,AZ59+1)</f>
        <v>2042</v>
      </c>
      <c r="BA60" s="117"/>
      <c r="BB60" s="154">
        <f t="shared" si="17"/>
        <v>118.5450386357809</v>
      </c>
      <c r="BD60" s="154">
        <f t="shared" si="18"/>
        <v>7.805871029605056</v>
      </c>
      <c r="BF60" s="153">
        <f t="shared" si="9"/>
        <v>10961.693295298304</v>
      </c>
      <c r="BH60" s="157"/>
    </row>
    <row r="61" spans="2:60" ht="12">
      <c r="B61" s="2"/>
      <c r="C61">
        <f t="shared" si="30"/>
        <v>2043</v>
      </c>
      <c r="E61" s="169">
        <f>+INDEX('(2.2)_Forward_Price_Curve'!$U:$U,MATCH($C61,'(2.2)_Forward_Price_Curve'!C:C,0))</f>
        <v>1.7999999999999999E-2</v>
      </c>
      <c r="G61" s="545">
        <v>430004.99999999994</v>
      </c>
      <c r="I61" s="360">
        <v>127.83757806468481</v>
      </c>
      <c r="K61" s="360">
        <v>23.410916053284335</v>
      </c>
      <c r="M61" s="28">
        <f t="shared" si="12"/>
        <v>0</v>
      </c>
      <c r="O61" s="547">
        <v>1.05</v>
      </c>
      <c r="Q61" s="28"/>
      <c r="S61" s="18">
        <f t="shared" si="25"/>
        <v>24708.287372672545</v>
      </c>
      <c r="U61" s="18">
        <f t="shared" si="26"/>
        <v>31891.434083002499</v>
      </c>
      <c r="W61" s="18">
        <f t="shared" si="27"/>
        <v>-7183.1467103299547</v>
      </c>
      <c r="Y61" s="271">
        <f t="shared" si="28"/>
        <v>-16.704798107766084</v>
      </c>
      <c r="Z61" s="235"/>
      <c r="AB61" s="146">
        <f t="shared" si="31"/>
        <v>2043</v>
      </c>
      <c r="AC61" s="117"/>
      <c r="AD61" s="151">
        <f t="shared" si="29"/>
        <v>430004.99999999994</v>
      </c>
      <c r="AF61" s="154">
        <f t="shared" si="21"/>
        <v>150.06295960009956</v>
      </c>
      <c r="AH61" s="154">
        <f t="shared" si="22"/>
        <v>30.058262771786076</v>
      </c>
      <c r="AJ61" s="154">
        <f t="shared" si="23"/>
        <v>3.0675063911174987</v>
      </c>
      <c r="AL61" s="153">
        <f t="shared" si="6"/>
        <v>17879.325362035546</v>
      </c>
      <c r="AN61" s="154">
        <f>INDEX('(2.2)_Forward_Price_Curve'!$K:$K,MATCH($AB61,'(2.2)_Forward_Price_Curve'!$C:$C,0),1)</f>
        <v>7.5679100000000004</v>
      </c>
      <c r="AP61" s="154">
        <f t="shared" si="20"/>
        <v>55.075273632107368</v>
      </c>
      <c r="AR61" s="154">
        <f t="shared" si="24"/>
        <v>3.4615166274957274</v>
      </c>
      <c r="AS61" s="154"/>
      <c r="AT61" s="153">
        <f t="shared" si="7"/>
        <v>6720.3215874218731</v>
      </c>
      <c r="AV61" s="153">
        <f t="shared" si="3"/>
        <v>25171.112495580626</v>
      </c>
      <c r="AW61" s="273"/>
      <c r="AX61" s="155">
        <f t="shared" si="8"/>
        <v>31891.434083002499</v>
      </c>
      <c r="AZ61" s="384">
        <f>+IF(AZ60&gt;$I$13+$I$14,XX,AZ60+1)</f>
        <v>2043</v>
      </c>
      <c r="BA61" s="117"/>
      <c r="BB61" s="154">
        <f t="shared" si="17"/>
        <v>120.67884933122495</v>
      </c>
      <c r="BD61" s="154">
        <f t="shared" si="18"/>
        <v>7.9463767081379473</v>
      </c>
      <c r="BF61" s="153">
        <f t="shared" si="9"/>
        <v>11159.003774613673</v>
      </c>
      <c r="BH61" s="157"/>
    </row>
    <row r="62" spans="2:60" ht="12">
      <c r="B62" s="2"/>
      <c r="C62">
        <f t="shared" si="30"/>
        <v>2044</v>
      </c>
      <c r="E62" s="169">
        <f>+INDEX('(2.2)_Forward_Price_Curve'!$U:$U,MATCH($C62,'(2.2)_Forward_Price_Curve'!C:C,0))</f>
        <v>1.7999999999999999E-2</v>
      </c>
      <c r="G62" s="545">
        <v>430004.99999999994</v>
      </c>
      <c r="I62" s="360">
        <v>130.2664920479138</v>
      </c>
      <c r="K62" s="360">
        <v>24.014981826955104</v>
      </c>
      <c r="M62" s="28">
        <f t="shared" si="12"/>
        <v>0</v>
      </c>
      <c r="O62" s="547">
        <v>1.0700000000000003</v>
      </c>
      <c r="Q62" s="28"/>
      <c r="S62" s="18">
        <f t="shared" si="25"/>
        <v>25246.248227818262</v>
      </c>
      <c r="U62" s="18">
        <f t="shared" si="26"/>
        <v>32560.210468649238</v>
      </c>
      <c r="W62" s="18">
        <f t="shared" si="27"/>
        <v>-7313.962240830977</v>
      </c>
      <c r="Y62" s="271">
        <f t="shared" si="28"/>
        <v>-17.009016734296061</v>
      </c>
      <c r="Z62" s="235"/>
      <c r="AB62" s="146">
        <f t="shared" si="31"/>
        <v>2044</v>
      </c>
      <c r="AC62" s="117"/>
      <c r="AD62" s="151">
        <f t="shared" si="29"/>
        <v>430004.99999999994</v>
      </c>
      <c r="AF62" s="154">
        <f t="shared" si="21"/>
        <v>152.76409287290136</v>
      </c>
      <c r="AH62" s="154">
        <f t="shared" si="22"/>
        <v>30.599311501678226</v>
      </c>
      <c r="AJ62" s="154">
        <f t="shared" si="23"/>
        <v>3.1227215061576139</v>
      </c>
      <c r="AL62" s="153">
        <f t="shared" si="6"/>
        <v>18201.153218552183</v>
      </c>
      <c r="AN62" s="154">
        <f>INDEX('(2.2)_Forward_Price_Curve'!$K:$K,MATCH($AB62,'(2.2)_Forward_Price_Curve'!$C:$C,0),1)</f>
        <v>7.7344040200000004</v>
      </c>
      <c r="AP62" s="154">
        <f t="shared" si="20"/>
        <v>56.286929652013733</v>
      </c>
      <c r="AR62" s="154">
        <f t="shared" si="24"/>
        <v>3.5238239267906506</v>
      </c>
      <c r="AS62" s="154"/>
      <c r="AT62" s="153">
        <f t="shared" si="7"/>
        <v>6841.2873759954637</v>
      </c>
      <c r="AV62" s="153">
        <f t="shared" si="3"/>
        <v>25718.923092653775</v>
      </c>
      <c r="AW62" s="273"/>
      <c r="AX62" s="155">
        <f t="shared" si="8"/>
        <v>32560.210468649238</v>
      </c>
      <c r="AZ62" s="384">
        <f>+IF(AZ61&gt;$I$13+$I$14,XX,AZ61+1)</f>
        <v>2044</v>
      </c>
      <c r="BA62" s="117"/>
      <c r="BB62" s="154">
        <f t="shared" si="17"/>
        <v>122.851068619187</v>
      </c>
      <c r="BD62" s="154">
        <f t="shared" si="18"/>
        <v>8.08941148888443</v>
      </c>
      <c r="BF62" s="153">
        <f t="shared" si="9"/>
        <v>11359.865842556719</v>
      </c>
      <c r="BH62" s="157"/>
    </row>
    <row r="63" spans="2:60" ht="12">
      <c r="B63" s="2"/>
      <c r="C63">
        <f t="shared" si="30"/>
        <v>2045</v>
      </c>
      <c r="E63" s="169">
        <f>+INDEX('(2.2)_Forward_Price_Curve'!$U:$U,MATCH($C63,'(2.2)_Forward_Price_Curve'!C:C,0))</f>
        <v>1.7999999999999999E-2</v>
      </c>
      <c r="G63" s="545">
        <v>430004.99999999994</v>
      </c>
      <c r="I63" s="360">
        <v>132.74155539682417</v>
      </c>
      <c r="K63" s="360">
        <v>24.500202566327598</v>
      </c>
      <c r="M63" s="28">
        <f t="shared" si="12"/>
        <v>0</v>
      </c>
      <c r="O63" s="547">
        <v>1.1000000000000001</v>
      </c>
      <c r="Q63" s="28"/>
      <c r="S63" s="18">
        <f t="shared" si="25"/>
        <v>25742.52775358118</v>
      </c>
      <c r="U63" s="18">
        <f t="shared" si="26"/>
        <v>33243.108901824991</v>
      </c>
      <c r="W63" s="18">
        <f t="shared" si="27"/>
        <v>-7500.5811482438112</v>
      </c>
      <c r="Y63" s="271">
        <f t="shared" si="28"/>
        <v>-17.443009146972273</v>
      </c>
      <c r="Z63" s="235"/>
      <c r="AB63" s="146">
        <f t="shared" si="31"/>
        <v>2045</v>
      </c>
      <c r="AC63" s="117"/>
      <c r="AD63" s="151">
        <f t="shared" si="29"/>
        <v>430004.99999999994</v>
      </c>
      <c r="AF63" s="154">
        <f t="shared" si="21"/>
        <v>155.51384654461359</v>
      </c>
      <c r="AH63" s="154">
        <f t="shared" si="22"/>
        <v>31.150099108708435</v>
      </c>
      <c r="AJ63" s="154">
        <f t="shared" si="23"/>
        <v>3.1789304932684508</v>
      </c>
      <c r="AL63" s="153">
        <f t="shared" si="6"/>
        <v>18528.773976486129</v>
      </c>
      <c r="AN63" s="154">
        <f>INDEX('(2.2)_Forward_Price_Curve'!$K:$K,MATCH($AB63,'(2.2)_Forward_Price_Curve'!$C:$C,0),1)</f>
        <v>7.9045609084400006</v>
      </c>
      <c r="AP63" s="154">
        <f t="shared" si="20"/>
        <v>57.525242104358036</v>
      </c>
      <c r="AR63" s="154">
        <f t="shared" si="24"/>
        <v>3.5872527574728825</v>
      </c>
      <c r="AS63" s="154"/>
      <c r="AT63" s="153">
        <f t="shared" si="7"/>
        <v>6964.4305487633883</v>
      </c>
      <c r="AV63" s="153">
        <f t="shared" si="3"/>
        <v>26278.678353061601</v>
      </c>
      <c r="AW63" s="273"/>
      <c r="AX63" s="155">
        <f t="shared" si="8"/>
        <v>33243.108901824991</v>
      </c>
      <c r="AZ63" s="384">
        <f>+IF(AZ62&gt;$I$13+$I$14,XX,AZ62+1)</f>
        <v>2045</v>
      </c>
      <c r="BA63" s="117"/>
      <c r="BB63" s="154">
        <f t="shared" si="17"/>
        <v>125.06238785433237</v>
      </c>
      <c r="BD63" s="154">
        <f t="shared" si="18"/>
        <v>8.2350208956843503</v>
      </c>
      <c r="BF63" s="153">
        <f t="shared" si="9"/>
        <v>11564.343427722741</v>
      </c>
      <c r="BH63" s="157"/>
    </row>
    <row r="64" spans="2:60" ht="11.25" customHeight="1">
      <c r="B64" s="2"/>
      <c r="C64">
        <f t="shared" si="30"/>
        <v>2046</v>
      </c>
      <c r="E64" s="169">
        <f>+INDEX('(2.2)_Forward_Price_Curve'!$U:$U,MATCH($C64,'(2.2)_Forward_Price_Curve'!C:C,0))</f>
        <v>1.7999999999999999E-2</v>
      </c>
      <c r="G64" s="545">
        <v>430004.99999999994</v>
      </c>
      <c r="I64" s="360">
        <v>135.26364494936382</v>
      </c>
      <c r="K64" s="360">
        <v>25.063707225353131</v>
      </c>
      <c r="M64" s="28">
        <f t="shared" si="12"/>
        <v>0</v>
      </c>
      <c r="O64" s="547">
        <v>1.1200000000000001</v>
      </c>
      <c r="Q64" s="28"/>
      <c r="S64" s="18">
        <f t="shared" si="25"/>
        <v>26273.389614817359</v>
      </c>
      <c r="U64" s="18">
        <f t="shared" si="26"/>
        <v>33940.42942898217</v>
      </c>
      <c r="W64" s="18">
        <f t="shared" si="27"/>
        <v>-7667.0398141648111</v>
      </c>
      <c r="Y64" s="271">
        <f t="shared" si="28"/>
        <v>-17.83011782226907</v>
      </c>
      <c r="Z64" s="235"/>
      <c r="AB64" s="146">
        <f t="shared" si="31"/>
        <v>2046</v>
      </c>
      <c r="AC64" s="117"/>
      <c r="AD64" s="151">
        <f t="shared" si="29"/>
        <v>430004.99999999994</v>
      </c>
      <c r="AF64" s="154">
        <f t="shared" si="21"/>
        <v>158.31309578241664</v>
      </c>
      <c r="AH64" s="154">
        <f t="shared" si="22"/>
        <v>31.710800892665187</v>
      </c>
      <c r="AJ64" s="154">
        <f t="shared" si="23"/>
        <v>3.2361512421472831</v>
      </c>
      <c r="AL64" s="153">
        <f t="shared" si="6"/>
        <v>18862.291908062878</v>
      </c>
      <c r="AN64" s="154">
        <f>INDEX('(2.2)_Forward_Price_Curve'!$K:$K,MATCH($AB64,'(2.2)_Forward_Price_Curve'!$C:$C,0),1)</f>
        <v>8.0784612484256808</v>
      </c>
      <c r="AP64" s="154">
        <f t="shared" si="20"/>
        <v>58.79079743065391</v>
      </c>
      <c r="AR64" s="154">
        <f t="shared" si="24"/>
        <v>3.6518233071073944</v>
      </c>
      <c r="AS64" s="154"/>
      <c r="AT64" s="153">
        <f t="shared" si="7"/>
        <v>7089.7902986411282</v>
      </c>
      <c r="AV64" s="153">
        <f t="shared" si="3"/>
        <v>26850.639130341046</v>
      </c>
      <c r="AW64" s="273"/>
      <c r="AX64" s="155">
        <f t="shared" si="8"/>
        <v>33940.42942898217</v>
      </c>
      <c r="AZ64" s="384">
        <f>+IF(AZ63&gt;$I$13+$I$14,XX,AZ63+1)</f>
        <v>2046</v>
      </c>
      <c r="BA64" s="117"/>
      <c r="BB64" s="154">
        <f t="shared" si="17"/>
        <v>127.31351083571036</v>
      </c>
      <c r="BD64" s="154">
        <f t="shared" si="18"/>
        <v>8.3832512718066692</v>
      </c>
      <c r="BF64" s="153">
        <f t="shared" si="9"/>
        <v>11772.50160942175</v>
      </c>
      <c r="BH64" s="157"/>
    </row>
    <row r="65" spans="2:60" ht="12">
      <c r="B65" s="2"/>
      <c r="C65">
        <f>C64+1</f>
        <v>2047</v>
      </c>
      <c r="E65" s="169">
        <f>+INDEX('(2.2)_Forward_Price_Curve'!$U:$U,MATCH($C65,'(2.2)_Forward_Price_Curve'!C:C,0))</f>
        <v>1.7999999999999999E-2</v>
      </c>
      <c r="G65" s="545">
        <v>430004.99999999994</v>
      </c>
      <c r="I65" s="360">
        <v>137.83365420340172</v>
      </c>
      <c r="K65" s="360">
        <v>25.640172491536251</v>
      </c>
      <c r="M65" s="28">
        <f t="shared" si="12"/>
        <v>0</v>
      </c>
      <c r="O65" s="547">
        <v>1.1499999999999997</v>
      </c>
      <c r="Q65" s="28"/>
      <c r="S65" s="18">
        <f t="shared" ref="S65:S68" si="32">(I65*$G$11*1000+(K65+M65+O65+Q65)*G65)/1000</f>
        <v>26819.443738800634</v>
      </c>
      <c r="U65" s="18">
        <f t="shared" si="26"/>
        <v>34652.478506100531</v>
      </c>
      <c r="W65" s="18">
        <f t="shared" ref="W65:W68" si="33">S65-U65</f>
        <v>-7833.0347672998978</v>
      </c>
      <c r="Y65" s="271">
        <f t="shared" ref="Y65:Y68" si="34">+W65*1000/G65</f>
        <v>-18.216148108277576</v>
      </c>
      <c r="Z65" s="235"/>
      <c r="AB65" s="146">
        <f t="shared" si="31"/>
        <v>2047</v>
      </c>
      <c r="AC65" s="117"/>
      <c r="AD65" s="151">
        <f t="shared" ref="AD65:AD68" si="35">G65</f>
        <v>430004.99999999994</v>
      </c>
      <c r="AF65" s="154">
        <f t="shared" si="21"/>
        <v>161.16273150650014</v>
      </c>
      <c r="AH65" s="154">
        <f t="shared" si="22"/>
        <v>32.281595308733159</v>
      </c>
      <c r="AJ65" s="154">
        <f t="shared" si="23"/>
        <v>3.2944019645059344</v>
      </c>
      <c r="AL65" s="153">
        <f t="shared" si="6"/>
        <v>19201.813162408009</v>
      </c>
      <c r="AN65" s="154">
        <f>INDEX('(2.2)_Forward_Price_Curve'!$K:$K,MATCH($AB65,'(2.2)_Forward_Price_Curve'!$C:$C,0),1)</f>
        <v>8.2561873958910468</v>
      </c>
      <c r="AP65" s="154">
        <f t="shared" si="20"/>
        <v>60.084194974128309</v>
      </c>
      <c r="AR65" s="154">
        <f t="shared" si="24"/>
        <v>3.7175561266353276</v>
      </c>
      <c r="AS65" s="154"/>
      <c r="AT65" s="153">
        <f t="shared" si="7"/>
        <v>7217.4065240166692</v>
      </c>
      <c r="AV65" s="153">
        <f t="shared" si="3"/>
        <v>27435.071982083864</v>
      </c>
      <c r="AW65" s="273"/>
      <c r="AX65" s="155">
        <f t="shared" si="8"/>
        <v>34652.478506100531</v>
      </c>
      <c r="AZ65" s="384">
        <f>+IF(AZ64&gt;$I$13+$I$14,XX,AZ64+1)</f>
        <v>2047</v>
      </c>
      <c r="BA65" s="117"/>
      <c r="BB65" s="154">
        <f t="shared" si="17"/>
        <v>129.60515403075314</v>
      </c>
      <c r="BD65" s="154">
        <f t="shared" si="18"/>
        <v>8.5341497946991893</v>
      </c>
      <c r="BF65" s="153">
        <f t="shared" si="9"/>
        <v>11984.40663839134</v>
      </c>
      <c r="BH65" s="157"/>
    </row>
    <row r="66" spans="2:60" ht="12">
      <c r="B66" s="2"/>
      <c r="C66">
        <f t="shared" si="30"/>
        <v>2048</v>
      </c>
      <c r="E66" s="169">
        <f>+INDEX('(2.2)_Forward_Price_Curve'!$U:$U,MATCH($C66,'(2.2)_Forward_Price_Curve'!C:C,0))</f>
        <v>1.7999999999999999E-2</v>
      </c>
      <c r="G66" s="545">
        <v>430004.99999999994</v>
      </c>
      <c r="I66" s="360">
        <v>140.45249363326633</v>
      </c>
      <c r="K66" s="360">
        <v>26.301759188865805</v>
      </c>
      <c r="M66" s="28">
        <f t="shared" si="12"/>
        <v>0</v>
      </c>
      <c r="O66" s="547">
        <v>1.17</v>
      </c>
      <c r="Q66" s="28"/>
      <c r="S66" s="18">
        <f t="shared" si="32"/>
        <v>27403.220603300804</v>
      </c>
      <c r="U66" s="18">
        <f t="shared" si="26"/>
        <v>35379.569136249745</v>
      </c>
      <c r="W66" s="18">
        <f t="shared" si="33"/>
        <v>-7976.3485329489413</v>
      </c>
      <c r="Y66" s="271">
        <f t="shared" si="34"/>
        <v>-18.549432059973586</v>
      </c>
      <c r="Z66" s="235"/>
      <c r="AB66" s="146">
        <f t="shared" si="31"/>
        <v>2048</v>
      </c>
      <c r="AC66" s="117"/>
      <c r="AD66" s="151">
        <f t="shared" si="35"/>
        <v>430004.99999999994</v>
      </c>
      <c r="AF66" s="154">
        <f t="shared" si="21"/>
        <v>164.06366067361714</v>
      </c>
      <c r="AH66" s="154">
        <f t="shared" si="22"/>
        <v>32.862664024290353</v>
      </c>
      <c r="AJ66" s="154">
        <f t="shared" si="23"/>
        <v>3.3537011998670412</v>
      </c>
      <c r="AL66" s="153">
        <f t="shared" si="6"/>
        <v>19547.445799331352</v>
      </c>
      <c r="AN66" s="154">
        <f>INDEX('(2.2)_Forward_Price_Curve'!$K:$K,MATCH($AB66,'(2.2)_Forward_Price_Curve'!$C:$C,0),1)</f>
        <v>8.4378235186006503</v>
      </c>
      <c r="AP66" s="154">
        <f t="shared" si="20"/>
        <v>61.406047263559138</v>
      </c>
      <c r="AR66" s="154">
        <f t="shared" si="24"/>
        <v>3.7844721369147636</v>
      </c>
      <c r="AS66" s="154"/>
      <c r="AT66" s="153">
        <f t="shared" si="7"/>
        <v>7347.3198414489671</v>
      </c>
      <c r="AV66" s="153">
        <f t="shared" si="3"/>
        <v>28032.249294800778</v>
      </c>
      <c r="AW66" s="273"/>
      <c r="AX66" s="155">
        <f t="shared" si="8"/>
        <v>35379.569136249745</v>
      </c>
      <c r="AZ66" s="384">
        <f>+IF(AZ65&gt;$I$13+$I$14,XX,AZ65+1)</f>
        <v>2048</v>
      </c>
      <c r="BA66" s="117"/>
      <c r="BB66" s="154">
        <f t="shared" si="17"/>
        <v>131.93804680330669</v>
      </c>
      <c r="BD66" s="154">
        <f t="shared" si="18"/>
        <v>8.6877644910037741</v>
      </c>
      <c r="BF66" s="153">
        <f t="shared" si="9"/>
        <v>12200.125957882385</v>
      </c>
      <c r="BH66" s="157"/>
    </row>
    <row r="67" spans="2:60" ht="12">
      <c r="B67" s="2"/>
      <c r="C67">
        <f t="shared" si="30"/>
        <v>2049</v>
      </c>
      <c r="E67" s="169">
        <f>+INDEX('(2.2)_Forward_Price_Curve'!$U:$U,MATCH($C67,'(2.2)_Forward_Price_Curve'!C:C,0))</f>
        <v>1.7999999999999999E-2</v>
      </c>
      <c r="G67" s="545">
        <v>430004.99999999994</v>
      </c>
      <c r="I67" s="360">
        <v>143.12109101229842</v>
      </c>
      <c r="K67" s="360">
        <v>26.833184077394939</v>
      </c>
      <c r="M67" s="28">
        <f t="shared" si="12"/>
        <v>0</v>
      </c>
      <c r="O67" s="547">
        <v>1.2000000000000002</v>
      </c>
      <c r="Q67" s="28"/>
      <c r="S67" s="18">
        <f t="shared" si="32"/>
        <v>27940.85042156533</v>
      </c>
      <c r="U67" s="18">
        <f t="shared" si="26"/>
        <v>36122.021010116507</v>
      </c>
      <c r="W67" s="18">
        <f t="shared" si="33"/>
        <v>-8181.1705885511765</v>
      </c>
      <c r="Y67" s="271">
        <f t="shared" si="34"/>
        <v>-19.025756883178516</v>
      </c>
      <c r="Z67" s="235"/>
      <c r="AB67" s="146">
        <f t="shared" si="31"/>
        <v>2049</v>
      </c>
      <c r="AC67" s="117"/>
      <c r="AD67" s="151">
        <f t="shared" si="35"/>
        <v>430004.99999999994</v>
      </c>
      <c r="AF67" s="154">
        <f t="shared" si="21"/>
        <v>167.01680656574226</v>
      </c>
      <c r="AH67" s="154">
        <f t="shared" si="22"/>
        <v>33.454191976727579</v>
      </c>
      <c r="AJ67" s="154">
        <f t="shared" si="23"/>
        <v>3.414067821464648</v>
      </c>
      <c r="AL67" s="153">
        <f>((AF67+AH67)*$AF$11*1000+AJ67*AD67)/1000</f>
        <v>19899.299823719321</v>
      </c>
      <c r="AN67" s="154">
        <f>INDEX('(2.2)_Forward_Price_Curve'!$K:$K,MATCH($AB67,'(2.2)_Forward_Price_Curve'!$C:$C,0),1)</f>
        <v>8.6234556360098651</v>
      </c>
      <c r="AP67" s="154">
        <f t="shared" si="20"/>
        <v>62.756980303357437</v>
      </c>
      <c r="AR67" s="154">
        <f t="shared" si="24"/>
        <v>3.8525926353792292</v>
      </c>
      <c r="AS67" s="154"/>
      <c r="AT67" s="153">
        <f t="shared" si="7"/>
        <v>7479.5715985950519</v>
      </c>
      <c r="AV67" s="153">
        <f t="shared" si="3"/>
        <v>28642.449411521455</v>
      </c>
      <c r="AW67" s="273"/>
      <c r="AX67" s="155">
        <f t="shared" si="8"/>
        <v>36122.021010116507</v>
      </c>
      <c r="AZ67" s="384">
        <f>+IF(AZ66&gt;$I$13+$I$14,XX,AZ66+1)</f>
        <v>2049</v>
      </c>
      <c r="BA67" s="117"/>
      <c r="BB67" s="154">
        <f t="shared" si="17"/>
        <v>134.31293164576621</v>
      </c>
      <c r="BD67" s="154">
        <f t="shared" si="18"/>
        <v>8.8441442518418416</v>
      </c>
      <c r="BF67" s="153">
        <f t="shared" si="9"/>
        <v>12419.728225124269</v>
      </c>
      <c r="BH67" s="157"/>
    </row>
    <row r="68" spans="2:60" ht="12">
      <c r="B68" s="2"/>
      <c r="C68">
        <f t="shared" si="30"/>
        <v>2050</v>
      </c>
      <c r="E68" s="169">
        <f>+INDEX('(2.2)_Forward_Price_Curve'!$U:$U,MATCH($C68,'(2.2)_Forward_Price_Curve'!C:C,0))</f>
        <v>1.7999999999999999E-2</v>
      </c>
      <c r="G68" s="545">
        <v>394171.24999999994</v>
      </c>
      <c r="I68" s="360">
        <v>133.68702576307106</v>
      </c>
      <c r="K68" s="360">
        <v>25.162818368577099</v>
      </c>
      <c r="M68" s="28">
        <f t="shared" si="12"/>
        <v>0</v>
      </c>
      <c r="O68" s="547">
        <v>1.2228000000000001</v>
      </c>
      <c r="Q68" s="28"/>
      <c r="S68" s="18">
        <f t="shared" si="32"/>
        <v>25239.71203406588</v>
      </c>
      <c r="U68" s="18">
        <f t="shared" si="26"/>
        <v>28846.141736076635</v>
      </c>
      <c r="W68" s="18">
        <f t="shared" si="33"/>
        <v>-3606.4297020107551</v>
      </c>
      <c r="Y68" s="271">
        <f t="shared" si="34"/>
        <v>-9.1493981410637009</v>
      </c>
      <c r="Z68" s="235"/>
      <c r="AB68" s="146">
        <f t="shared" si="31"/>
        <v>2050</v>
      </c>
      <c r="AC68" s="117"/>
      <c r="AD68" s="151">
        <f t="shared" si="35"/>
        <v>394171.24999999994</v>
      </c>
      <c r="AF68" s="154">
        <f t="shared" si="21"/>
        <v>170.02310908392562</v>
      </c>
      <c r="AH68" s="154">
        <f t="shared" si="22"/>
        <v>34.056367432308676</v>
      </c>
      <c r="AJ68" s="154">
        <f t="shared" si="23"/>
        <v>3.4755210422510117</v>
      </c>
      <c r="AL68" s="153">
        <f>((AF68+AH68)*$AR$11*1000+AJ68*AD68)/1000</f>
        <v>14662.29803724544</v>
      </c>
      <c r="AN68" s="154">
        <f>INDEX('(2.2)_Forward_Price_Curve'!$K:$K,MATCH($AB68,'(2.2)_Forward_Price_Curve'!$C:$C,0),1)</f>
        <v>8.813171660002082</v>
      </c>
      <c r="AP68" s="154">
        <f t="shared" si="20"/>
        <v>64.137633870031294</v>
      </c>
      <c r="AR68" s="154">
        <f t="shared" si="24"/>
        <v>3.9219393028160554</v>
      </c>
      <c r="AS68" s="154"/>
      <c r="AT68" s="153">
        <f t="shared" si="7"/>
        <v>2019.0147040689353</v>
      </c>
      <c r="AV68" s="153">
        <f t="shared" si="3"/>
        <v>26827.127032007702</v>
      </c>
      <c r="AW68" s="273"/>
      <c r="AX68" s="155">
        <f t="shared" si="8"/>
        <v>28846.141736076635</v>
      </c>
      <c r="AZ68" s="384">
        <f>+IF(AZ67&gt;$I$13+$I$14,XX,AZ67+1)</f>
        <v>2050</v>
      </c>
      <c r="BA68" s="117"/>
      <c r="BB68" s="154">
        <f t="shared" si="17"/>
        <v>136.73056441539001</v>
      </c>
      <c r="BD68" s="154">
        <f t="shared" si="18"/>
        <v>9.0033388483749945</v>
      </c>
      <c r="BF68" s="153">
        <f t="shared" si="9"/>
        <v>12643.283333176505</v>
      </c>
      <c r="BH68" s="157"/>
    </row>
    <row r="69" spans="2:60" ht="12">
      <c r="B69" s="2"/>
      <c r="E69" s="169"/>
      <c r="G69" s="18"/>
      <c r="I69" s="28"/>
      <c r="K69" s="28"/>
      <c r="M69" s="28"/>
      <c r="O69" s="270"/>
      <c r="Q69" s="28" t="s">
        <v>299</v>
      </c>
      <c r="S69" s="18"/>
      <c r="U69" s="18"/>
      <c r="W69" s="18"/>
      <c r="Y69" s="271"/>
      <c r="Z69" s="235"/>
      <c r="AB69" s="146"/>
      <c r="AC69" s="117"/>
      <c r="AD69" s="151"/>
      <c r="AF69" s="154"/>
      <c r="AH69" s="154"/>
      <c r="AJ69" s="154"/>
      <c r="AL69" s="153"/>
      <c r="AN69" s="154"/>
      <c r="AP69" s="154"/>
      <c r="AR69" s="154"/>
      <c r="AS69" s="154"/>
      <c r="AT69" s="153"/>
      <c r="AV69" s="153"/>
      <c r="AW69" s="273"/>
      <c r="AX69" s="155"/>
      <c r="AZ69" s="146"/>
      <c r="BA69" s="117"/>
      <c r="BB69" s="154"/>
      <c r="BD69" s="154"/>
      <c r="BF69" s="153"/>
      <c r="BH69" s="157"/>
    </row>
    <row r="70" spans="2:60" ht="12">
      <c r="B70" s="2"/>
      <c r="E70" s="169"/>
      <c r="G70" s="18"/>
      <c r="I70" s="28"/>
      <c r="K70" s="28"/>
      <c r="M70" s="28"/>
      <c r="O70" s="270"/>
      <c r="Q70" s="28"/>
      <c r="S70" s="18"/>
      <c r="U70" s="18"/>
      <c r="W70" s="18"/>
      <c r="Y70" s="271"/>
      <c r="Z70" s="235"/>
      <c r="AB70" s="146"/>
      <c r="AC70" s="117"/>
      <c r="AD70" s="151"/>
      <c r="AF70" s="154"/>
      <c r="AH70" s="154"/>
      <c r="AJ70" s="154"/>
      <c r="AL70" s="153"/>
      <c r="AN70" s="154"/>
      <c r="AP70" s="154"/>
      <c r="AR70" s="154"/>
      <c r="AS70" s="154"/>
      <c r="AT70" s="153"/>
      <c r="AV70" s="153"/>
      <c r="AW70" s="273"/>
      <c r="AX70" s="155"/>
      <c r="AZ70" s="146"/>
      <c r="BA70" s="117"/>
      <c r="BB70" s="154"/>
      <c r="BD70" s="154"/>
      <c r="BF70" s="153"/>
      <c r="BH70" s="157"/>
    </row>
    <row r="71" spans="2:60" ht="12">
      <c r="B71" s="2"/>
      <c r="E71" s="169"/>
      <c r="G71" s="18"/>
      <c r="I71" s="28"/>
      <c r="K71" s="28"/>
      <c r="M71" s="28"/>
      <c r="O71" s="270"/>
      <c r="Q71" s="28"/>
      <c r="S71" s="18"/>
      <c r="U71" s="18"/>
      <c r="W71" s="18"/>
      <c r="Y71" s="271"/>
      <c r="Z71" s="235"/>
      <c r="AB71" s="146"/>
      <c r="AC71" s="117"/>
      <c r="AD71" s="151"/>
      <c r="AF71" s="154"/>
      <c r="AH71" s="154"/>
      <c r="AJ71" s="154"/>
      <c r="AL71" s="153"/>
      <c r="AN71" s="154"/>
      <c r="AP71" s="154"/>
      <c r="AR71" s="154"/>
      <c r="AS71" s="154"/>
      <c r="AT71" s="153"/>
      <c r="AV71" s="153"/>
      <c r="AW71" s="273"/>
      <c r="AX71" s="155"/>
      <c r="AZ71" s="146"/>
      <c r="BA71" s="117"/>
      <c r="BB71" s="154"/>
      <c r="BD71" s="154"/>
      <c r="BF71" s="153"/>
      <c r="BH71" s="157"/>
    </row>
    <row r="72" spans="2:60" ht="12">
      <c r="B72" s="2"/>
      <c r="E72" s="169"/>
      <c r="G72" s="18"/>
      <c r="I72" s="28"/>
      <c r="K72" s="28"/>
      <c r="M72" s="28"/>
      <c r="O72" s="270"/>
      <c r="Q72" s="28"/>
      <c r="S72" s="18"/>
      <c r="U72" s="18"/>
      <c r="W72" s="18"/>
      <c r="Y72" s="271"/>
      <c r="Z72" s="235"/>
      <c r="AB72" s="146"/>
      <c r="AC72" s="117"/>
      <c r="AD72" s="151"/>
      <c r="AF72" s="154"/>
      <c r="AH72" s="154"/>
      <c r="AJ72" s="154"/>
      <c r="AL72" s="153"/>
      <c r="AN72" s="154"/>
      <c r="AP72" s="154"/>
      <c r="AR72" s="154"/>
      <c r="AS72" s="154"/>
      <c r="AT72" s="153"/>
      <c r="AV72" s="153"/>
      <c r="AW72" s="273"/>
      <c r="AX72" s="155"/>
      <c r="AZ72" s="146"/>
      <c r="BA72" s="117"/>
      <c r="BB72" s="154"/>
      <c r="BD72" s="154"/>
      <c r="BF72" s="153"/>
      <c r="BH72" s="157"/>
    </row>
    <row r="73" spans="2:60" ht="12">
      <c r="B73" s="2"/>
      <c r="E73" s="169"/>
      <c r="G73" s="18"/>
      <c r="I73" s="28"/>
      <c r="K73" s="28"/>
      <c r="M73" s="28"/>
      <c r="O73" s="270"/>
      <c r="Q73" s="28"/>
      <c r="S73" s="18"/>
      <c r="U73" s="18"/>
      <c r="W73" s="18"/>
      <c r="Y73" s="271"/>
      <c r="Z73" s="235"/>
      <c r="AB73" s="146"/>
      <c r="AC73" s="117"/>
      <c r="AD73" s="151"/>
      <c r="AF73" s="154"/>
      <c r="AH73" s="154"/>
      <c r="AJ73" s="154"/>
      <c r="AL73" s="153"/>
      <c r="AN73" s="154"/>
      <c r="AP73" s="154"/>
      <c r="AR73" s="154"/>
      <c r="AS73" s="154"/>
      <c r="AT73" s="153"/>
      <c r="AV73" s="153"/>
      <c r="AW73" s="273"/>
      <c r="AX73" s="155"/>
      <c r="AZ73" s="146"/>
      <c r="BA73" s="117"/>
      <c r="BB73" s="154"/>
      <c r="BD73" s="154"/>
      <c r="BF73" s="153"/>
      <c r="BH73" s="157"/>
    </row>
    <row r="74" spans="2:60">
      <c r="B74" s="2"/>
      <c r="E74" s="169"/>
      <c r="G74" s="267"/>
      <c r="I74" s="267"/>
      <c r="K74" s="267"/>
      <c r="M74" s="267"/>
      <c r="O74" s="267"/>
      <c r="Q74" s="267"/>
      <c r="S74" s="267"/>
      <c r="U74" s="267"/>
      <c r="W74" s="267"/>
      <c r="Y74" s="267"/>
      <c r="Z74" s="235"/>
      <c r="AB74" s="2"/>
      <c r="AF74" s="274"/>
      <c r="AH74" s="274"/>
      <c r="AJ74" s="274"/>
      <c r="AL74" s="273"/>
      <c r="AN74" s="274"/>
      <c r="AP74" s="274"/>
      <c r="AR74" s="274"/>
      <c r="AS74" s="274"/>
      <c r="AT74" s="274"/>
      <c r="AV74" s="273"/>
      <c r="AW74" s="273"/>
      <c r="AX74" s="275"/>
      <c r="AZ74" s="2"/>
      <c r="BB74" s="274"/>
      <c r="BF74" s="273"/>
      <c r="BH74" s="235"/>
    </row>
    <row r="75" spans="2:60" ht="12">
      <c r="B75" s="2"/>
      <c r="C75" s="276" t="str">
        <f>41&amp;"-year Nominal Levelized at "&amp;TEXT($G$18,"#.00%")</f>
        <v>41-year Nominal Levelized at 7.32%</v>
      </c>
      <c r="E75" s="169"/>
      <c r="G75" s="363">
        <f>+-PMT($I$18,$I$20,NPV($I$18,G28:G73))</f>
        <v>403163.6788915153</v>
      </c>
      <c r="I75" s="28">
        <f>+-PMT($I$18,$I$20,NPV($I$18,I28:I73))</f>
        <v>233.1960835102029</v>
      </c>
      <c r="J75" s="28"/>
      <c r="K75" s="28">
        <f>+-PMT($I$18,$I$20,NPV($I$18,K28:K73))</f>
        <v>10.950970267202965</v>
      </c>
      <c r="M75" s="28">
        <f>+-PMT($G$18,$G$14,NPV($G$18,M28:M73))</f>
        <v>0</v>
      </c>
      <c r="O75" s="28">
        <f>+-PMT($I$18,$I$20,NPV($I$18,O28:O73))</f>
        <v>3.2856519937031532</v>
      </c>
      <c r="Q75" s="28">
        <f>+-PMT($I$18,$I$20,NPV($I$18,Q28:Q73))</f>
        <v>-29.287899466160269</v>
      </c>
      <c r="S75" s="285">
        <f>+-PMT($I$18,$I$20,NPV($I$18,S28:S73))</f>
        <v>20108.704376956124</v>
      </c>
      <c r="U75" s="285">
        <f>+-PMT($I$18,$I$20,NPV($I$18,U28:U73))</f>
        <v>28774.506728027667</v>
      </c>
      <c r="W75" s="285">
        <f>+-PMT($I$18,$I$20,NPV($I$18,W28:W73))</f>
        <v>-8665.8023510715375</v>
      </c>
      <c r="Y75" s="271">
        <f>+-PMT($I$18,$I$20,NPV($I$18,Y28:Y73))</f>
        <v>-23.515096713077824</v>
      </c>
      <c r="Z75" s="235"/>
      <c r="AB75" s="2"/>
      <c r="AD75" s="412">
        <f>+-PMT($I$18,$I$20,NPV($I$18,AD28:AD73))</f>
        <v>403163.6788915153</v>
      </c>
      <c r="AF75" s="154">
        <f>+-PMT($I$18,$I$20,NPV($I$18,AF28:AF73))</f>
        <v>115.73219543411302</v>
      </c>
      <c r="AH75" s="154">
        <f>+-PMT($I$18,$I$20,NPV($I$18,AH28:AH73))</f>
        <v>16.114130281186522</v>
      </c>
      <c r="AJ75" s="154">
        <f>+-PMT($I$18,$I$20,NPV($I$18,AJ28:AJ73))</f>
        <v>2.8091181932379072</v>
      </c>
      <c r="AL75" s="154">
        <f>+-PMT($I$18,$I$20,NPV($I$18,AL28:AL73))</f>
        <v>13219.757464690578</v>
      </c>
      <c r="AN75" s="154">
        <f>+-PMT($I$18,$I$20,NPV($I$18,AN28:AN73))</f>
        <v>7.7000721299225594</v>
      </c>
      <c r="AP75" s="154">
        <f>+-PMT($I$18,$I$20,NPV($I$18,AP28:AP73))</f>
        <v>56.037080190230697</v>
      </c>
      <c r="AR75" s="154">
        <f>+-PMT($I$18,$I$20,NPV($I$18,AR28:AR73))</f>
        <v>2.6559702385098962</v>
      </c>
      <c r="AS75" s="154"/>
      <c r="AT75" s="154">
        <f>+-PMT($I$18,$I$20,NPV($I$18,AT28:AT73))</f>
        <v>5479.6106779791426</v>
      </c>
      <c r="AV75" s="154">
        <f>+-PMT($I$18,$I$20,NPV($I$18,AV28:AV73))</f>
        <v>23294.896050048523</v>
      </c>
      <c r="AW75" s="273"/>
      <c r="AX75" s="154">
        <f>+-PMT($I$18,$I$20,NPV($I$18,AX28:AX73))</f>
        <v>28774.506728027667</v>
      </c>
      <c r="AZ75" s="2"/>
      <c r="BB75" s="154">
        <f>+-PMT($I$18,$I$20,NPV($I$18,BB28:BB73))</f>
        <v>83.705680788467347</v>
      </c>
      <c r="BD75" s="154">
        <f>+-PMT($I$18,$I$20,NPV($I$18,BD28:BD73))</f>
        <v>5.5117932913883143</v>
      </c>
      <c r="BF75" s="154">
        <f>+-PMT($I$18,$I$20,NPV($I$18,BF28:BF73))</f>
        <v>7740.1467867114352</v>
      </c>
      <c r="BH75" s="157"/>
    </row>
    <row r="76" spans="2:60">
      <c r="B76" s="2"/>
      <c r="E76" s="169"/>
      <c r="W76" s="18"/>
      <c r="Y76" s="271"/>
      <c r="Z76" s="235"/>
      <c r="AB76" s="2"/>
      <c r="AT76" s="273"/>
      <c r="AX76" s="235"/>
      <c r="AZ76" s="2"/>
      <c r="BH76" s="235"/>
    </row>
    <row r="77" spans="2:60">
      <c r="B77" s="238"/>
      <c r="C77" s="277"/>
      <c r="D77" s="277"/>
      <c r="E77" s="278"/>
      <c r="F77" s="277"/>
      <c r="G77" s="277"/>
      <c r="H77" s="277"/>
      <c r="I77" s="277"/>
      <c r="J77" s="277"/>
      <c r="K77" s="277"/>
      <c r="L77" s="277"/>
      <c r="M77" s="277"/>
      <c r="N77" s="277"/>
      <c r="O77" s="277"/>
      <c r="P77" s="277"/>
      <c r="Q77" s="277"/>
      <c r="R77" s="277"/>
      <c r="S77" s="277"/>
      <c r="T77" s="277"/>
      <c r="U77" s="277"/>
      <c r="V77" s="277"/>
      <c r="W77" s="277"/>
      <c r="X77" s="277"/>
      <c r="Y77" s="277"/>
      <c r="Z77" s="239"/>
      <c r="AB77" s="238"/>
      <c r="AC77" s="277"/>
      <c r="AD77" s="277"/>
      <c r="AE77" s="277"/>
      <c r="AF77" s="277"/>
      <c r="AG77" s="277"/>
      <c r="AH77" s="277"/>
      <c r="AI77" s="277"/>
      <c r="AJ77" s="277"/>
      <c r="AK77" s="277"/>
      <c r="AL77" s="277"/>
      <c r="AM77" s="277"/>
      <c r="AN77" s="277"/>
      <c r="AO77" s="277"/>
      <c r="AP77" s="277"/>
      <c r="AQ77" s="277"/>
      <c r="AR77" s="277"/>
      <c r="AS77" s="277"/>
      <c r="AT77" s="277"/>
      <c r="AU77" s="277"/>
      <c r="AV77" s="277"/>
      <c r="AW77" s="277"/>
      <c r="AX77" s="239"/>
      <c r="AZ77" s="238"/>
      <c r="BA77" s="277"/>
      <c r="BB77" s="277"/>
      <c r="BC77" s="277"/>
      <c r="BD77" s="277"/>
      <c r="BE77" s="277"/>
      <c r="BF77" s="277"/>
      <c r="BG77" s="277"/>
      <c r="BH77" s="239"/>
    </row>
    <row r="78" spans="2:60">
      <c r="E78" s="169"/>
    </row>
    <row r="79" spans="2:60">
      <c r="E79" s="169"/>
      <c r="G79" s="18"/>
      <c r="I79" s="18"/>
      <c r="K79" s="18"/>
      <c r="O79" s="18"/>
      <c r="Q79" s="18"/>
      <c r="S79" s="18"/>
      <c r="U79" s="18"/>
      <c r="W79" s="18"/>
    </row>
    <row r="80" spans="2:60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  <row r="87" spans="5:5">
      <c r="E87" s="169"/>
    </row>
    <row r="88" spans="5:5">
      <c r="E88" s="169"/>
    </row>
    <row r="89" spans="5:5">
      <c r="E89" s="169"/>
    </row>
    <row r="90" spans="5:5">
      <c r="E90" s="169"/>
    </row>
    <row r="91" spans="5:5">
      <c r="E91" s="169"/>
    </row>
    <row r="92" spans="5:5">
      <c r="E92" s="169"/>
    </row>
    <row r="93" spans="5:5">
      <c r="E93" s="169"/>
    </row>
    <row r="94" spans="5:5">
      <c r="E94" s="169"/>
    </row>
    <row r="95" spans="5:5">
      <c r="E95" s="169"/>
    </row>
    <row r="96" spans="5:5">
      <c r="E96" s="169"/>
    </row>
    <row r="97" spans="5:5">
      <c r="E97" s="169"/>
    </row>
    <row r="98" spans="5:5">
      <c r="E98" s="169"/>
    </row>
    <row r="99" spans="5:5">
      <c r="E99" s="169"/>
    </row>
    <row r="100" spans="5:5">
      <c r="E100" s="169"/>
    </row>
    <row r="101" spans="5:5">
      <c r="E101" s="169"/>
    </row>
  </sheetData>
  <pageMargins left="0.25" right="0.25" top="0.25" bottom="0.75" header="0.3" footer="0.3"/>
  <pageSetup paperSize="5" scale="46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15340-8340-48B8-9A36-CDDDF997DF48}">
  <sheetPr codeName="Sheet20">
    <tabColor theme="0" tint="-0.249977111117893"/>
    <pageSetUpPr fitToPage="1"/>
  </sheetPr>
  <dimension ref="A1:BH85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311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252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249.8</v>
      </c>
      <c r="H11" s="252"/>
      <c r="AB11" s="122" t="s">
        <v>99</v>
      </c>
      <c r="AC11" s="123"/>
      <c r="AD11" s="123"/>
      <c r="AE11" s="123"/>
      <c r="AF11" s="281">
        <f>+G11*(G12/AJ16)</f>
        <v>133.96707805814552</v>
      </c>
      <c r="AG11" s="127"/>
      <c r="AH11" s="123" t="s">
        <v>100</v>
      </c>
      <c r="AI11" s="124"/>
      <c r="AJ11" s="166">
        <f>'(2.1)_Proxy Resources'!N40</f>
        <v>19.215270973980179</v>
      </c>
      <c r="AK11" s="235"/>
      <c r="AZ11" s="122" t="s">
        <v>99</v>
      </c>
      <c r="BA11" s="123"/>
      <c r="BB11" s="123"/>
      <c r="BC11" s="123"/>
      <c r="BD11" s="134">
        <f>(AF11*AF13-G11*G19)</f>
        <v>94.498678058145515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0.37417</v>
      </c>
      <c r="H12" s="252"/>
      <c r="AB12" s="122" t="s">
        <v>32</v>
      </c>
      <c r="AC12" s="123"/>
      <c r="AD12" s="123"/>
      <c r="AE12" s="123"/>
      <c r="AF12" s="131">
        <f>+AD59/8760/AF11</f>
        <v>0.65428529592035756</v>
      </c>
      <c r="AG12" s="127"/>
      <c r="AH12" s="117" t="s">
        <v>101</v>
      </c>
      <c r="AI12" s="118"/>
      <c r="AJ12" s="117">
        <v>2018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2020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Resources'!O40</f>
        <v>2.2102879231948753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30</v>
      </c>
      <c r="H14" s="252"/>
      <c r="AB14" s="122" t="s">
        <v>104</v>
      </c>
      <c r="AC14" s="123"/>
      <c r="AD14" s="123"/>
      <c r="AE14" s="123"/>
      <c r="AF14" s="134">
        <f>'(2.1)_Proxy Resources'!H40</f>
        <v>6500.8988201101647</v>
      </c>
      <c r="AG14" s="127"/>
      <c r="AH14" s="117" t="s">
        <v>148</v>
      </c>
      <c r="AI14" s="118"/>
      <c r="AJ14" s="166">
        <v>0</v>
      </c>
      <c r="AK14" s="235"/>
      <c r="AZ14" s="122" t="s">
        <v>192</v>
      </c>
      <c r="BA14" s="123"/>
      <c r="BB14" s="123"/>
      <c r="BC14" s="123"/>
      <c r="BD14" s="167">
        <f>'(2.1)_Proxy Resources'!J41</f>
        <v>843</v>
      </c>
      <c r="BE14" s="132"/>
    </row>
    <row r="15" spans="1:57" ht="12">
      <c r="A15" t="s">
        <v>283</v>
      </c>
      <c r="B15" s="250"/>
      <c r="C15" s="231" t="s">
        <v>107</v>
      </c>
      <c r="D15" s="231"/>
      <c r="E15" s="231"/>
      <c r="F15" s="231"/>
      <c r="G15" s="283">
        <v>57.878729999999997</v>
      </c>
      <c r="H15" s="252"/>
      <c r="AB15" s="122" t="s">
        <v>244</v>
      </c>
      <c r="AC15" s="123"/>
      <c r="AD15" s="123"/>
      <c r="AE15" s="123"/>
      <c r="AF15" s="167">
        <f>'(2.1)_Proxy Resources'!J40</f>
        <v>1350.7921550317262</v>
      </c>
      <c r="AG15" s="127"/>
      <c r="AH15" s="117" t="s">
        <v>145</v>
      </c>
      <c r="AI15" s="118"/>
      <c r="AJ15" s="166">
        <f>'(2.1)_Proxy Resources'!P40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Resources'!K41</f>
        <v>6.9599999999999995E-2</v>
      </c>
      <c r="BE15" s="132"/>
    </row>
    <row r="16" spans="1:57" ht="12">
      <c r="A16" t="s">
        <v>283</v>
      </c>
      <c r="B16" s="250"/>
      <c r="C16" s="231" t="s">
        <v>109</v>
      </c>
      <c r="D16" s="231"/>
      <c r="E16" s="231"/>
      <c r="F16" s="231"/>
      <c r="G16" s="283">
        <v>1</v>
      </c>
      <c r="H16" s="252"/>
      <c r="AB16" s="122" t="s">
        <v>108</v>
      </c>
      <c r="AC16" s="123"/>
      <c r="AD16" s="123"/>
      <c r="AE16" s="123"/>
      <c r="AF16" s="136">
        <f>'(2.1)_Proxy Resources'!K39</f>
        <v>6.7898535686010855E-2</v>
      </c>
      <c r="AG16" s="127"/>
      <c r="AH16" s="117" t="s">
        <v>110</v>
      </c>
      <c r="AI16" s="124"/>
      <c r="AJ16" s="137">
        <f>'(2.1)_Proxy Resources'!D40</f>
        <v>0.6976913086021953</v>
      </c>
      <c r="AK16" s="235"/>
      <c r="AZ16" s="122" t="s">
        <v>100</v>
      </c>
      <c r="BA16" s="124"/>
      <c r="BB16" s="166">
        <f>'(2.1)_Proxy Resources'!O41</f>
        <v>6.61</v>
      </c>
      <c r="BE16" s="130"/>
    </row>
    <row r="17" spans="1:60" ht="12">
      <c r="A17" t="s">
        <v>283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2018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'(2.2)_Forward_Price_Curve'!AA9</f>
        <v>6.9099999999999995E-2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'(2.2)_Forward_Price_Curve'!L103</f>
        <v>0.158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2020</v>
      </c>
      <c r="E28" s="169">
        <f>'(2.2)_Forward_Price_Curve'!T34</f>
        <v>2.5000000000000001E-2</v>
      </c>
      <c r="G28" s="18">
        <v>136836.66302400001</v>
      </c>
      <c r="I28" s="268">
        <f>$G$15*(1+E28)</f>
        <v>59.325698249999995</v>
      </c>
      <c r="J28" s="268"/>
      <c r="K28" s="268">
        <f>$G$16*(1+E28)</f>
        <v>1.0249999999999999</v>
      </c>
      <c r="L28" s="269"/>
      <c r="M28" s="268">
        <f>$G$17</f>
        <v>0</v>
      </c>
      <c r="O28" s="270">
        <f>'(2.2)_Forward_Price_Curve'!AC34</f>
        <v>1.1390234818202254</v>
      </c>
      <c r="Q28" s="28">
        <v>0</v>
      </c>
      <c r="S28" s="18">
        <f>(I28*$G$11*1000+(K28+M28+O28+Q28)*G28)/1000</f>
        <v>15115.677174807857</v>
      </c>
      <c r="U28" s="18">
        <f t="shared" ref="U28:U29" si="0">AX28</f>
        <v>11216.245626969043</v>
      </c>
      <c r="W28" s="18">
        <f t="shared" ref="W28:W29" si="1">S28-U28</f>
        <v>3899.4315478388144</v>
      </c>
      <c r="Y28" s="271">
        <f>+W28*1000/G28</f>
        <v>28.496979257341923</v>
      </c>
      <c r="Z28" s="235"/>
      <c r="AB28" s="146">
        <f>$C$28</f>
        <v>2020</v>
      </c>
      <c r="AC28" s="117"/>
      <c r="AD28" s="151">
        <f t="shared" ref="AD28:AD29" si="2">G28</f>
        <v>136836.66302400001</v>
      </c>
      <c r="AF28" s="152">
        <f>$AF$15*$AF$16*(1+E28)</f>
        <v>94.009729576375292</v>
      </c>
      <c r="AG28" s="272"/>
      <c r="AH28" s="152">
        <f>$AJ$11*(1+E28)</f>
        <v>19.695652748329682</v>
      </c>
      <c r="AI28" s="272"/>
      <c r="AJ28" s="152">
        <f>$AJ$13*(1+E28)</f>
        <v>2.2655451212747471</v>
      </c>
      <c r="AK28" s="272"/>
      <c r="AL28" s="153">
        <f>((AF28+AH28)*$AF$11*1000+AJ28*AD28)/1000</f>
        <v>15542.787463850569</v>
      </c>
      <c r="AN28" s="154">
        <f>INDEX('(2.2)_Forward_Price_Curve'!$L:$L,MATCH($AB28,'(2.2)_Forward_Price_Curve'!$C:$C,0),1)</f>
        <v>1.8849916666666668</v>
      </c>
      <c r="AO28" s="279"/>
      <c r="AP28" s="154">
        <f>AN28*$AF$14/1000+$AJ$14/(1+E29)</f>
        <v>12.254140101750828</v>
      </c>
      <c r="AQ28" s="272"/>
      <c r="AR28" s="152">
        <f>$AJ$15*(1+E28)</f>
        <v>2.3386223671856223</v>
      </c>
      <c r="AS28" s="152"/>
      <c r="AT28" s="153">
        <f t="shared" ref="AT28:AT29" si="3">AL28-BF28</f>
        <v>9219.4207064179118</v>
      </c>
      <c r="AU28" s="272"/>
      <c r="AV28" s="153">
        <f t="shared" ref="AV28:AV29" si="4">(AP28+AR28)*AD28/1000</f>
        <v>1996.8249205511313</v>
      </c>
      <c r="AW28" s="273"/>
      <c r="AX28" s="155">
        <f>AT28+AV28</f>
        <v>11216.245626969043</v>
      </c>
      <c r="AZ28" s="146">
        <f>$C$28</f>
        <v>2020</v>
      </c>
      <c r="BA28" s="117"/>
      <c r="BB28" s="152">
        <f>$BD$14*$BD$15*(1+E28)</f>
        <v>60.139619999999987</v>
      </c>
      <c r="BD28" s="152">
        <f>$BB$16*(1+E28)</f>
        <v>6.7752499999999998</v>
      </c>
      <c r="BE28" s="272"/>
      <c r="BF28" s="153">
        <f>(BB28+BD28)*$BD$11</f>
        <v>6323.3667574326573</v>
      </c>
      <c r="BG28" s="272"/>
      <c r="BH28" s="156"/>
    </row>
    <row r="29" spans="1:60" ht="12">
      <c r="B29" s="2"/>
      <c r="C29">
        <f>+IF(C28&gt;$G$13+$G$14,XX,C28+1)</f>
        <v>2021</v>
      </c>
      <c r="E29" s="169">
        <f>'(2.2)_Forward_Price_Curve'!T35</f>
        <v>2.4E-2</v>
      </c>
      <c r="G29" s="18">
        <v>818776.75416000001</v>
      </c>
      <c r="I29" s="28">
        <f>I28*(1+$E29)</f>
        <v>60.749515007999996</v>
      </c>
      <c r="K29" s="28">
        <f>K28*(1+$E29)</f>
        <v>1.0495999999999999</v>
      </c>
      <c r="M29" s="28">
        <f>M28*(1+$E29)</f>
        <v>0</v>
      </c>
      <c r="O29" s="270">
        <f>'(2.2)_Forward_Price_Curve'!AC35</f>
        <v>1.1679956801767024</v>
      </c>
      <c r="Q29" s="28">
        <v>-34.476814342354771</v>
      </c>
      <c r="S29" s="18">
        <f t="shared" ref="S29" si="5">(I29*$G$11*1000+(K29+M29+O29+Q29)*G29)/1000</f>
        <v>-11237.869498957461</v>
      </c>
      <c r="U29" s="18">
        <f t="shared" si="0"/>
        <v>23366.520405232419</v>
      </c>
      <c r="W29" s="18">
        <f t="shared" si="1"/>
        <v>-34604.389904189884</v>
      </c>
      <c r="Y29" s="271">
        <f t="shared" ref="Y29" si="6">+W29*1000/G29</f>
        <v>-42.263522661548009</v>
      </c>
      <c r="Z29" s="235"/>
      <c r="AB29" s="146">
        <f>+IF(AB28&gt;$G$13+$G$14,XX,AB28+1)</f>
        <v>2021</v>
      </c>
      <c r="AC29" s="117"/>
      <c r="AD29" s="151">
        <f t="shared" si="2"/>
        <v>818776.75416000001</v>
      </c>
      <c r="AF29" s="154">
        <f>AF28*(1+$E29)</f>
        <v>96.265963086208302</v>
      </c>
      <c r="AH29" s="154">
        <f>AH28*(1+$E29)</f>
        <v>20.168348414289593</v>
      </c>
      <c r="AJ29" s="154">
        <f>AJ28*(1+$E29)</f>
        <v>2.319918204185341</v>
      </c>
      <c r="AL29" s="153">
        <f t="shared" ref="AL29" si="7">((AF29+AH29)*$AF$11*1000+AJ29*AD29)/1000</f>
        <v>17497.859594573205</v>
      </c>
      <c r="AN29" s="154">
        <f>INDEX('(2.2)_Forward_Price_Curve'!$L:$L,MATCH($AB29,'(2.2)_Forward_Price_Curve'!$C:$C,0),1)</f>
        <v>1.9506749999999997</v>
      </c>
      <c r="AP29" s="154">
        <f>AN29*$AF$14/1000+$AJ$14</f>
        <v>12.681140805918394</v>
      </c>
      <c r="AR29" s="154">
        <f>AR28*(1+$E29)</f>
        <v>2.3947493039980774</v>
      </c>
      <c r="AS29" s="154"/>
      <c r="AT29" s="153">
        <f t="shared" si="3"/>
        <v>11022.732034962162</v>
      </c>
      <c r="AV29" s="153">
        <f t="shared" si="4"/>
        <v>12343.788370270255</v>
      </c>
      <c r="AW29" s="273"/>
      <c r="AX29" s="155">
        <f t="shared" ref="AX29" si="8">AT29+AV29</f>
        <v>23366.520405232419</v>
      </c>
      <c r="AZ29" s="146">
        <f>+IF(AZ28&gt;$G$13+$G$14,XX,AZ28+1)</f>
        <v>2021</v>
      </c>
      <c r="BA29" s="117"/>
      <c r="BB29" s="154">
        <f>BB28*(1+$E29)</f>
        <v>61.582970879999991</v>
      </c>
      <c r="BD29" s="154">
        <f>BD28*(1+$E29)</f>
        <v>6.937856</v>
      </c>
      <c r="BF29" s="153">
        <f t="shared" ref="BF29" si="9">(BB29+BD29)*$BD$11</f>
        <v>6475.1275596110418</v>
      </c>
      <c r="BH29" s="157"/>
    </row>
    <row r="30" spans="1:60" ht="12">
      <c r="B30" s="2"/>
      <c r="C30">
        <f>+IF(C29&gt;$G$13+$G$14,XX,C29+1)</f>
        <v>2022</v>
      </c>
      <c r="E30" s="169">
        <f>'(2.2)_Forward_Price_Curve'!T36</f>
        <v>2.4E-2</v>
      </c>
      <c r="G30" s="18">
        <v>818776.75416000001</v>
      </c>
      <c r="I30" s="28">
        <f t="shared" ref="I30:K57" si="10">I29*(1+$E30)</f>
        <v>62.207503368192</v>
      </c>
      <c r="K30" s="28">
        <f t="shared" si="10"/>
        <v>1.0747903999999999</v>
      </c>
      <c r="M30" s="28">
        <f t="shared" ref="M30:M57" si="11">M29*(1+$E30)</f>
        <v>0</v>
      </c>
      <c r="O30" s="270">
        <f>'(2.2)_Forward_Price_Curve'!AC36</f>
        <v>1.1974836718320334</v>
      </c>
      <c r="Q30" s="28">
        <v>-34.476814342354771</v>
      </c>
      <c r="S30" s="18">
        <f t="shared" ref="S30:S57" si="12">(I30*$G$11*1000+(K30+M30+O30+Q30)*G30)/1000</f>
        <v>-10828.894610539255</v>
      </c>
      <c r="U30" s="18">
        <f t="shared" ref="U30:U57" si="13">AX30</f>
        <v>26236.365618640109</v>
      </c>
      <c r="W30" s="18">
        <f t="shared" ref="W30:W57" si="14">S30-U30</f>
        <v>-37065.260229179366</v>
      </c>
      <c r="Y30" s="271">
        <f t="shared" ref="Y30:Y57" si="15">+W30*1000/G30</f>
        <v>-45.269067594872531</v>
      </c>
      <c r="Z30" s="235"/>
      <c r="AB30" s="146">
        <f>+IF(AB29&gt;$G$13+$G$14,XX,AB29+1)</f>
        <v>2022</v>
      </c>
      <c r="AC30" s="117"/>
      <c r="AD30" s="151">
        <f t="shared" ref="AD30:AD57" si="16">G30</f>
        <v>818776.75416000001</v>
      </c>
      <c r="AF30" s="154">
        <f t="shared" ref="AF30:AF57" si="17">AF29*(1+$E30)</f>
        <v>98.5763462002773</v>
      </c>
      <c r="AH30" s="154">
        <f t="shared" ref="AH30:AH57" si="18">AH29*(1+$E30)</f>
        <v>20.652388776232545</v>
      </c>
      <c r="AJ30" s="154">
        <f t="shared" ref="AJ30:AJ57" si="19">AJ29*(1+$E30)</f>
        <v>2.3755962410857894</v>
      </c>
      <c r="AL30" s="153">
        <f t="shared" ref="AL30:AL57" si="20">((AF30+AH30)*$AF$11*1000+AJ30*AD30)/1000</f>
        <v>17917.808224842956</v>
      </c>
      <c r="AN30" s="154">
        <f>INDEX('(2.2)_Forward_Price_Curve'!$L:$L,MATCH($AB30,'(2.2)_Forward_Price_Curve'!$C:$C,0),1)</f>
        <v>2.431295833333333</v>
      </c>
      <c r="AP30" s="154">
        <f t="shared" ref="AP30:AP57" si="21">AN30*$AF$14/1000+$AJ$14</f>
        <v>15.805608214255424</v>
      </c>
      <c r="AR30" s="154">
        <f t="shared" ref="AR30:AR57" si="22">AR29*(1+$E30)</f>
        <v>2.4522232872940313</v>
      </c>
      <c r="AS30" s="154"/>
      <c r="AT30" s="153">
        <f t="shared" ref="AT30:AT57" si="23">AL30-BF30</f>
        <v>11287.277603801249</v>
      </c>
      <c r="AV30" s="153">
        <f t="shared" ref="AV30:AV57" si="24">(AP30+AR30)*AD30/1000</f>
        <v>14949.088014838861</v>
      </c>
      <c r="AW30" s="273"/>
      <c r="AX30" s="155">
        <f t="shared" ref="AX30:AX57" si="25">AT30+AV30</f>
        <v>26236.365618640109</v>
      </c>
      <c r="AZ30" s="146">
        <f>+IF(AZ29&gt;$G$13+$G$14,XX,AZ29+1)</f>
        <v>2022</v>
      </c>
      <c r="BA30" s="117"/>
      <c r="BB30" s="154">
        <f t="shared" ref="BB30:BB57" si="26">BB29*(1+$E30)</f>
        <v>63.06096218111999</v>
      </c>
      <c r="BD30" s="154">
        <f t="shared" ref="BD30:BD57" si="27">BD29*(1+$E30)</f>
        <v>7.1043645440000001</v>
      </c>
      <c r="BF30" s="153">
        <f t="shared" ref="BF30:BF57" si="28">(BB30+BD30)*$BD$11</f>
        <v>6630.5306210417084</v>
      </c>
      <c r="BH30" s="157"/>
    </row>
    <row r="31" spans="1:60" ht="12">
      <c r="B31" s="2"/>
      <c r="C31">
        <f>+IF(C30&gt;$G$13+$G$14,XX,C30+1)</f>
        <v>2023</v>
      </c>
      <c r="E31" s="169">
        <f>'(2.2)_Forward_Price_Curve'!T37</f>
        <v>2.4E-2</v>
      </c>
      <c r="G31" s="18">
        <v>818776.75416000001</v>
      </c>
      <c r="I31" s="28">
        <f t="shared" si="10"/>
        <v>63.70048344902861</v>
      </c>
      <c r="K31" s="28">
        <f t="shared" si="10"/>
        <v>1.1005853695999999</v>
      </c>
      <c r="M31" s="28">
        <f t="shared" si="11"/>
        <v>0</v>
      </c>
      <c r="O31" s="270">
        <f>'(2.2)_Forward_Price_Curve'!AC37</f>
        <v>1.2269144627008759</v>
      </c>
      <c r="Q31" s="28">
        <v>-35.802845663214576</v>
      </c>
      <c r="S31" s="18">
        <f t="shared" si="12"/>
        <v>-11496.454238251663</v>
      </c>
      <c r="U31" s="18">
        <f t="shared" si="13"/>
        <v>29248.267069621998</v>
      </c>
      <c r="W31" s="18">
        <f t="shared" si="14"/>
        <v>-40744.72130787366</v>
      </c>
      <c r="Y31" s="271">
        <f t="shared" si="15"/>
        <v>-49.762919014077909</v>
      </c>
      <c r="Z31" s="235"/>
      <c r="AB31" s="146">
        <f>+IF(AB30&gt;$G$13+$G$14,XX,AB30+1)</f>
        <v>2023</v>
      </c>
      <c r="AC31" s="117"/>
      <c r="AD31" s="151">
        <f t="shared" si="16"/>
        <v>818776.75416000001</v>
      </c>
      <c r="AF31" s="154">
        <f t="shared" si="17"/>
        <v>100.94217850908396</v>
      </c>
      <c r="AH31" s="154">
        <f t="shared" si="18"/>
        <v>21.148046106862125</v>
      </c>
      <c r="AJ31" s="154">
        <f t="shared" si="19"/>
        <v>2.4326105508718485</v>
      </c>
      <c r="AL31" s="153">
        <f t="shared" si="20"/>
        <v>18347.835622239192</v>
      </c>
      <c r="AN31" s="154">
        <f>INDEX('(2.2)_Forward_Price_Curve'!$L:$L,MATCH($AB31,'(2.2)_Forward_Price_Curve'!$C:$C,0),1)</f>
        <v>2.9371999999999994</v>
      </c>
      <c r="AP31" s="154">
        <f t="shared" si="21"/>
        <v>19.094440014427573</v>
      </c>
      <c r="AR31" s="154">
        <f t="shared" si="22"/>
        <v>2.5110766461890881</v>
      </c>
      <c r="AS31" s="154"/>
      <c r="AT31" s="153">
        <f t="shared" si="23"/>
        <v>11558.172266292484</v>
      </c>
      <c r="AV31" s="153">
        <f t="shared" si="24"/>
        <v>17690.094803329514</v>
      </c>
      <c r="AW31" s="273"/>
      <c r="AX31" s="155">
        <f t="shared" si="25"/>
        <v>29248.267069621998</v>
      </c>
      <c r="AZ31" s="146">
        <f>+IF(AZ30&gt;$G$13+$G$14,XX,AZ30+1)</f>
        <v>2023</v>
      </c>
      <c r="BA31" s="117"/>
      <c r="BB31" s="154">
        <f t="shared" si="26"/>
        <v>64.574425273466872</v>
      </c>
      <c r="BD31" s="154">
        <f t="shared" si="27"/>
        <v>7.2748692930560006</v>
      </c>
      <c r="BF31" s="153">
        <f t="shared" si="28"/>
        <v>6789.6633559467091</v>
      </c>
      <c r="BH31" s="157"/>
    </row>
    <row r="32" spans="1:60" ht="12">
      <c r="B32" s="2"/>
      <c r="C32">
        <f>+IF(C31&gt;$G$13+$G$14,XX,C31+1)</f>
        <v>2024</v>
      </c>
      <c r="E32" s="169">
        <f>'(2.2)_Forward_Price_Curve'!T38</f>
        <v>2.3E-2</v>
      </c>
      <c r="G32" s="18">
        <v>818776.75416000001</v>
      </c>
      <c r="I32" s="28">
        <f t="shared" si="10"/>
        <v>65.165594568356269</v>
      </c>
      <c r="K32" s="28">
        <f t="shared" si="10"/>
        <v>1.1258988331007997</v>
      </c>
      <c r="M32" s="28">
        <f t="shared" si="11"/>
        <v>0</v>
      </c>
      <c r="O32" s="270">
        <f>'(2.2)_Forward_Price_Curve'!AC38</f>
        <v>1.2554480395092353</v>
      </c>
      <c r="Q32" s="28">
        <v>-35.802845663214576</v>
      </c>
      <c r="S32" s="18">
        <f t="shared" si="12"/>
        <v>-11086.380775758154</v>
      </c>
      <c r="U32" s="18">
        <f t="shared" si="13"/>
        <v>32384.398761100903</v>
      </c>
      <c r="W32" s="18">
        <f t="shared" si="14"/>
        <v>-43470.77953685906</v>
      </c>
      <c r="Y32" s="271">
        <f t="shared" si="15"/>
        <v>-53.092346987130369</v>
      </c>
      <c r="Z32" s="235"/>
      <c r="AB32" s="146">
        <f>+IF(AB31&gt;$G$13+$G$14,XX,AB31+1)</f>
        <v>2024</v>
      </c>
      <c r="AC32" s="117"/>
      <c r="AD32" s="151">
        <f t="shared" si="16"/>
        <v>818776.75416000001</v>
      </c>
      <c r="AF32" s="154">
        <f t="shared" si="17"/>
        <v>103.26384861479288</v>
      </c>
      <c r="AH32" s="154">
        <f t="shared" si="18"/>
        <v>21.634451167319952</v>
      </c>
      <c r="AJ32" s="154">
        <f t="shared" si="19"/>
        <v>2.4885605935419006</v>
      </c>
      <c r="AL32" s="153">
        <f t="shared" si="20"/>
        <v>18769.835841550688</v>
      </c>
      <c r="AN32" s="154">
        <f>INDEX('(2.2)_Forward_Price_Curve'!$L:$L,MATCH($AB32,'(2.2)_Forward_Price_Curve'!$C:$C,0),1)</f>
        <v>3.4675625000000001</v>
      </c>
      <c r="AP32" s="154">
        <f t="shared" si="21"/>
        <v>22.542272964908253</v>
      </c>
      <c r="AR32" s="154">
        <f t="shared" si="22"/>
        <v>2.568831409051437</v>
      </c>
      <c r="AS32" s="154"/>
      <c r="AT32" s="153">
        <f t="shared" si="23"/>
        <v>11824.010228417206</v>
      </c>
      <c r="AV32" s="153">
        <f t="shared" si="24"/>
        <v>20560.388532683697</v>
      </c>
      <c r="AW32" s="273"/>
      <c r="AX32" s="155">
        <f t="shared" si="25"/>
        <v>32384.398761100903</v>
      </c>
      <c r="AZ32" s="146">
        <f>+IF(AZ31&gt;$G$13+$G$14,XX,AZ31+1)</f>
        <v>2024</v>
      </c>
      <c r="BA32" s="117"/>
      <c r="BB32" s="154">
        <f t="shared" si="26"/>
        <v>66.059637054756607</v>
      </c>
      <c r="BD32" s="154">
        <f t="shared" si="27"/>
        <v>7.4421912867962883</v>
      </c>
      <c r="BF32" s="153">
        <f t="shared" si="28"/>
        <v>6945.8256131334829</v>
      </c>
      <c r="BH32" s="157"/>
    </row>
    <row r="33" spans="2:60" ht="12">
      <c r="B33" s="2"/>
      <c r="C33">
        <f>+IF(C32&gt;$G$13+$G$14,XX,C32+1)</f>
        <v>2025</v>
      </c>
      <c r="E33" s="169">
        <f>'(2.2)_Forward_Price_Curve'!T39</f>
        <v>2.1999999999999999E-2</v>
      </c>
      <c r="G33" s="18">
        <v>818776.75416000001</v>
      </c>
      <c r="I33" s="28">
        <f t="shared" si="10"/>
        <v>66.599237648860111</v>
      </c>
      <c r="K33" s="28">
        <f t="shared" si="10"/>
        <v>1.1506686074290173</v>
      </c>
      <c r="M33" s="28">
        <f t="shared" si="11"/>
        <v>0</v>
      </c>
      <c r="O33" s="270">
        <f>'(2.2)_Forward_Price_Curve'!AC39</f>
        <v>1.2834505366016622</v>
      </c>
      <c r="Q33" s="28">
        <v>-37.128876984074367</v>
      </c>
      <c r="S33" s="18">
        <f t="shared" si="12"/>
        <v>-11770.771645952924</v>
      </c>
      <c r="U33" s="18">
        <f t="shared" si="13"/>
        <v>34594.227430888728</v>
      </c>
      <c r="W33" s="18">
        <f t="shared" si="14"/>
        <v>-46364.999076841654</v>
      </c>
      <c r="Y33" s="271">
        <f t="shared" si="15"/>
        <v>-56.627156109736482</v>
      </c>
      <c r="Z33" s="235"/>
      <c r="AB33" s="146">
        <f>+IF(AB32&gt;$G$13+$G$14,XX,AB32+1)</f>
        <v>2025</v>
      </c>
      <c r="AC33" s="117"/>
      <c r="AD33" s="151">
        <f t="shared" si="16"/>
        <v>818776.75416000001</v>
      </c>
      <c r="AF33" s="154">
        <f t="shared" si="17"/>
        <v>105.53565328431833</v>
      </c>
      <c r="AH33" s="154">
        <f t="shared" si="18"/>
        <v>22.110409093000992</v>
      </c>
      <c r="AJ33" s="154">
        <f t="shared" si="19"/>
        <v>2.5433089265998223</v>
      </c>
      <c r="AL33" s="153">
        <f t="shared" si="20"/>
        <v>19182.772230064806</v>
      </c>
      <c r="AN33" s="154">
        <f>INDEX('(2.2)_Forward_Price_Curve'!$L:$L,MATCH($AB33,'(2.2)_Forward_Price_Curve'!$C:$C,0),1)</f>
        <v>3.8251624999999998</v>
      </c>
      <c r="AP33" s="154">
        <f t="shared" si="21"/>
        <v>24.866994382979648</v>
      </c>
      <c r="AR33" s="154">
        <f t="shared" si="22"/>
        <v>2.6253457000505689</v>
      </c>
      <c r="AS33" s="154"/>
      <c r="AT33" s="153">
        <f t="shared" si="23"/>
        <v>12084.138453442385</v>
      </c>
      <c r="AV33" s="153">
        <f t="shared" si="24"/>
        <v>22510.088977446347</v>
      </c>
      <c r="AW33" s="273"/>
      <c r="AX33" s="155">
        <f t="shared" si="25"/>
        <v>34594.227430888728</v>
      </c>
      <c r="AZ33" s="146">
        <f>+IF(AZ32&gt;$G$13+$G$14,XX,AZ32+1)</f>
        <v>2025</v>
      </c>
      <c r="BA33" s="117"/>
      <c r="BB33" s="154">
        <f t="shared" si="26"/>
        <v>67.512949069961252</v>
      </c>
      <c r="BD33" s="154">
        <f t="shared" si="27"/>
        <v>7.6059194951058071</v>
      </c>
      <c r="BF33" s="153">
        <f t="shared" si="28"/>
        <v>7098.6337766224196</v>
      </c>
      <c r="BH33" s="157"/>
    </row>
    <row r="34" spans="2:60" ht="12">
      <c r="B34" s="2"/>
      <c r="C34">
        <f>+IF(C33&gt;$G$13+$G$14,XX,C33+1)</f>
        <v>2026</v>
      </c>
      <c r="E34" s="169">
        <f>'(2.2)_Forward_Price_Curve'!T40</f>
        <v>2.1999999999999999E-2</v>
      </c>
      <c r="G34" s="18">
        <v>818776.75416000001</v>
      </c>
      <c r="I34" s="28">
        <f t="shared" si="10"/>
        <v>68.064420877135035</v>
      </c>
      <c r="K34" s="28">
        <f t="shared" si="10"/>
        <v>1.1759833167924558</v>
      </c>
      <c r="M34" s="28">
        <f t="shared" si="11"/>
        <v>0</v>
      </c>
      <c r="O34" s="270">
        <f>'(2.2)_Forward_Price_Curve'!AC40</f>
        <v>1.3117597482561225</v>
      </c>
      <c r="Q34" s="28">
        <v>-37.128876984074367</v>
      </c>
      <c r="S34" s="18">
        <f t="shared" si="12"/>
        <v>-11360.862855533484</v>
      </c>
      <c r="U34" s="18">
        <f t="shared" si="13"/>
        <v>36021.206144817843</v>
      </c>
      <c r="W34" s="18">
        <f t="shared" si="14"/>
        <v>-47382.06900035133</v>
      </c>
      <c r="Y34" s="271">
        <f t="shared" si="15"/>
        <v>-57.869338326491174</v>
      </c>
      <c r="Z34" s="235"/>
      <c r="AB34" s="146">
        <f>+IF(AB33&gt;$G$13+$G$14,XX,AB33+1)</f>
        <v>2026</v>
      </c>
      <c r="AC34" s="117"/>
      <c r="AD34" s="151">
        <f t="shared" si="16"/>
        <v>818776.75416000001</v>
      </c>
      <c r="AF34" s="154">
        <f t="shared" si="17"/>
        <v>107.85743765657334</v>
      </c>
      <c r="AH34" s="154">
        <f t="shared" si="18"/>
        <v>22.596838093047015</v>
      </c>
      <c r="AJ34" s="154">
        <f t="shared" si="19"/>
        <v>2.5992617229850183</v>
      </c>
      <c r="AL34" s="153">
        <f t="shared" si="20"/>
        <v>19604.793219126233</v>
      </c>
      <c r="AN34" s="154">
        <f>INDEX('(2.2)_Forward_Price_Curve'!$L:$L,MATCH($AB34,'(2.2)_Forward_Price_Curve'!$C:$C,0),1)</f>
        <v>4.0344208333333329</v>
      </c>
      <c r="AP34" s="154">
        <f t="shared" si="21"/>
        <v>26.227361635244531</v>
      </c>
      <c r="AR34" s="154">
        <f t="shared" si="22"/>
        <v>2.6831033054516813</v>
      </c>
      <c r="AS34" s="154"/>
      <c r="AT34" s="153">
        <f t="shared" si="23"/>
        <v>12349.98949941812</v>
      </c>
      <c r="AV34" s="153">
        <f t="shared" si="24"/>
        <v>23671.216645399723</v>
      </c>
      <c r="AW34" s="273"/>
      <c r="AX34" s="155">
        <f t="shared" si="25"/>
        <v>36021.206144817843</v>
      </c>
      <c r="AZ34" s="146">
        <f>+IF(AZ33&gt;$G$13+$G$14,XX,AZ33+1)</f>
        <v>2026</v>
      </c>
      <c r="BA34" s="117"/>
      <c r="BB34" s="154">
        <f t="shared" si="26"/>
        <v>68.998233949500403</v>
      </c>
      <c r="BD34" s="154">
        <f t="shared" si="27"/>
        <v>7.7732497239981351</v>
      </c>
      <c r="BF34" s="153">
        <f t="shared" si="28"/>
        <v>7254.803719708113</v>
      </c>
      <c r="BH34" s="157"/>
    </row>
    <row r="35" spans="2:60" ht="12">
      <c r="B35" s="2"/>
      <c r="C35">
        <f>+IF(C34&gt;$G$13+$G$14,XX,C34+1)</f>
        <v>2027</v>
      </c>
      <c r="E35" s="169">
        <f>'(2.2)_Forward_Price_Curve'!T41</f>
        <v>2.1999999999999999E-2</v>
      </c>
      <c r="G35" s="18">
        <v>818776.75416000001</v>
      </c>
      <c r="I35" s="28">
        <f t="shared" si="10"/>
        <v>69.561838136432002</v>
      </c>
      <c r="K35" s="28">
        <f t="shared" si="10"/>
        <v>1.2018549497618898</v>
      </c>
      <c r="M35" s="28">
        <f t="shared" si="11"/>
        <v>0</v>
      </c>
      <c r="O35" s="270">
        <f>'(2.2)_Forward_Price_Curve'!AC41</f>
        <v>1.3408534982838876</v>
      </c>
      <c r="Q35" s="28">
        <v>-38.454908304934172</v>
      </c>
      <c r="S35" s="18">
        <f t="shared" si="12"/>
        <v>-12027.527267087578</v>
      </c>
      <c r="U35" s="18">
        <f t="shared" si="13"/>
        <v>36118.23438502779</v>
      </c>
      <c r="W35" s="18">
        <f t="shared" si="14"/>
        <v>-48145.761652115369</v>
      </c>
      <c r="Y35" s="271">
        <f t="shared" si="15"/>
        <v>-58.802062231858422</v>
      </c>
      <c r="Z35" s="235"/>
      <c r="AB35" s="146">
        <f>+IF(AB34&gt;$G$13+$G$14,XX,AB34+1)</f>
        <v>2027</v>
      </c>
      <c r="AC35" s="117"/>
      <c r="AD35" s="151">
        <f t="shared" si="16"/>
        <v>818776.75416000001</v>
      </c>
      <c r="AF35" s="154">
        <f t="shared" si="17"/>
        <v>110.23030128501796</v>
      </c>
      <c r="AH35" s="154">
        <f t="shared" si="18"/>
        <v>23.093968531094049</v>
      </c>
      <c r="AJ35" s="154">
        <f t="shared" si="19"/>
        <v>2.6564454808906888</v>
      </c>
      <c r="AL35" s="153">
        <f t="shared" si="20"/>
        <v>20036.098669947012</v>
      </c>
      <c r="AN35" s="154">
        <f>INDEX('(2.2)_Forward_Price_Curve'!$L:$L,MATCH($AB35,'(2.2)_Forward_Price_Curve'!$C:$C,0),1)</f>
        <v>3.9925249999999992</v>
      </c>
      <c r="AP35" s="154">
        <f t="shared" si="21"/>
        <v>25.955001061760328</v>
      </c>
      <c r="AR35" s="154">
        <f t="shared" si="22"/>
        <v>2.7421315781716182</v>
      </c>
      <c r="AS35" s="154"/>
      <c r="AT35" s="153">
        <f t="shared" si="23"/>
        <v>12621.68926840532</v>
      </c>
      <c r="AV35" s="153">
        <f t="shared" si="24"/>
        <v>23496.54511662247</v>
      </c>
      <c r="AW35" s="273"/>
      <c r="AX35" s="155">
        <f t="shared" si="25"/>
        <v>36118.23438502779</v>
      </c>
      <c r="AZ35" s="146">
        <f>+IF(AZ34&gt;$G$13+$G$14,XX,AZ34+1)</f>
        <v>2027</v>
      </c>
      <c r="BA35" s="117"/>
      <c r="BB35" s="154">
        <f t="shared" si="26"/>
        <v>70.51619509638941</v>
      </c>
      <c r="BD35" s="154">
        <f t="shared" si="27"/>
        <v>7.9442612179260941</v>
      </c>
      <c r="BF35" s="153">
        <f t="shared" si="28"/>
        <v>7414.4094015416913</v>
      </c>
      <c r="BH35" s="157"/>
    </row>
    <row r="36" spans="2:60" ht="12">
      <c r="B36" s="2"/>
      <c r="C36">
        <f>+IF(C35&gt;$G$13+$G$14,XX,C35+1)</f>
        <v>2028</v>
      </c>
      <c r="E36" s="169">
        <f>'(2.2)_Forward_Price_Curve'!T42</f>
        <v>2.1999999999999999E-2</v>
      </c>
      <c r="G36" s="18">
        <v>818776.75416000001</v>
      </c>
      <c r="I36" s="28">
        <f t="shared" si="10"/>
        <v>71.092198575433514</v>
      </c>
      <c r="K36" s="28">
        <f t="shared" si="10"/>
        <v>1.2282957586566514</v>
      </c>
      <c r="M36" s="28">
        <f t="shared" si="11"/>
        <v>0</v>
      </c>
      <c r="O36" s="270">
        <f>'(2.2)_Forward_Price_Curve'!AC42</f>
        <v>1.3709529466223729</v>
      </c>
      <c r="Q36" s="28">
        <v>-38.454908304934172</v>
      </c>
      <c r="S36" s="18">
        <f t="shared" si="12"/>
        <v>-11598.949381128199</v>
      </c>
      <c r="U36" s="18">
        <f t="shared" si="13"/>
        <v>36125.938717876779</v>
      </c>
      <c r="W36" s="18">
        <f t="shared" si="14"/>
        <v>-47724.88809900498</v>
      </c>
      <c r="Y36" s="271">
        <f t="shared" si="15"/>
        <v>-58.2880349943092</v>
      </c>
      <c r="Z36" s="235"/>
      <c r="AB36" s="146">
        <f>+IF(AB35&gt;$G$13+$G$14,XX,AB35+1)</f>
        <v>2028</v>
      </c>
      <c r="AC36" s="117"/>
      <c r="AD36" s="151">
        <f t="shared" si="16"/>
        <v>818776.75416000001</v>
      </c>
      <c r="AF36" s="154">
        <f t="shared" si="17"/>
        <v>112.65536791328836</v>
      </c>
      <c r="AH36" s="154">
        <f t="shared" si="18"/>
        <v>23.602035838778118</v>
      </c>
      <c r="AJ36" s="154">
        <f t="shared" si="19"/>
        <v>2.714887281470284</v>
      </c>
      <c r="AL36" s="153">
        <f t="shared" si="20"/>
        <v>20476.892840685843</v>
      </c>
      <c r="AN36" s="154">
        <f>INDEX('(2.2)_Forward_Price_Curve'!$L:$L,MATCH($AB36,'(2.2)_Forward_Price_Curve'!$C:$C,0),1)</f>
        <v>3.9325250000000005</v>
      </c>
      <c r="AP36" s="154">
        <f t="shared" si="21"/>
        <v>25.564947132553726</v>
      </c>
      <c r="AR36" s="154">
        <f t="shared" si="22"/>
        <v>2.8024584728913937</v>
      </c>
      <c r="AS36" s="154"/>
      <c r="AT36" s="153">
        <f t="shared" si="23"/>
        <v>12899.366432310235</v>
      </c>
      <c r="AV36" s="153">
        <f t="shared" si="24"/>
        <v>23226.572285566544</v>
      </c>
      <c r="AW36" s="273"/>
      <c r="AX36" s="155">
        <f t="shared" si="25"/>
        <v>36125.938717876779</v>
      </c>
      <c r="AZ36" s="146">
        <f>+IF(AZ35&gt;$G$13+$G$14,XX,AZ35+1)</f>
        <v>2028</v>
      </c>
      <c r="BA36" s="117"/>
      <c r="BB36" s="154">
        <f t="shared" si="26"/>
        <v>72.067551388509983</v>
      </c>
      <c r="BD36" s="154">
        <f t="shared" si="27"/>
        <v>8.119034964720468</v>
      </c>
      <c r="BF36" s="153">
        <f t="shared" si="28"/>
        <v>7577.5264083756092</v>
      </c>
      <c r="BH36" s="157"/>
    </row>
    <row r="37" spans="2:60" ht="12">
      <c r="B37" s="2"/>
      <c r="C37">
        <f>+IF(C36&gt;$G$13+$G$14,XX,C36+1)</f>
        <v>2029</v>
      </c>
      <c r="E37" s="169">
        <f>'(2.2)_Forward_Price_Curve'!T43</f>
        <v>2.1999999999999999E-2</v>
      </c>
      <c r="G37" s="18">
        <v>818776.75416000001</v>
      </c>
      <c r="I37" s="28">
        <f t="shared" si="10"/>
        <v>72.656226944093049</v>
      </c>
      <c r="K37" s="28">
        <f t="shared" si="10"/>
        <v>1.2553182653470978</v>
      </c>
      <c r="M37" s="28">
        <f t="shared" si="11"/>
        <v>0</v>
      </c>
      <c r="O37" s="270">
        <f>'(2.2)_Forward_Price_Curve'!AC43</f>
        <v>1.4021626326399876</v>
      </c>
      <c r="Q37" s="28">
        <v>-39.780939625793962</v>
      </c>
      <c r="S37" s="18">
        <f t="shared" si="12"/>
        <v>-12246.299549711995</v>
      </c>
      <c r="U37" s="18">
        <f t="shared" si="13"/>
        <v>38158.240609326007</v>
      </c>
      <c r="W37" s="18">
        <f t="shared" si="14"/>
        <v>-50404.540159038006</v>
      </c>
      <c r="Y37" s="271">
        <f t="shared" si="15"/>
        <v>-61.560785529077542</v>
      </c>
      <c r="Z37" s="235"/>
      <c r="AB37" s="146">
        <f>+IF(AB36&gt;$G$13+$G$14,XX,AB36+1)</f>
        <v>2029</v>
      </c>
      <c r="AC37" s="117"/>
      <c r="AD37" s="151">
        <f t="shared" si="16"/>
        <v>818776.75416000001</v>
      </c>
      <c r="AF37" s="154">
        <f t="shared" si="17"/>
        <v>115.13378600738071</v>
      </c>
      <c r="AH37" s="154">
        <f t="shared" si="18"/>
        <v>24.121280627231236</v>
      </c>
      <c r="AJ37" s="154">
        <f t="shared" si="19"/>
        <v>2.7746148016626302</v>
      </c>
      <c r="AL37" s="153">
        <f t="shared" si="20"/>
        <v>20927.384483180937</v>
      </c>
      <c r="AN37" s="154">
        <f>INDEX('(2.2)_Forward_Price_Curve'!$L:$L,MATCH($AB37,'(2.2)_Forward_Price_Curve'!$C:$C,0),1)</f>
        <v>4.2515375000000004</v>
      </c>
      <c r="AP37" s="154">
        <f t="shared" si="21"/>
        <v>27.638815117404125</v>
      </c>
      <c r="AR37" s="154">
        <f t="shared" si="22"/>
        <v>2.8641125592950045</v>
      </c>
      <c r="AS37" s="154"/>
      <c r="AT37" s="153">
        <f t="shared" si="23"/>
        <v>13183.152493821064</v>
      </c>
      <c r="AV37" s="153">
        <f t="shared" si="24"/>
        <v>24975.088115504943</v>
      </c>
      <c r="AW37" s="273"/>
      <c r="AX37" s="155">
        <f t="shared" si="25"/>
        <v>38158.240609326007</v>
      </c>
      <c r="AZ37" s="146">
        <f>+IF(AZ36&gt;$G$13+$G$14,XX,AZ36+1)</f>
        <v>2029</v>
      </c>
      <c r="BA37" s="117"/>
      <c r="BB37" s="154">
        <f t="shared" si="26"/>
        <v>73.653037519057207</v>
      </c>
      <c r="BD37" s="154">
        <f t="shared" si="27"/>
        <v>8.297653733944319</v>
      </c>
      <c r="BF37" s="153">
        <f t="shared" si="28"/>
        <v>7744.2319893598724</v>
      </c>
      <c r="BH37" s="157"/>
    </row>
    <row r="38" spans="2:60" ht="12">
      <c r="B38" s="2"/>
      <c r="C38">
        <f>+IF(C37&gt;$G$13+$G$14,XX,C37+1)</f>
        <v>2030</v>
      </c>
      <c r="E38" s="169">
        <f>'(2.2)_Forward_Price_Curve'!T44</f>
        <v>2.1999999999999999E-2</v>
      </c>
      <c r="G38" s="18">
        <v>818776.75416000001</v>
      </c>
      <c r="I38" s="28">
        <f t="shared" si="10"/>
        <v>74.254663936863096</v>
      </c>
      <c r="K38" s="28">
        <f t="shared" si="10"/>
        <v>1.2829352671847341</v>
      </c>
      <c r="M38" s="28">
        <f t="shared" si="11"/>
        <v>0</v>
      </c>
      <c r="O38" s="270">
        <f>'(2.2)_Forward_Price_Curve'!AC44</f>
        <v>1.4335840474923813</v>
      </c>
      <c r="Q38" s="28">
        <v>-41.10697094665376</v>
      </c>
      <c r="S38" s="18">
        <f t="shared" si="12"/>
        <v>-12884.394326537911</v>
      </c>
      <c r="U38" s="18">
        <f t="shared" si="13"/>
        <v>41472.481559942462</v>
      </c>
      <c r="W38" s="18">
        <f t="shared" si="14"/>
        <v>-54356.875886480375</v>
      </c>
      <c r="Y38" s="271">
        <f t="shared" si="15"/>
        <v>-66.387908071774973</v>
      </c>
      <c r="Z38" s="235"/>
      <c r="AB38" s="146">
        <f>+IF(AB37&gt;$G$13+$G$14,XX,AB37+1)</f>
        <v>2030</v>
      </c>
      <c r="AC38" s="117"/>
      <c r="AD38" s="151">
        <f t="shared" si="16"/>
        <v>818776.75416000001</v>
      </c>
      <c r="AF38" s="154">
        <f t="shared" si="17"/>
        <v>117.66672929954308</v>
      </c>
      <c r="AH38" s="154">
        <f t="shared" si="18"/>
        <v>24.651948801030326</v>
      </c>
      <c r="AJ38" s="154">
        <f t="shared" si="19"/>
        <v>2.8356563272992079</v>
      </c>
      <c r="AL38" s="153">
        <f t="shared" si="20"/>
        <v>21387.786941810915</v>
      </c>
      <c r="AN38" s="154">
        <f>INDEX('(2.2)_Forward_Price_Curve'!$L:$L,MATCH($AB38,'(2.2)_Forward_Price_Curve'!$C:$C,0),1)</f>
        <v>4.8100083333333341</v>
      </c>
      <c r="AP38" s="154">
        <f t="shared" si="21"/>
        <v>31.26937749888673</v>
      </c>
      <c r="AR38" s="154">
        <f t="shared" si="22"/>
        <v>2.9271230355994948</v>
      </c>
      <c r="AS38" s="154"/>
      <c r="AT38" s="153">
        <f t="shared" si="23"/>
        <v>13473.181848685126</v>
      </c>
      <c r="AV38" s="153">
        <f t="shared" si="24"/>
        <v>27999.299711257339</v>
      </c>
      <c r="AW38" s="273"/>
      <c r="AX38" s="155">
        <f t="shared" si="25"/>
        <v>41472.481559942462</v>
      </c>
      <c r="AZ38" s="146">
        <f>+IF(AZ37&gt;$G$13+$G$14,XX,AZ37+1)</f>
        <v>2030</v>
      </c>
      <c r="BA38" s="117"/>
      <c r="BB38" s="154">
        <f t="shared" si="26"/>
        <v>75.273404344476461</v>
      </c>
      <c r="BD38" s="154">
        <f t="shared" si="27"/>
        <v>8.4802021160910943</v>
      </c>
      <c r="BF38" s="153">
        <f t="shared" si="28"/>
        <v>7914.6050931257896</v>
      </c>
      <c r="BH38" s="157"/>
    </row>
    <row r="39" spans="2:60" ht="12">
      <c r="B39" s="2"/>
      <c r="C39">
        <f>+IF(C38&gt;$G$13+$G$14,XX,C38+1)</f>
        <v>2031</v>
      </c>
      <c r="E39" s="169">
        <f>'(2.2)_Forward_Price_Curve'!T45</f>
        <v>2.1999999999999999E-2</v>
      </c>
      <c r="G39" s="18">
        <v>818776.75416000001</v>
      </c>
      <c r="I39" s="28">
        <f t="shared" si="10"/>
        <v>75.888266543474089</v>
      </c>
      <c r="K39" s="28">
        <f t="shared" si="10"/>
        <v>1.3111598430627982</v>
      </c>
      <c r="M39" s="28">
        <f t="shared" si="11"/>
        <v>0</v>
      </c>
      <c r="O39" s="270">
        <f>'(2.2)_Forward_Price_Curve'!AC45</f>
        <v>1.4649463685254571</v>
      </c>
      <c r="Q39" s="28">
        <v>0</v>
      </c>
      <c r="S39" s="18">
        <f t="shared" si="12"/>
        <v>21229.900215687474</v>
      </c>
      <c r="U39" s="18">
        <f t="shared" si="13"/>
        <v>43477.203775304675</v>
      </c>
      <c r="W39" s="18">
        <f t="shared" si="14"/>
        <v>-22247.303559617201</v>
      </c>
      <c r="Y39" s="271">
        <f t="shared" si="15"/>
        <v>-27.171391281670143</v>
      </c>
      <c r="Z39" s="235"/>
      <c r="AB39" s="146">
        <f>+IF(AB38&gt;$G$13+$G$14,XX,AB38+1)</f>
        <v>2031</v>
      </c>
      <c r="AC39" s="117"/>
      <c r="AD39" s="151">
        <f t="shared" si="16"/>
        <v>818776.75416000001</v>
      </c>
      <c r="AF39" s="154">
        <f t="shared" si="17"/>
        <v>120.25539734413303</v>
      </c>
      <c r="AH39" s="154">
        <f t="shared" si="18"/>
        <v>25.194291674652995</v>
      </c>
      <c r="AJ39" s="154">
        <f t="shared" si="19"/>
        <v>2.8980407664997907</v>
      </c>
      <c r="AL39" s="153">
        <f t="shared" si="20"/>
        <v>21858.318254530754</v>
      </c>
      <c r="AN39" s="154">
        <f>INDEX('(2.2)_Forward_Price_Curve'!$L:$L,MATCH($AB39,'(2.2)_Forward_Price_Curve'!$C:$C,0),1)</f>
        <v>5.1210458333333335</v>
      </c>
      <c r="AP39" s="154">
        <f t="shared" si="21"/>
        <v>33.291400815646746</v>
      </c>
      <c r="AR39" s="154">
        <f t="shared" si="22"/>
        <v>2.9915197423826836</v>
      </c>
      <c r="AS39" s="154"/>
      <c r="AT39" s="153">
        <f t="shared" si="23"/>
        <v>13769.591849356199</v>
      </c>
      <c r="AV39" s="153">
        <f t="shared" si="24"/>
        <v>29707.611925948473</v>
      </c>
      <c r="AW39" s="273"/>
      <c r="AX39" s="155">
        <f t="shared" si="25"/>
        <v>43477.203775304675</v>
      </c>
      <c r="AZ39" s="146">
        <f>+IF(AZ38&gt;$G$13+$G$14,XX,AZ38+1)</f>
        <v>2031</v>
      </c>
      <c r="BA39" s="117"/>
      <c r="BB39" s="154">
        <f t="shared" si="26"/>
        <v>76.929419240054941</v>
      </c>
      <c r="BD39" s="154">
        <f t="shared" si="27"/>
        <v>8.6667665626450994</v>
      </c>
      <c r="BF39" s="153">
        <f t="shared" si="28"/>
        <v>8088.726405174556</v>
      </c>
      <c r="BH39" s="157"/>
    </row>
    <row r="40" spans="2:60" ht="12">
      <c r="B40" s="2"/>
      <c r="C40">
        <f>+IF(C39&gt;$G$13+$G$14,XX,C39+1)</f>
        <v>2032</v>
      </c>
      <c r="E40" s="169">
        <f>'(2.2)_Forward_Price_Curve'!T46</f>
        <v>2.1000000000000001E-2</v>
      </c>
      <c r="G40" s="18">
        <v>818776.75416000001</v>
      </c>
      <c r="I40" s="28">
        <f t="shared" si="10"/>
        <v>77.481920140887041</v>
      </c>
      <c r="K40" s="28">
        <f t="shared" si="10"/>
        <v>1.3386941997671169</v>
      </c>
      <c r="M40" s="28">
        <f t="shared" si="11"/>
        <v>0</v>
      </c>
      <c r="O40" s="270">
        <f>'(2.2)_Forward_Price_Curve'!AC46</f>
        <v>1.4965465421812867</v>
      </c>
      <c r="Q40" s="28">
        <v>0</v>
      </c>
      <c r="S40" s="18">
        <f t="shared" si="12"/>
        <v>21676.412863148285</v>
      </c>
      <c r="U40" s="18">
        <f t="shared" si="13"/>
        <v>45425.859982668902</v>
      </c>
      <c r="W40" s="18">
        <f t="shared" si="14"/>
        <v>-23749.447119520617</v>
      </c>
      <c r="Y40" s="271">
        <f t="shared" si="15"/>
        <v>-29.006010489251938</v>
      </c>
      <c r="Z40" s="235"/>
      <c r="AB40" s="146">
        <f>+IF(AB39&gt;$G$13+$G$14,XX,AB39+1)</f>
        <v>2032</v>
      </c>
      <c r="AC40" s="117"/>
      <c r="AD40" s="151">
        <f t="shared" si="16"/>
        <v>818776.75416000001</v>
      </c>
      <c r="AF40" s="154">
        <f t="shared" si="17"/>
        <v>122.78076068835981</v>
      </c>
      <c r="AH40" s="154">
        <f t="shared" si="18"/>
        <v>25.723371799820704</v>
      </c>
      <c r="AJ40" s="154">
        <f t="shared" si="19"/>
        <v>2.9588996225962862</v>
      </c>
      <c r="AL40" s="153">
        <f t="shared" si="20"/>
        <v>22317.342937875896</v>
      </c>
      <c r="AN40" s="154">
        <f>INDEX('(2.2)_Forward_Price_Curve'!$L:$L,MATCH($AB40,'(2.2)_Forward_Price_Curve'!$C:$C,0),1)</f>
        <v>5.4231541666666665</v>
      </c>
      <c r="AP40" s="154">
        <f t="shared" si="21"/>
        <v>35.255376523358855</v>
      </c>
      <c r="AR40" s="154">
        <f t="shared" si="22"/>
        <v>3.0543416569727198</v>
      </c>
      <c r="AS40" s="154"/>
      <c r="AT40" s="153">
        <f t="shared" si="23"/>
        <v>14058.753278192673</v>
      </c>
      <c r="AV40" s="153">
        <f t="shared" si="24"/>
        <v>31367.106704476228</v>
      </c>
      <c r="AW40" s="273"/>
      <c r="AX40" s="155">
        <f t="shared" si="25"/>
        <v>45425.859982668902</v>
      </c>
      <c r="AZ40" s="146">
        <f>+IF(AZ39&gt;$G$13+$G$14,XX,AZ39+1)</f>
        <v>2032</v>
      </c>
      <c r="BA40" s="117"/>
      <c r="BB40" s="154">
        <f t="shared" si="26"/>
        <v>78.544937044096088</v>
      </c>
      <c r="BD40" s="154">
        <f t="shared" si="27"/>
        <v>8.8487686604606459</v>
      </c>
      <c r="BF40" s="153">
        <f t="shared" si="28"/>
        <v>8258.5896596832226</v>
      </c>
      <c r="BH40" s="157"/>
    </row>
    <row r="41" spans="2:60" ht="12">
      <c r="B41" s="2"/>
      <c r="C41">
        <f>+IF(C40&gt;$G$13+$G$14,XX,C40+1)</f>
        <v>2033</v>
      </c>
      <c r="E41" s="169">
        <f>'(2.2)_Forward_Price_Curve'!T47</f>
        <v>2.1000000000000001E-2</v>
      </c>
      <c r="G41" s="18">
        <v>818776.75416000001</v>
      </c>
      <c r="I41" s="28">
        <f t="shared" si="10"/>
        <v>79.109040463845659</v>
      </c>
      <c r="K41" s="28">
        <f t="shared" si="10"/>
        <v>1.3668067779622262</v>
      </c>
      <c r="M41" s="28">
        <f t="shared" si="11"/>
        <v>0</v>
      </c>
      <c r="O41" s="270">
        <f>'(2.2)_Forward_Price_Curve'!AC47</f>
        <v>1.5286401492284176</v>
      </c>
      <c r="Q41" s="28">
        <v>0</v>
      </c>
      <c r="S41" s="18">
        <f t="shared" si="12"/>
        <v>22132.16294475635</v>
      </c>
      <c r="U41" s="18">
        <f t="shared" si="13"/>
        <v>47461.621423504912</v>
      </c>
      <c r="W41" s="18">
        <f t="shared" si="14"/>
        <v>-25329.458478748562</v>
      </c>
      <c r="Y41" s="271">
        <f t="shared" si="15"/>
        <v>-30.935732298280229</v>
      </c>
      <c r="Z41" s="235"/>
      <c r="AB41" s="146">
        <f>+IF(AB40&gt;$G$13+$G$14,XX,AB40+1)</f>
        <v>2033</v>
      </c>
      <c r="AC41" s="117"/>
      <c r="AD41" s="151">
        <f t="shared" si="16"/>
        <v>818776.75416000001</v>
      </c>
      <c r="AF41" s="154">
        <f t="shared" si="17"/>
        <v>125.35915666281535</v>
      </c>
      <c r="AH41" s="154">
        <f t="shared" si="18"/>
        <v>26.263562607616937</v>
      </c>
      <c r="AJ41" s="154">
        <f t="shared" si="19"/>
        <v>3.0210365146708078</v>
      </c>
      <c r="AL41" s="153">
        <f t="shared" si="20"/>
        <v>22786.007139571291</v>
      </c>
      <c r="AN41" s="154">
        <f>INDEX('(2.2)_Forward_Price_Curve'!$L:$L,MATCH($AB41,'(2.2)_Forward_Price_Curve'!$C:$C,0),1)</f>
        <v>5.7402833333333332</v>
      </c>
      <c r="AP41" s="154">
        <f t="shared" si="21"/>
        <v>37.317001148764703</v>
      </c>
      <c r="AR41" s="154">
        <f t="shared" si="22"/>
        <v>3.1184828317691466</v>
      </c>
      <c r="AS41" s="154"/>
      <c r="AT41" s="153">
        <f t="shared" si="23"/>
        <v>14353.987097034722</v>
      </c>
      <c r="AV41" s="153">
        <f t="shared" si="24"/>
        <v>33107.634326470186</v>
      </c>
      <c r="AW41" s="273"/>
      <c r="AX41" s="155">
        <f t="shared" si="25"/>
        <v>47461.621423504912</v>
      </c>
      <c r="AZ41" s="146">
        <f>+IF(AZ40&gt;$G$13+$G$14,XX,AZ40+1)</f>
        <v>2033</v>
      </c>
      <c r="BA41" s="117"/>
      <c r="BB41" s="154">
        <f t="shared" si="26"/>
        <v>80.194380722022103</v>
      </c>
      <c r="BD41" s="154">
        <f t="shared" si="27"/>
        <v>9.0345928023303195</v>
      </c>
      <c r="BF41" s="153">
        <f t="shared" si="28"/>
        <v>8432.0200425365692</v>
      </c>
      <c r="BH41" s="157"/>
    </row>
    <row r="42" spans="2:60" ht="12">
      <c r="B42" s="2"/>
      <c r="C42">
        <f>+IF(C41&gt;$G$13+$G$14,XX,C41+1)</f>
        <v>2034</v>
      </c>
      <c r="E42" s="169">
        <f>'(2.2)_Forward_Price_Curve'!T48</f>
        <v>2.1000000000000001E-2</v>
      </c>
      <c r="G42" s="18">
        <v>818776.75416000001</v>
      </c>
      <c r="I42" s="28">
        <f t="shared" si="10"/>
        <v>80.770330313586413</v>
      </c>
      <c r="K42" s="28">
        <f t="shared" si="10"/>
        <v>1.3955097202994329</v>
      </c>
      <c r="M42" s="28">
        <f t="shared" si="11"/>
        <v>0</v>
      </c>
      <c r="O42" s="270">
        <f>'(2.2)_Forward_Price_Curve'!AC48</f>
        <v>1.5607569013547813</v>
      </c>
      <c r="Q42" s="28">
        <v>0</v>
      </c>
      <c r="S42" s="18">
        <f t="shared" si="12"/>
        <v>22596.950901243476</v>
      </c>
      <c r="U42" s="18">
        <f t="shared" si="13"/>
        <v>49458.998401396791</v>
      </c>
      <c r="W42" s="18">
        <f t="shared" si="14"/>
        <v>-26862.047500153316</v>
      </c>
      <c r="Y42" s="271">
        <f t="shared" si="15"/>
        <v>-32.807535587294055</v>
      </c>
      <c r="Z42" s="235"/>
      <c r="AB42" s="146">
        <f>+IF(AB41&gt;$G$13+$G$14,XX,AB41+1)</f>
        <v>2034</v>
      </c>
      <c r="AC42" s="117"/>
      <c r="AD42" s="151">
        <f t="shared" si="16"/>
        <v>818776.75416000001</v>
      </c>
      <c r="AF42" s="154">
        <f t="shared" si="17"/>
        <v>127.99169895273447</v>
      </c>
      <c r="AH42" s="154">
        <f t="shared" si="18"/>
        <v>26.815097422376891</v>
      </c>
      <c r="AJ42" s="154">
        <f t="shared" si="19"/>
        <v>3.0844782814788947</v>
      </c>
      <c r="AL42" s="153">
        <f t="shared" si="20"/>
        <v>23264.513289502287</v>
      </c>
      <c r="AN42" s="154">
        <f>INDEX('(2.2)_Forward_Price_Curve'!$L:$L,MATCH($AB42,'(2.2)_Forward_Price_Curve'!$C:$C,0),1)</f>
        <v>6.0488291666666667</v>
      </c>
      <c r="AP42" s="154">
        <f t="shared" si="21"/>
        <v>39.322826392631285</v>
      </c>
      <c r="AR42" s="154">
        <f t="shared" si="22"/>
        <v>3.1839709712362985</v>
      </c>
      <c r="AS42" s="154"/>
      <c r="AT42" s="153">
        <f t="shared" si="23"/>
        <v>14655.42082607245</v>
      </c>
      <c r="AV42" s="153">
        <f t="shared" si="24"/>
        <v>34803.577575324343</v>
      </c>
      <c r="AW42" s="273"/>
      <c r="AX42" s="155">
        <f t="shared" si="25"/>
        <v>49458.998401396791</v>
      </c>
      <c r="AZ42" s="146">
        <f>+IF(AZ41&gt;$G$13+$G$14,XX,AZ41+1)</f>
        <v>2034</v>
      </c>
      <c r="BA42" s="117"/>
      <c r="BB42" s="154">
        <f t="shared" si="26"/>
        <v>81.878462717184561</v>
      </c>
      <c r="BD42" s="154">
        <f t="shared" si="27"/>
        <v>9.2243192511792547</v>
      </c>
      <c r="BF42" s="153">
        <f t="shared" si="28"/>
        <v>8609.0924634298372</v>
      </c>
      <c r="BH42" s="157"/>
    </row>
    <row r="43" spans="2:60" ht="12">
      <c r="B43" s="2"/>
      <c r="C43">
        <f>+IF(C42&gt;$G$13+$G$14,XX,C42+1)</f>
        <v>2035</v>
      </c>
      <c r="E43" s="169">
        <f>'(2.2)_Forward_Price_Curve'!T49</f>
        <v>2.1000000000000001E-2</v>
      </c>
      <c r="G43" s="18">
        <v>818776.75416000001</v>
      </c>
      <c r="I43" s="28">
        <f t="shared" si="10"/>
        <v>82.466507250171716</v>
      </c>
      <c r="K43" s="28">
        <f t="shared" si="10"/>
        <v>1.4248154244257207</v>
      </c>
      <c r="M43" s="28">
        <f t="shared" si="11"/>
        <v>0</v>
      </c>
      <c r="O43" s="270">
        <f>'(2.2)_Forward_Price_Curve'!AC49</f>
        <v>1.5935251628391218</v>
      </c>
      <c r="Q43" s="28">
        <v>0</v>
      </c>
      <c r="S43" s="18">
        <f t="shared" si="12"/>
        <v>23071.480620082992</v>
      </c>
      <c r="U43" s="18">
        <f t="shared" si="13"/>
        <v>48124.116701146922</v>
      </c>
      <c r="W43" s="18">
        <f t="shared" si="14"/>
        <v>-25052.636081063931</v>
      </c>
      <c r="Y43" s="271">
        <f t="shared" si="15"/>
        <v>-30.597639654249768</v>
      </c>
      <c r="Z43" s="235"/>
      <c r="AB43" s="146">
        <f>+IF(AB42&gt;$G$13+$G$14,XX,AB42+1)</f>
        <v>2035</v>
      </c>
      <c r="AC43" s="117"/>
      <c r="AD43" s="151">
        <f t="shared" si="16"/>
        <v>818776.75416000001</v>
      </c>
      <c r="AF43" s="154">
        <f t="shared" si="17"/>
        <v>130.67952463074187</v>
      </c>
      <c r="AH43" s="154">
        <f t="shared" si="18"/>
        <v>27.378214468246803</v>
      </c>
      <c r="AJ43" s="154">
        <f t="shared" si="19"/>
        <v>3.1492523253899511</v>
      </c>
      <c r="AL43" s="153">
        <f t="shared" si="20"/>
        <v>23753.068068581826</v>
      </c>
      <c r="AN43" s="154">
        <f>INDEX('(2.2)_Forward_Price_Curve'!$L:$L,MATCH($AB43,'(2.2)_Forward_Price_Curve'!$C:$C,0),1)</f>
        <v>5.7299374999999992</v>
      </c>
      <c r="AP43" s="154">
        <f t="shared" si="21"/>
        <v>37.24974393305498</v>
      </c>
      <c r="AR43" s="154">
        <f t="shared" si="22"/>
        <v>3.2508343616322604</v>
      </c>
      <c r="AS43" s="154"/>
      <c r="AT43" s="153">
        <f t="shared" si="23"/>
        <v>14963.184663419963</v>
      </c>
      <c r="AV43" s="153">
        <f t="shared" si="24"/>
        <v>33160.932037726961</v>
      </c>
      <c r="AW43" s="273"/>
      <c r="AX43" s="155">
        <f t="shared" si="25"/>
        <v>48124.116701146922</v>
      </c>
      <c r="AZ43" s="146">
        <f>+IF(AZ42&gt;$G$13+$G$14,XX,AZ42+1)</f>
        <v>2035</v>
      </c>
      <c r="BA43" s="117"/>
      <c r="BB43" s="154">
        <f t="shared" si="26"/>
        <v>83.597910434245435</v>
      </c>
      <c r="BD43" s="154">
        <f t="shared" si="27"/>
        <v>9.4180299554540188</v>
      </c>
      <c r="BF43" s="153">
        <f t="shared" si="28"/>
        <v>8789.8834051618633</v>
      </c>
      <c r="BH43" s="157"/>
    </row>
    <row r="44" spans="2:60" ht="12">
      <c r="B44" s="2"/>
      <c r="C44">
        <f>+IF(C43&gt;$G$13+$G$14,XX,C43+1)</f>
        <v>2036</v>
      </c>
      <c r="E44" s="169">
        <f>'(2.2)_Forward_Price_Curve'!T50</f>
        <v>2.1000000000000001E-2</v>
      </c>
      <c r="G44" s="18">
        <v>818776.75416000001</v>
      </c>
      <c r="I44" s="28">
        <f t="shared" si="10"/>
        <v>84.198303902425309</v>
      </c>
      <c r="K44" s="28">
        <f t="shared" si="10"/>
        <v>1.4547365483386607</v>
      </c>
      <c r="M44" s="28">
        <f t="shared" si="11"/>
        <v>0</v>
      </c>
      <c r="O44" s="270">
        <f>'(2.2)_Forward_Price_Curve'!AC50</f>
        <v>1.6267336732773778</v>
      </c>
      <c r="Q44" s="28">
        <v>0</v>
      </c>
      <c r="S44" s="18">
        <f t="shared" si="12"/>
        <v>23555.772500921321</v>
      </c>
      <c r="U44" s="18">
        <f t="shared" si="13"/>
        <v>48749.356080314297</v>
      </c>
      <c r="W44" s="18">
        <f t="shared" si="14"/>
        <v>-25193.583579392976</v>
      </c>
      <c r="Y44" s="271">
        <f t="shared" si="15"/>
        <v>-30.769783645408442</v>
      </c>
      <c r="Z44" s="235"/>
      <c r="AB44" s="146">
        <f>+IF(AB43&gt;$G$13+$G$14,XX,AB43+1)</f>
        <v>2036</v>
      </c>
      <c r="AC44" s="117"/>
      <c r="AD44" s="151">
        <f t="shared" si="16"/>
        <v>818776.75416000001</v>
      </c>
      <c r="AF44" s="154">
        <f t="shared" si="17"/>
        <v>133.42379464798742</v>
      </c>
      <c r="AH44" s="154">
        <f t="shared" si="18"/>
        <v>27.953156972079984</v>
      </c>
      <c r="AJ44" s="154">
        <f t="shared" si="19"/>
        <v>3.2153866242231399</v>
      </c>
      <c r="AL44" s="153">
        <f t="shared" si="20"/>
        <v>24251.882498022045</v>
      </c>
      <c r="AN44" s="154">
        <f>INDEX('(2.2)_Forward_Price_Curve'!$L:$L,MATCH($AB44,'(2.2)_Forward_Price_Curve'!$C:$C,0),1)</f>
        <v>5.7778666666666672</v>
      </c>
      <c r="AP44" s="154">
        <f t="shared" si="21"/>
        <v>37.561326596087184</v>
      </c>
      <c r="AR44" s="154">
        <f t="shared" si="22"/>
        <v>3.3191018832265375</v>
      </c>
      <c r="AS44" s="154"/>
      <c r="AT44" s="153">
        <f t="shared" si="23"/>
        <v>15277.411541351785</v>
      </c>
      <c r="AV44" s="153">
        <f t="shared" si="24"/>
        <v>33471.944538962511</v>
      </c>
      <c r="AW44" s="273"/>
      <c r="AX44" s="155">
        <f t="shared" si="25"/>
        <v>48749.356080314297</v>
      </c>
      <c r="AZ44" s="146">
        <f>+IF(AZ43&gt;$G$13+$G$14,XX,AZ43+1)</f>
        <v>2036</v>
      </c>
      <c r="BA44" s="117"/>
      <c r="BB44" s="154">
        <f t="shared" si="26"/>
        <v>85.353466553364584</v>
      </c>
      <c r="BD44" s="154">
        <f t="shared" si="27"/>
        <v>9.6158085845185521</v>
      </c>
      <c r="BF44" s="153">
        <f t="shared" si="28"/>
        <v>8974.4709566702604</v>
      </c>
      <c r="BH44" s="157"/>
    </row>
    <row r="45" spans="2:60" ht="12">
      <c r="B45" s="2"/>
      <c r="C45">
        <f>+IF(C44&gt;$G$13+$G$14,XX,C44+1)</f>
        <v>2037</v>
      </c>
      <c r="E45" s="169">
        <f>'(2.2)_Forward_Price_Curve'!T51</f>
        <v>2.1000000000000001E-2</v>
      </c>
      <c r="G45" s="18">
        <v>818776.75416000001</v>
      </c>
      <c r="I45" s="28">
        <f t="shared" si="10"/>
        <v>85.966468284376234</v>
      </c>
      <c r="K45" s="28">
        <f t="shared" si="10"/>
        <v>1.4852860158537724</v>
      </c>
      <c r="M45" s="28">
        <f t="shared" si="11"/>
        <v>0</v>
      </c>
      <c r="O45" s="270">
        <f>'(2.2)_Forward_Price_Curve'!AC51</f>
        <v>1.6606577113778709</v>
      </c>
      <c r="Q45" s="28">
        <v>0</v>
      </c>
      <c r="S45" s="18">
        <f t="shared" si="12"/>
        <v>24050.249371189922</v>
      </c>
      <c r="U45" s="18">
        <f t="shared" si="13"/>
        <v>50939.171709874965</v>
      </c>
      <c r="W45" s="18">
        <f t="shared" si="14"/>
        <v>-26888.922338685043</v>
      </c>
      <c r="Y45" s="271">
        <f t="shared" si="15"/>
        <v>-32.840358745004849</v>
      </c>
      <c r="Z45" s="235"/>
      <c r="AB45" s="146">
        <f>+IF(AB44&gt;$G$13+$G$14,XX,AB44+1)</f>
        <v>2037</v>
      </c>
      <c r="AC45" s="117"/>
      <c r="AD45" s="151">
        <f t="shared" si="16"/>
        <v>818776.75416000001</v>
      </c>
      <c r="AF45" s="154">
        <f t="shared" si="17"/>
        <v>136.22569433559514</v>
      </c>
      <c r="AH45" s="154">
        <f t="shared" si="18"/>
        <v>28.54017326849366</v>
      </c>
      <c r="AJ45" s="154">
        <f t="shared" si="19"/>
        <v>3.2829097433318255</v>
      </c>
      <c r="AL45" s="153">
        <f t="shared" si="20"/>
        <v>24761.172030480506</v>
      </c>
      <c r="AN45" s="154">
        <f>INDEX('(2.2)_Forward_Price_Curve'!$L:$L,MATCH($AB45,'(2.2)_Forward_Price_Curve'!$C:$C,0),1)</f>
        <v>6.1182749999999997</v>
      </c>
      <c r="AP45" s="154">
        <f t="shared" si="21"/>
        <v>39.774286728609511</v>
      </c>
      <c r="AR45" s="154">
        <f t="shared" si="22"/>
        <v>3.3888030227742947</v>
      </c>
      <c r="AS45" s="154"/>
      <c r="AT45" s="153">
        <f t="shared" si="23"/>
        <v>15598.23718372017</v>
      </c>
      <c r="AV45" s="153">
        <f t="shared" si="24"/>
        <v>35340.934526154793</v>
      </c>
      <c r="AW45" s="273"/>
      <c r="AX45" s="155">
        <f t="shared" si="25"/>
        <v>50939.171709874965</v>
      </c>
      <c r="AZ45" s="146">
        <f>+IF(AZ44&gt;$G$13+$G$14,XX,AZ44+1)</f>
        <v>2037</v>
      </c>
      <c r="BA45" s="117"/>
      <c r="BB45" s="154">
        <f t="shared" si="26"/>
        <v>87.145889350985229</v>
      </c>
      <c r="BD45" s="154">
        <f t="shared" si="27"/>
        <v>9.817740564793441</v>
      </c>
      <c r="BF45" s="153">
        <f t="shared" si="28"/>
        <v>9162.9348467603359</v>
      </c>
      <c r="BH45" s="157"/>
    </row>
    <row r="46" spans="2:60" ht="12">
      <c r="B46" s="2"/>
      <c r="C46">
        <f>+IF(C45&gt;$G$13+$G$14,XX,C45+1)</f>
        <v>2038</v>
      </c>
      <c r="E46" s="169">
        <f>'(2.2)_Forward_Price_Curve'!T52</f>
        <v>2.1000000000000001E-2</v>
      </c>
      <c r="G46" s="18">
        <v>818776.75416000001</v>
      </c>
      <c r="I46" s="28">
        <f t="shared" si="10"/>
        <v>87.771764118348131</v>
      </c>
      <c r="K46" s="28">
        <f t="shared" si="10"/>
        <v>1.5164770221867014</v>
      </c>
      <c r="M46" s="28">
        <f t="shared" si="11"/>
        <v>0</v>
      </c>
      <c r="O46" s="270">
        <f>'(2.2)_Forward_Price_Curve'!AC52</f>
        <v>1.6953423361778306</v>
      </c>
      <c r="Q46" s="28">
        <v>0</v>
      </c>
      <c r="S46" s="18">
        <f t="shared" si="12"/>
        <v>24555.149705953329</v>
      </c>
      <c r="U46" s="18">
        <f t="shared" si="13"/>
        <v>53952.262886433477</v>
      </c>
      <c r="W46" s="18">
        <f t="shared" si="14"/>
        <v>-29397.113180480148</v>
      </c>
      <c r="Y46" s="271">
        <f t="shared" si="15"/>
        <v>-35.903697840859266</v>
      </c>
      <c r="Z46" s="235"/>
      <c r="AB46" s="146">
        <f>+IF(AB45&gt;$G$13+$G$14,XX,AB45+1)</f>
        <v>2038</v>
      </c>
      <c r="AC46" s="117"/>
      <c r="AD46" s="151">
        <f t="shared" si="16"/>
        <v>818776.75416000001</v>
      </c>
      <c r="AF46" s="154">
        <f t="shared" si="17"/>
        <v>139.08643391664262</v>
      </c>
      <c r="AH46" s="154">
        <f t="shared" si="18"/>
        <v>29.139516907132023</v>
      </c>
      <c r="AJ46" s="154">
        <f t="shared" si="19"/>
        <v>3.3518508479417934</v>
      </c>
      <c r="AL46" s="153">
        <f t="shared" si="20"/>
        <v>25281.156643120594</v>
      </c>
      <c r="AN46" s="154">
        <f>INDEX('(2.2)_Forward_Price_Curve'!$L:$L,MATCH($AB46,'(2.2)_Forward_Price_Curve'!$C:$C,0),1)</f>
        <v>6.6118625</v>
      </c>
      <c r="AP46" s="154">
        <f t="shared" si="21"/>
        <v>42.983049124980646</v>
      </c>
      <c r="AR46" s="154">
        <f t="shared" si="22"/>
        <v>3.4599678862525547</v>
      </c>
      <c r="AS46" s="154"/>
      <c r="AT46" s="153">
        <f t="shared" si="23"/>
        <v>15925.800164578292</v>
      </c>
      <c r="AV46" s="153">
        <f t="shared" si="24"/>
        <v>38026.462721855183</v>
      </c>
      <c r="AW46" s="273"/>
      <c r="AX46" s="155">
        <f t="shared" si="25"/>
        <v>53952.262886433477</v>
      </c>
      <c r="AZ46" s="146">
        <f>+IF(AZ45&gt;$G$13+$G$14,XX,AZ45+1)</f>
        <v>2038</v>
      </c>
      <c r="BA46" s="117"/>
      <c r="BB46" s="154">
        <f t="shared" si="26"/>
        <v>88.975953027355914</v>
      </c>
      <c r="BD46" s="154">
        <f t="shared" si="27"/>
        <v>10.023913116654102</v>
      </c>
      <c r="BF46" s="153">
        <f t="shared" si="28"/>
        <v>9355.3564785423023</v>
      </c>
      <c r="BH46" s="157"/>
    </row>
    <row r="47" spans="2:60" ht="12">
      <c r="B47" s="2"/>
      <c r="C47">
        <f>+IF(C46&gt;$G$13+$G$14,XX,C46+1)</f>
        <v>2039</v>
      </c>
      <c r="E47" s="169">
        <f>'(2.2)_Forward_Price_Curve'!T53</f>
        <v>2.1000000000000001E-2</v>
      </c>
      <c r="G47" s="18">
        <v>818776.75416000001</v>
      </c>
      <c r="I47" s="28">
        <f t="shared" si="10"/>
        <v>89.614971164833435</v>
      </c>
      <c r="K47" s="28">
        <f t="shared" si="10"/>
        <v>1.548323039652622</v>
      </c>
      <c r="M47" s="28">
        <f t="shared" si="11"/>
        <v>0</v>
      </c>
      <c r="O47" s="270">
        <f>'(2.2)_Forward_Price_Curve'!AC53</f>
        <v>1.730529504666237</v>
      </c>
      <c r="Q47" s="28">
        <v>0</v>
      </c>
      <c r="S47" s="18">
        <f t="shared" si="12"/>
        <v>25070.468040582047</v>
      </c>
      <c r="U47" s="18">
        <f t="shared" si="13"/>
        <v>56901.399316739982</v>
      </c>
      <c r="W47" s="18">
        <f t="shared" si="14"/>
        <v>-31830.931276157935</v>
      </c>
      <c r="Y47" s="271">
        <f t="shared" si="15"/>
        <v>-38.876202963057914</v>
      </c>
      <c r="Z47" s="235"/>
      <c r="AB47" s="146">
        <f>+IF(AB46&gt;$G$13+$G$14,XX,AB46+1)</f>
        <v>2039</v>
      </c>
      <c r="AC47" s="117"/>
      <c r="AD47" s="151">
        <f t="shared" si="16"/>
        <v>818776.75416000001</v>
      </c>
      <c r="AF47" s="154">
        <f t="shared" si="17"/>
        <v>142.00724902889209</v>
      </c>
      <c r="AH47" s="154">
        <f t="shared" si="18"/>
        <v>29.751446762181793</v>
      </c>
      <c r="AJ47" s="154">
        <f t="shared" si="19"/>
        <v>3.4222397157485709</v>
      </c>
      <c r="AL47" s="153">
        <f t="shared" si="20"/>
        <v>25812.060932626122</v>
      </c>
      <c r="AN47" s="154">
        <f>INDEX('(2.2)_Forward_Price_Curve'!$L:$L,MATCH($AB47,'(2.2)_Forward_Price_Curve'!$C:$C,0),1)</f>
        <v>7.0919124999999994</v>
      </c>
      <c r="AP47" s="154">
        <f t="shared" si="21"/>
        <v>46.103805603574521</v>
      </c>
      <c r="AR47" s="154">
        <f t="shared" si="22"/>
        <v>3.5326272118638582</v>
      </c>
      <c r="AS47" s="154"/>
      <c r="AT47" s="153">
        <f t="shared" si="23"/>
        <v>16260.241968034434</v>
      </c>
      <c r="AV47" s="153">
        <f t="shared" si="24"/>
        <v>40641.15734870555</v>
      </c>
      <c r="AW47" s="273"/>
      <c r="AX47" s="155">
        <f t="shared" si="25"/>
        <v>56901.399316739982</v>
      </c>
      <c r="AZ47" s="146">
        <f>+IF(AZ46&gt;$G$13+$G$14,XX,AZ46+1)</f>
        <v>2039</v>
      </c>
      <c r="BA47" s="117"/>
      <c r="BB47" s="154">
        <f t="shared" si="26"/>
        <v>90.844448040930374</v>
      </c>
      <c r="BD47" s="154">
        <f t="shared" si="27"/>
        <v>10.234415292103836</v>
      </c>
      <c r="BF47" s="153">
        <f t="shared" si="28"/>
        <v>9551.8189645916882</v>
      </c>
      <c r="BH47" s="157"/>
    </row>
    <row r="48" spans="2:60" ht="12">
      <c r="B48" s="2"/>
      <c r="C48">
        <f>+IF(C47&gt;$G$13+$G$14,XX,C47+1)</f>
        <v>2040</v>
      </c>
      <c r="E48" s="169">
        <f>'(2.2)_Forward_Price_Curve'!T54</f>
        <v>2.1000000000000001E-2</v>
      </c>
      <c r="G48" s="18">
        <v>818776.75416000001</v>
      </c>
      <c r="I48" s="28">
        <f t="shared" si="10"/>
        <v>91.496885559294924</v>
      </c>
      <c r="K48" s="28">
        <f t="shared" si="10"/>
        <v>1.5808378234853269</v>
      </c>
      <c r="M48" s="28">
        <f t="shared" si="11"/>
        <v>0</v>
      </c>
      <c r="O48" s="270">
        <f>'(2.2)_Forward_Price_Curve'!AC54</f>
        <v>1.7664344168351047</v>
      </c>
      <c r="Q48" s="28">
        <v>0</v>
      </c>
      <c r="S48" s="18">
        <f t="shared" si="12"/>
        <v>25596.590712931305</v>
      </c>
      <c r="U48" s="18">
        <f t="shared" si="13"/>
        <v>58531.305814159467</v>
      </c>
      <c r="W48" s="18">
        <f t="shared" si="14"/>
        <v>-32934.715101228161</v>
      </c>
      <c r="Y48" s="271">
        <f t="shared" si="15"/>
        <v>-40.224291827894611</v>
      </c>
      <c r="Z48" s="235"/>
      <c r="AB48" s="146">
        <f>+IF(AB47&gt;$G$13+$G$14,XX,AB47+1)</f>
        <v>2040</v>
      </c>
      <c r="AC48" s="117"/>
      <c r="AD48" s="151">
        <f t="shared" si="16"/>
        <v>818776.75416000001</v>
      </c>
      <c r="AF48" s="154">
        <f t="shared" si="17"/>
        <v>144.98940125849882</v>
      </c>
      <c r="AH48" s="154">
        <f t="shared" si="18"/>
        <v>30.376227144187609</v>
      </c>
      <c r="AJ48" s="154">
        <f t="shared" si="19"/>
        <v>3.4941067497792906</v>
      </c>
      <c r="AL48" s="153">
        <f t="shared" si="20"/>
        <v>26354.114212211265</v>
      </c>
      <c r="AN48" s="154">
        <f>INDEX('(2.2)_Forward_Price_Curve'!$L:$L,MATCH($AB48,'(2.2)_Forward_Price_Curve'!$C:$C,0),1)</f>
        <v>7.3225625000000001</v>
      </c>
      <c r="AP48" s="154">
        <f t="shared" si="21"/>
        <v>47.603237916432938</v>
      </c>
      <c r="AR48" s="154">
        <f t="shared" si="22"/>
        <v>3.6068123833129988</v>
      </c>
      <c r="AS48" s="154"/>
      <c r="AT48" s="153">
        <f t="shared" si="23"/>
        <v>16601.707049363151</v>
      </c>
      <c r="AV48" s="153">
        <f t="shared" si="24"/>
        <v>41929.598764796319</v>
      </c>
      <c r="AW48" s="273"/>
      <c r="AX48" s="155">
        <f t="shared" si="25"/>
        <v>58531.305814159467</v>
      </c>
      <c r="AZ48" s="146">
        <f>+IF(AZ47&gt;$G$13+$G$14,XX,AZ47+1)</f>
        <v>2040</v>
      </c>
      <c r="BA48" s="117"/>
      <c r="BB48" s="154">
        <f t="shared" si="26"/>
        <v>92.752181449789902</v>
      </c>
      <c r="BD48" s="154">
        <f t="shared" si="27"/>
        <v>10.449338013238016</v>
      </c>
      <c r="BF48" s="153">
        <f t="shared" si="28"/>
        <v>9752.4071628481142</v>
      </c>
      <c r="BH48" s="157"/>
    </row>
    <row r="49" spans="2:60" ht="12">
      <c r="B49" s="2"/>
      <c r="C49">
        <f>+IF(C48&gt;$G$13+$G$14,XX,C48+1)</f>
        <v>2041</v>
      </c>
      <c r="E49" s="169">
        <f>'(2.2)_Forward_Price_Curve'!T55</f>
        <v>2.1000000000000001E-2</v>
      </c>
      <c r="G49" s="18">
        <v>818776.75416000001</v>
      </c>
      <c r="I49" s="28">
        <f t="shared" si="10"/>
        <v>93.41832015604011</v>
      </c>
      <c r="K49" s="28">
        <f t="shared" si="10"/>
        <v>1.6140354177785186</v>
      </c>
      <c r="M49" s="28">
        <f t="shared" si="11"/>
        <v>0</v>
      </c>
      <c r="O49" s="270">
        <f>'(2.2)_Forward_Price_Curve'!AC55</f>
        <v>1.8033030507073435</v>
      </c>
      <c r="Q49" s="28">
        <v>0</v>
      </c>
      <c r="S49" s="18">
        <f t="shared" si="12"/>
        <v>26133.933674071781</v>
      </c>
      <c r="U49" s="18">
        <f t="shared" si="13"/>
        <v>59799.439660885546</v>
      </c>
      <c r="W49" s="18">
        <f t="shared" si="14"/>
        <v>-33665.505986813761</v>
      </c>
      <c r="Y49" s="271">
        <f t="shared" si="15"/>
        <v>-41.116831683078132</v>
      </c>
      <c r="Z49" s="235"/>
      <c r="AB49" s="146">
        <f>+IF(AB48&gt;$G$13+$G$14,XX,AB48+1)</f>
        <v>2041</v>
      </c>
      <c r="AC49" s="117"/>
      <c r="AD49" s="151">
        <f t="shared" si="16"/>
        <v>818776.75416000001</v>
      </c>
      <c r="AF49" s="154">
        <f t="shared" si="17"/>
        <v>148.03417868492727</v>
      </c>
      <c r="AH49" s="154">
        <f t="shared" si="18"/>
        <v>31.014127914215546</v>
      </c>
      <c r="AJ49" s="154">
        <f t="shared" si="19"/>
        <v>3.5674829915246553</v>
      </c>
      <c r="AL49" s="153">
        <f t="shared" si="20"/>
        <v>26907.550610667702</v>
      </c>
      <c r="AN49" s="154">
        <f>INDEX('(2.2)_Forward_Price_Curve'!$L:$L,MATCH($AB49,'(2.2)_Forward_Price_Curve'!$C:$C,0),1)</f>
        <v>7.4836588750000006</v>
      </c>
      <c r="AP49" s="154">
        <f t="shared" si="21"/>
        <v>48.650509150594466</v>
      </c>
      <c r="AR49" s="154">
        <f t="shared" si="22"/>
        <v>3.6825554433625713</v>
      </c>
      <c r="AS49" s="154"/>
      <c r="AT49" s="153">
        <f t="shared" si="23"/>
        <v>16950.34289739978</v>
      </c>
      <c r="AV49" s="153">
        <f t="shared" si="24"/>
        <v>42849.096763485766</v>
      </c>
      <c r="AW49" s="273"/>
      <c r="AX49" s="155">
        <f t="shared" si="25"/>
        <v>59799.439660885546</v>
      </c>
      <c r="AZ49" s="146">
        <f>+IF(AZ48&gt;$G$13+$G$14,XX,AZ48+1)</f>
        <v>2041</v>
      </c>
      <c r="BA49" s="117"/>
      <c r="BB49" s="154">
        <f t="shared" si="26"/>
        <v>94.699977260235485</v>
      </c>
      <c r="BD49" s="154">
        <f t="shared" si="27"/>
        <v>10.668774111516013</v>
      </c>
      <c r="BF49" s="153">
        <f t="shared" si="28"/>
        <v>9957.2077132679242</v>
      </c>
      <c r="BH49" s="157"/>
    </row>
    <row r="50" spans="2:60" ht="12">
      <c r="B50" s="2"/>
      <c r="C50">
        <f>+IF(C49&gt;$G$13+$G$14,XX,C49+1)</f>
        <v>2042</v>
      </c>
      <c r="E50" s="169">
        <f>'(2.2)_Forward_Price_Curve'!T56</f>
        <v>2.1999999999999999E-2</v>
      </c>
      <c r="G50" s="18">
        <v>818776.75416000001</v>
      </c>
      <c r="I50" s="28">
        <f t="shared" si="10"/>
        <v>95.473523199472993</v>
      </c>
      <c r="K50" s="28">
        <f t="shared" si="10"/>
        <v>1.649544196969646</v>
      </c>
      <c r="M50" s="28">
        <f t="shared" si="11"/>
        <v>0</v>
      </c>
      <c r="O50" s="270">
        <f>'(2.2)_Forward_Price_Curve'!AC56</f>
        <v>1.8413139188621417</v>
      </c>
      <c r="Q50" s="28">
        <v>0</v>
      </c>
      <c r="S50" s="18">
        <f t="shared" si="12"/>
        <v>26707.519572542198</v>
      </c>
      <c r="U50" s="18">
        <f t="shared" si="13"/>
        <v>61115.027333425023</v>
      </c>
      <c r="W50" s="18">
        <f t="shared" si="14"/>
        <v>-34407.507760882829</v>
      </c>
      <c r="Y50" s="271">
        <f t="shared" si="15"/>
        <v>-42.023063779066618</v>
      </c>
      <c r="Z50" s="235"/>
      <c r="AB50" s="146">
        <f>+IF(AB49&gt;$G$13+$G$14,XX,AB49+1)</f>
        <v>2042</v>
      </c>
      <c r="AC50" s="117"/>
      <c r="AD50" s="151">
        <f t="shared" si="16"/>
        <v>818776.75416000001</v>
      </c>
      <c r="AF50" s="154">
        <f t="shared" si="17"/>
        <v>151.29093061599568</v>
      </c>
      <c r="AH50" s="154">
        <f t="shared" si="18"/>
        <v>31.696438728328289</v>
      </c>
      <c r="AJ50" s="154">
        <f t="shared" si="19"/>
        <v>3.6459676173381976</v>
      </c>
      <c r="AL50" s="153">
        <f t="shared" si="20"/>
        <v>27499.516724102392</v>
      </c>
      <c r="AN50" s="154">
        <f>INDEX('(2.2)_Forward_Price_Curve'!$L:$L,MATCH($AB50,'(2.2)_Forward_Price_Curve'!$C:$C,0),1)</f>
        <v>7.6482993702500011</v>
      </c>
      <c r="AP50" s="154">
        <f t="shared" si="21"/>
        <v>49.720820351907548</v>
      </c>
      <c r="AR50" s="154">
        <f t="shared" si="22"/>
        <v>3.7635716631165481</v>
      </c>
      <c r="AS50" s="154"/>
      <c r="AT50" s="153">
        <f t="shared" si="23"/>
        <v>17323.250441142573</v>
      </c>
      <c r="AV50" s="153">
        <f t="shared" si="24"/>
        <v>43791.776892282454</v>
      </c>
      <c r="AW50" s="273"/>
      <c r="AX50" s="155">
        <f t="shared" si="25"/>
        <v>61115.027333425023</v>
      </c>
      <c r="AZ50" s="146">
        <f>+IF(AZ49&gt;$G$13+$G$14,XX,AZ49+1)</f>
        <v>2042</v>
      </c>
      <c r="BA50" s="117"/>
      <c r="BB50" s="154">
        <f t="shared" si="26"/>
        <v>96.783376759960674</v>
      </c>
      <c r="BD50" s="154">
        <f t="shared" si="27"/>
        <v>10.903487141969366</v>
      </c>
      <c r="BF50" s="153">
        <f t="shared" si="28"/>
        <v>10176.266282959819</v>
      </c>
      <c r="BH50" s="157"/>
    </row>
    <row r="51" spans="2:60" ht="12">
      <c r="B51" s="2"/>
      <c r="C51">
        <f>+IF(C50&gt;$G$13+$G$14,XX,C50+1)</f>
        <v>2043</v>
      </c>
      <c r="E51" s="169">
        <f>'(2.2)_Forward_Price_Curve'!T57</f>
        <v>2.1999999999999999E-2</v>
      </c>
      <c r="G51" s="18">
        <v>818776.75416000001</v>
      </c>
      <c r="I51" s="28">
        <f t="shared" si="10"/>
        <v>97.573940709861404</v>
      </c>
      <c r="K51" s="28">
        <f t="shared" si="10"/>
        <v>1.6858341693029784</v>
      </c>
      <c r="M51" s="28">
        <f t="shared" si="11"/>
        <v>0</v>
      </c>
      <c r="O51" s="270">
        <f>'(2.2)_Forward_Price_Curve'!AC57</f>
        <v>1.8803404620364608</v>
      </c>
      <c r="Q51" s="28">
        <v>0</v>
      </c>
      <c r="S51" s="18">
        <f t="shared" si="12"/>
        <v>27293.871278739221</v>
      </c>
      <c r="U51" s="18">
        <f t="shared" si="13"/>
        <v>62459.557934760378</v>
      </c>
      <c r="W51" s="18">
        <f t="shared" si="14"/>
        <v>-35165.686656021157</v>
      </c>
      <c r="Y51" s="271">
        <f t="shared" si="15"/>
        <v>-42.949053545246727</v>
      </c>
      <c r="Z51" s="235"/>
      <c r="AB51" s="146">
        <f>+IF(AB50&gt;$G$13+$G$14,XX,AB50+1)</f>
        <v>2043</v>
      </c>
      <c r="AC51" s="117"/>
      <c r="AD51" s="151">
        <f t="shared" si="16"/>
        <v>818776.75416000001</v>
      </c>
      <c r="AF51" s="154">
        <f t="shared" si="17"/>
        <v>154.61933108954759</v>
      </c>
      <c r="AH51" s="154">
        <f t="shared" si="18"/>
        <v>32.393760380351509</v>
      </c>
      <c r="AJ51" s="154">
        <f t="shared" si="19"/>
        <v>3.7261789049196379</v>
      </c>
      <c r="AL51" s="153">
        <f t="shared" si="20"/>
        <v>28104.506092032647</v>
      </c>
      <c r="AN51" s="154">
        <f>INDEX('(2.2)_Forward_Price_Curve'!$L:$L,MATCH($AB51,'(2.2)_Forward_Price_Curve'!$C:$C,0),1)</f>
        <v>7.8165619563955016</v>
      </c>
      <c r="AP51" s="154">
        <f t="shared" si="21"/>
        <v>50.814678399649516</v>
      </c>
      <c r="AR51" s="154">
        <f t="shared" si="22"/>
        <v>3.846370239705112</v>
      </c>
      <c r="AS51" s="154"/>
      <c r="AT51" s="153">
        <f t="shared" si="23"/>
        <v>17704.361950847713</v>
      </c>
      <c r="AV51" s="153">
        <f t="shared" si="24"/>
        <v>44755.195983912665</v>
      </c>
      <c r="AW51" s="273"/>
      <c r="AX51" s="155">
        <f t="shared" si="25"/>
        <v>62459.557934760378</v>
      </c>
      <c r="AZ51" s="146">
        <f>+IF(AZ50&gt;$G$13+$G$14,XX,AZ50+1)</f>
        <v>2043</v>
      </c>
      <c r="BA51" s="117"/>
      <c r="BB51" s="154">
        <f t="shared" si="26"/>
        <v>98.912611048679807</v>
      </c>
      <c r="BD51" s="154">
        <f t="shared" si="27"/>
        <v>11.143363859092693</v>
      </c>
      <c r="BF51" s="153">
        <f t="shared" si="28"/>
        <v>10400.144141184934</v>
      </c>
      <c r="BH51" s="157"/>
    </row>
    <row r="52" spans="2:60" ht="12">
      <c r="B52" s="2"/>
      <c r="C52">
        <f>+IF(C51&gt;$G$13+$G$14,XX,C51+1)</f>
        <v>2044</v>
      </c>
      <c r="E52" s="169">
        <f>'(2.2)_Forward_Price_Curve'!T58</f>
        <v>2.1999999999999999E-2</v>
      </c>
      <c r="G52" s="18">
        <v>818776.75416000001</v>
      </c>
      <c r="I52" s="28">
        <f t="shared" si="10"/>
        <v>99.720567405478363</v>
      </c>
      <c r="K52" s="28">
        <f t="shared" si="10"/>
        <v>1.722922521027644</v>
      </c>
      <c r="M52" s="28">
        <f t="shared" si="11"/>
        <v>0</v>
      </c>
      <c r="O52" s="270">
        <f>'(2.2)_Forward_Price_Curve'!AC58</f>
        <v>1.9203752935028859</v>
      </c>
      <c r="Q52" s="28">
        <v>0</v>
      </c>
      <c r="S52" s="18">
        <f t="shared" si="12"/>
        <v>27893.245296908026</v>
      </c>
      <c r="U52" s="18">
        <f t="shared" si="13"/>
        <v>63833.668209325115</v>
      </c>
      <c r="W52" s="18">
        <f t="shared" si="14"/>
        <v>-35940.422912417089</v>
      </c>
      <c r="Y52" s="271">
        <f t="shared" si="15"/>
        <v>-43.895265381940547</v>
      </c>
      <c r="Z52" s="235"/>
      <c r="AB52" s="146">
        <f>+IF(AB51&gt;$G$13+$G$14,XX,AB51+1)</f>
        <v>2044</v>
      </c>
      <c r="AC52" s="117"/>
      <c r="AD52" s="151">
        <f t="shared" si="16"/>
        <v>818776.75416000001</v>
      </c>
      <c r="AF52" s="154">
        <f t="shared" si="17"/>
        <v>158.02095637351763</v>
      </c>
      <c r="AH52" s="154">
        <f t="shared" si="18"/>
        <v>33.106423108719241</v>
      </c>
      <c r="AJ52" s="154">
        <f t="shared" si="19"/>
        <v>3.80815484082787</v>
      </c>
      <c r="AL52" s="153">
        <f t="shared" si="20"/>
        <v>28722.805226057364</v>
      </c>
      <c r="AN52" s="154">
        <f>INDEX('(2.2)_Forward_Price_Curve'!$L:$L,MATCH($AB52,'(2.2)_Forward_Price_Curve'!$C:$C,0),1)</f>
        <v>7.9885263194362031</v>
      </c>
      <c r="AP52" s="154">
        <f t="shared" si="21"/>
        <v>51.932601324441805</v>
      </c>
      <c r="AR52" s="154">
        <f t="shared" si="22"/>
        <v>3.9309903849786245</v>
      </c>
      <c r="AS52" s="154"/>
      <c r="AT52" s="153">
        <f t="shared" si="23"/>
        <v>18093.857913766362</v>
      </c>
      <c r="AV52" s="153">
        <f t="shared" si="24"/>
        <v>45739.810295558753</v>
      </c>
      <c r="AW52" s="273"/>
      <c r="AX52" s="155">
        <f t="shared" si="25"/>
        <v>63833.668209325115</v>
      </c>
      <c r="AZ52" s="146">
        <f>+IF(AZ51&gt;$G$13+$G$14,XX,AZ51+1)</f>
        <v>2044</v>
      </c>
      <c r="BA52" s="117"/>
      <c r="BB52" s="154">
        <f t="shared" si="26"/>
        <v>101.08868849175076</v>
      </c>
      <c r="BD52" s="154">
        <f t="shared" si="27"/>
        <v>11.388517863992732</v>
      </c>
      <c r="BF52" s="153">
        <f t="shared" si="28"/>
        <v>10628.947312291002</v>
      </c>
      <c r="BH52" s="157"/>
    </row>
    <row r="53" spans="2:60" ht="12">
      <c r="B53" s="2"/>
      <c r="C53">
        <f>+IF(C52&gt;$G$13+$G$14,XX,C52+1)</f>
        <v>2045</v>
      </c>
      <c r="E53" s="169">
        <f>'(2.2)_Forward_Price_Curve'!T59</f>
        <v>2.1999999999999999E-2</v>
      </c>
      <c r="G53" s="18">
        <v>818776.75416000001</v>
      </c>
      <c r="I53" s="28">
        <f t="shared" si="10"/>
        <v>101.91441988839888</v>
      </c>
      <c r="K53" s="28">
        <f t="shared" si="10"/>
        <v>1.7608268164902521</v>
      </c>
      <c r="M53" s="28">
        <f t="shared" si="11"/>
        <v>0</v>
      </c>
      <c r="O53" s="270">
        <f>'(2.2)_Forward_Price_Curve'!AC59</f>
        <v>1.9616503565022387</v>
      </c>
      <c r="Q53" s="28">
        <v>0</v>
      </c>
      <c r="S53" s="18">
        <f t="shared" si="12"/>
        <v>28506.099865259523</v>
      </c>
      <c r="U53" s="18">
        <f t="shared" si="13"/>
        <v>65238.008909930264</v>
      </c>
      <c r="W53" s="18">
        <f t="shared" si="14"/>
        <v>-36731.909044670741</v>
      </c>
      <c r="Y53" s="271">
        <f t="shared" si="15"/>
        <v>-44.861934413800945</v>
      </c>
      <c r="Z53" s="235"/>
      <c r="AB53" s="146">
        <f>+IF(AB52&gt;$G$13+$G$14,XX,AB52+1)</f>
        <v>2045</v>
      </c>
      <c r="AC53" s="117"/>
      <c r="AD53" s="151">
        <f t="shared" si="16"/>
        <v>818776.75416000001</v>
      </c>
      <c r="AF53" s="154">
        <f t="shared" si="17"/>
        <v>161.49741741373504</v>
      </c>
      <c r="AH53" s="154">
        <f t="shared" si="18"/>
        <v>33.834764417111067</v>
      </c>
      <c r="AJ53" s="154">
        <f t="shared" si="19"/>
        <v>3.8919342473260832</v>
      </c>
      <c r="AL53" s="153">
        <f t="shared" si="20"/>
        <v>29354.706941030629</v>
      </c>
      <c r="AN53" s="154">
        <f>INDEX('(2.2)_Forward_Price_Curve'!$L:$L,MATCH($AB53,'(2.2)_Forward_Price_Curve'!$C:$C,0),1)</f>
        <v>8.164273898463799</v>
      </c>
      <c r="AP53" s="154">
        <f t="shared" si="21"/>
        <v>53.075118553579522</v>
      </c>
      <c r="AR53" s="154">
        <f t="shared" si="22"/>
        <v>4.0174721734481542</v>
      </c>
      <c r="AS53" s="154"/>
      <c r="AT53" s="153">
        <f t="shared" si="23"/>
        <v>18491.922787869225</v>
      </c>
      <c r="AV53" s="153">
        <f t="shared" si="24"/>
        <v>46746.086122061039</v>
      </c>
      <c r="AW53" s="273"/>
      <c r="AX53" s="155">
        <f t="shared" si="25"/>
        <v>65238.008909930264</v>
      </c>
      <c r="AZ53" s="146">
        <f>+IF(AZ52&gt;$G$13+$G$14,XX,AZ52+1)</f>
        <v>2045</v>
      </c>
      <c r="BA53" s="117"/>
      <c r="BB53" s="154">
        <f t="shared" si="26"/>
        <v>103.31263963856928</v>
      </c>
      <c r="BD53" s="154">
        <f t="shared" si="27"/>
        <v>11.639065257000572</v>
      </c>
      <c r="BF53" s="153">
        <f t="shared" si="28"/>
        <v>10862.784153161405</v>
      </c>
      <c r="BH53" s="157"/>
    </row>
    <row r="54" spans="2:60" ht="12">
      <c r="B54" s="2"/>
      <c r="C54">
        <f>+IF(C53&gt;$G$13+$G$14,XX,C53+1)</f>
        <v>2046</v>
      </c>
      <c r="E54" s="169">
        <f>'(2.2)_Forward_Price_Curve'!T60</f>
        <v>2.1999999999999999E-2</v>
      </c>
      <c r="G54" s="18">
        <v>818776.75416000001</v>
      </c>
      <c r="I54" s="28">
        <f t="shared" si="10"/>
        <v>104.15653712594366</v>
      </c>
      <c r="K54" s="28">
        <f t="shared" si="10"/>
        <v>1.7995650064530377</v>
      </c>
      <c r="M54" s="28">
        <f t="shared" si="11"/>
        <v>0</v>
      </c>
      <c r="O54" s="270">
        <f>'(2.2)_Forward_Price_Curve'!AC60</f>
        <v>2.0038320171796222</v>
      </c>
      <c r="Q54" s="28">
        <v>0</v>
      </c>
      <c r="S54" s="18">
        <f t="shared" si="12"/>
        <v>29132.436043852478</v>
      </c>
      <c r="U54" s="18">
        <f t="shared" si="13"/>
        <v>66673.245105948736</v>
      </c>
      <c r="W54" s="18">
        <f t="shared" si="14"/>
        <v>-37540.809062096261</v>
      </c>
      <c r="Y54" s="271">
        <f t="shared" si="15"/>
        <v>-45.849871618070239</v>
      </c>
      <c r="Z54" s="235"/>
      <c r="AB54" s="146">
        <f>+IF(AB53&gt;$G$13+$G$14,XX,AB53+1)</f>
        <v>2046</v>
      </c>
      <c r="AC54" s="117"/>
      <c r="AD54" s="151">
        <f t="shared" si="16"/>
        <v>818776.75416000001</v>
      </c>
      <c r="AF54" s="154">
        <f t="shared" si="17"/>
        <v>165.05036059683721</v>
      </c>
      <c r="AH54" s="154">
        <f t="shared" si="18"/>
        <v>34.579129234287514</v>
      </c>
      <c r="AJ54" s="154">
        <f t="shared" si="19"/>
        <v>3.9775568007672573</v>
      </c>
      <c r="AL54" s="153">
        <f t="shared" si="20"/>
        <v>30000.510493733298</v>
      </c>
      <c r="AN54" s="154">
        <f>INDEX('(2.2)_Forward_Price_Curve'!$L:$L,MATCH($AB54,'(2.2)_Forward_Price_Curve'!$C:$C,0),1)</f>
        <v>8.3438879242300033</v>
      </c>
      <c r="AP54" s="154">
        <f t="shared" si="21"/>
        <v>54.242771161758284</v>
      </c>
      <c r="AR54" s="154">
        <f t="shared" si="22"/>
        <v>4.1058565612640141</v>
      </c>
      <c r="AS54" s="154"/>
      <c r="AT54" s="153">
        <f t="shared" si="23"/>
        <v>18898.745089202341</v>
      </c>
      <c r="AV54" s="153">
        <f t="shared" si="24"/>
        <v>47774.500016746388</v>
      </c>
      <c r="AW54" s="273"/>
      <c r="AX54" s="155">
        <f t="shared" si="25"/>
        <v>66673.245105948736</v>
      </c>
      <c r="AZ54" s="146">
        <f>+IF(AZ53&gt;$G$13+$G$14,XX,AZ53+1)</f>
        <v>2046</v>
      </c>
      <c r="BA54" s="117"/>
      <c r="BB54" s="154">
        <f t="shared" si="26"/>
        <v>105.58551771061781</v>
      </c>
      <c r="BD54" s="154">
        <f t="shared" si="27"/>
        <v>11.895124692654585</v>
      </c>
      <c r="BF54" s="153">
        <f t="shared" si="28"/>
        <v>11101.765404530957</v>
      </c>
      <c r="BH54" s="157"/>
    </row>
    <row r="55" spans="2:60" ht="12">
      <c r="B55" s="2"/>
      <c r="C55">
        <f>+IF(C54&gt;$G$13+$G$14,XX,C54+1)</f>
        <v>2047</v>
      </c>
      <c r="E55" s="169">
        <f>'(2.2)_Forward_Price_Curve'!T61</f>
        <v>2.1999999999999999E-2</v>
      </c>
      <c r="G55" s="18">
        <v>818776.75416000001</v>
      </c>
      <c r="I55" s="28">
        <f t="shared" si="10"/>
        <v>106.44798094271442</v>
      </c>
      <c r="K55" s="28">
        <f t="shared" si="10"/>
        <v>1.8391554365950047</v>
      </c>
      <c r="M55" s="28">
        <f t="shared" si="11"/>
        <v>0</v>
      </c>
      <c r="O55" s="270">
        <f>'(2.2)_Forward_Price_Curve'!AC61</f>
        <v>2.0468358206182615</v>
      </c>
      <c r="Q55" s="28">
        <v>0</v>
      </c>
      <c r="S55" s="18">
        <f t="shared" si="12"/>
        <v>29772.464947765278</v>
      </c>
      <c r="U55" s="18">
        <f t="shared" si="13"/>
        <v>68140.056498279606</v>
      </c>
      <c r="W55" s="18">
        <f t="shared" si="14"/>
        <v>-38367.591550514328</v>
      </c>
      <c r="Y55" s="271">
        <f t="shared" si="15"/>
        <v>-46.859649294607088</v>
      </c>
      <c r="Z55" s="235"/>
      <c r="AB55" s="146">
        <f>+IF(AB54&gt;$G$13+$G$14,XX,AB54+1)</f>
        <v>2047</v>
      </c>
      <c r="AC55" s="117"/>
      <c r="AD55" s="151">
        <f t="shared" si="16"/>
        <v>818776.75416000001</v>
      </c>
      <c r="AF55" s="154">
        <f t="shared" si="17"/>
        <v>168.68146852996762</v>
      </c>
      <c r="AH55" s="154">
        <f t="shared" si="18"/>
        <v>35.339870077441837</v>
      </c>
      <c r="AJ55" s="154">
        <f t="shared" si="19"/>
        <v>4.0650630503841372</v>
      </c>
      <c r="AL55" s="153">
        <f t="shared" si="20"/>
        <v>30660.521724595434</v>
      </c>
      <c r="AN55" s="154">
        <f>INDEX('(2.2)_Forward_Price_Curve'!$L:$L,MATCH($AB55,'(2.2)_Forward_Price_Curve'!$C:$C,0),1)</f>
        <v>8.5274534585630644</v>
      </c>
      <c r="AP55" s="154">
        <f t="shared" si="21"/>
        <v>55.436112127316967</v>
      </c>
      <c r="AR55" s="154">
        <f t="shared" si="22"/>
        <v>4.1961854056118222</v>
      </c>
      <c r="AS55" s="154"/>
      <c r="AT55" s="153">
        <f t="shared" si="23"/>
        <v>19314.517481164796</v>
      </c>
      <c r="AV55" s="153">
        <f t="shared" si="24"/>
        <v>48825.53901711481</v>
      </c>
      <c r="AW55" s="273"/>
      <c r="AX55" s="155">
        <f t="shared" si="25"/>
        <v>68140.056498279606</v>
      </c>
      <c r="AZ55" s="146">
        <f>+IF(AZ54&gt;$G$13+$G$14,XX,AZ54+1)</f>
        <v>2047</v>
      </c>
      <c r="BA55" s="117"/>
      <c r="BB55" s="154">
        <f t="shared" si="26"/>
        <v>107.9083991002514</v>
      </c>
      <c r="BD55" s="154">
        <f t="shared" si="27"/>
        <v>12.156817435892986</v>
      </c>
      <c r="BF55" s="153">
        <f t="shared" si="28"/>
        <v>11346.004243430638</v>
      </c>
      <c r="BH55" s="157"/>
    </row>
    <row r="56" spans="2:60" ht="12">
      <c r="B56" s="2"/>
      <c r="C56">
        <f>+IF(C55&gt;$G$13+$G$14,XX,C55+1)</f>
        <v>2048</v>
      </c>
      <c r="E56" s="169">
        <f>'(2.2)_Forward_Price_Curve'!T62</f>
        <v>2.1999999999999999E-2</v>
      </c>
      <c r="G56" s="18">
        <v>818776.75416000001</v>
      </c>
      <c r="I56" s="28">
        <f t="shared" si="10"/>
        <v>108.78983652345414</v>
      </c>
      <c r="K56" s="28">
        <f t="shared" si="10"/>
        <v>1.8796168562000948</v>
      </c>
      <c r="M56" s="28">
        <f t="shared" si="11"/>
        <v>0</v>
      </c>
      <c r="O56" s="270">
        <f>'(2.2)_Forward_Price_Curve'!AC62</f>
        <v>2.0909596981572163</v>
      </c>
      <c r="Q56" s="28">
        <v>0</v>
      </c>
      <c r="S56" s="18">
        <f t="shared" si="12"/>
        <v>30426.716946879318</v>
      </c>
      <c r="U56" s="18">
        <f t="shared" si="13"/>
        <v>69639.13774124175</v>
      </c>
      <c r="W56" s="18">
        <f t="shared" si="14"/>
        <v>-39212.420794362435</v>
      </c>
      <c r="Y56" s="271">
        <f t="shared" si="15"/>
        <v>-47.891468089603087</v>
      </c>
      <c r="Z56" s="235"/>
      <c r="AB56" s="146">
        <f>+IF(AB55&gt;$G$13+$G$14,XX,AB55+1)</f>
        <v>2048</v>
      </c>
      <c r="AC56" s="117"/>
      <c r="AD56" s="151">
        <f t="shared" si="16"/>
        <v>818776.75416000001</v>
      </c>
      <c r="AF56" s="154">
        <f t="shared" si="17"/>
        <v>172.39246083762691</v>
      </c>
      <c r="AH56" s="154">
        <f t="shared" si="18"/>
        <v>36.117347219145557</v>
      </c>
      <c r="AJ56" s="154">
        <f t="shared" si="19"/>
        <v>4.1544944374925885</v>
      </c>
      <c r="AL56" s="153">
        <f t="shared" si="20"/>
        <v>31335.053202536536</v>
      </c>
      <c r="AN56" s="154">
        <f>INDEX('(2.2)_Forward_Price_Curve'!$L:$L,MATCH($AB56,'(2.2)_Forward_Price_Curve'!$C:$C,0),1)</f>
        <v>8.7150574346514524</v>
      </c>
      <c r="AP56" s="154">
        <f t="shared" si="21"/>
        <v>56.655706594117945</v>
      </c>
      <c r="AR56" s="154">
        <f t="shared" si="22"/>
        <v>4.2885014845352822</v>
      </c>
      <c r="AS56" s="154"/>
      <c r="AT56" s="153">
        <f t="shared" si="23"/>
        <v>19739.436865750424</v>
      </c>
      <c r="AV56" s="153">
        <f t="shared" si="24"/>
        <v>49899.700875491333</v>
      </c>
      <c r="AW56" s="273"/>
      <c r="AX56" s="155">
        <f t="shared" si="25"/>
        <v>69639.13774124175</v>
      </c>
      <c r="AZ56" s="146">
        <f>+IF(AZ55&gt;$G$13+$G$14,XX,AZ55+1)</f>
        <v>2048</v>
      </c>
      <c r="BA56" s="117"/>
      <c r="BB56" s="154">
        <f t="shared" si="26"/>
        <v>110.28238388045693</v>
      </c>
      <c r="BD56" s="154">
        <f t="shared" si="27"/>
        <v>12.424267419482632</v>
      </c>
      <c r="BF56" s="153">
        <f t="shared" si="28"/>
        <v>11595.616336786112</v>
      </c>
      <c r="BH56" s="157"/>
    </row>
    <row r="57" spans="2:60" ht="12">
      <c r="B57" s="2"/>
      <c r="C57">
        <f>+IF(C56&gt;$G$13+$G$14,XX,C56+1)</f>
        <v>2049</v>
      </c>
      <c r="E57" s="169">
        <f>'(2.2)_Forward_Price_Curve'!T63</f>
        <v>2.1999999999999999E-2</v>
      </c>
      <c r="G57" s="18">
        <v>818776.75416000001</v>
      </c>
      <c r="I57" s="28">
        <f t="shared" si="10"/>
        <v>111.18321292697013</v>
      </c>
      <c r="K57" s="28">
        <f t="shared" si="10"/>
        <v>1.9209684270364968</v>
      </c>
      <c r="M57" s="28">
        <f t="shared" si="11"/>
        <v>0</v>
      </c>
      <c r="O57" s="270">
        <f>'(2.2)_Forward_Price_Curve'!AC63</f>
        <v>2.1361590832077506</v>
      </c>
      <c r="Q57" s="28">
        <v>0</v>
      </c>
      <c r="S57" s="18">
        <f t="shared" si="12"/>
        <v>31095.44828320817</v>
      </c>
      <c r="U57" s="18">
        <f t="shared" si="13"/>
        <v>71171.198771549069</v>
      </c>
      <c r="W57" s="18">
        <f t="shared" si="14"/>
        <v>-40075.750488340898</v>
      </c>
      <c r="Y57" s="271">
        <f t="shared" si="15"/>
        <v>-48.945882115883272</v>
      </c>
      <c r="Z57" s="235"/>
      <c r="AB57" s="146">
        <f>+IF(AB56&gt;$G$13+$G$14,XX,AB56+1)</f>
        <v>2049</v>
      </c>
      <c r="AC57" s="117"/>
      <c r="AD57" s="151">
        <f t="shared" si="16"/>
        <v>818776.75416000001</v>
      </c>
      <c r="AF57" s="154">
        <f t="shared" si="17"/>
        <v>176.1850949760547</v>
      </c>
      <c r="AH57" s="154">
        <f t="shared" si="18"/>
        <v>36.911928857966757</v>
      </c>
      <c r="AJ57" s="154">
        <f t="shared" si="19"/>
        <v>4.2458933151174252</v>
      </c>
      <c r="AL57" s="153">
        <f t="shared" si="20"/>
        <v>32024.424372992333</v>
      </c>
      <c r="AN57" s="154">
        <f>INDEX('(2.2)_Forward_Price_Curve'!$L:$L,MATCH($AB57,'(2.2)_Forward_Price_Curve'!$C:$C,0),1)</f>
        <v>8.9067886982137843</v>
      </c>
      <c r="AP57" s="154">
        <f t="shared" si="21"/>
        <v>57.902132139188545</v>
      </c>
      <c r="AR57" s="154">
        <f t="shared" si="22"/>
        <v>4.3828485171950584</v>
      </c>
      <c r="AS57" s="154"/>
      <c r="AT57" s="153">
        <f t="shared" si="23"/>
        <v>20173.704476796927</v>
      </c>
      <c r="AV57" s="153">
        <f t="shared" si="24"/>
        <v>50997.494294752149</v>
      </c>
      <c r="AW57" s="273"/>
      <c r="AX57" s="155">
        <f t="shared" si="25"/>
        <v>71171.198771549069</v>
      </c>
      <c r="AZ57" s="146">
        <f>+IF(AZ56&gt;$G$13+$G$14,XX,AZ56+1)</f>
        <v>2049</v>
      </c>
      <c r="BA57" s="117"/>
      <c r="BB57" s="154">
        <f t="shared" si="26"/>
        <v>112.70859632582699</v>
      </c>
      <c r="BD57" s="154">
        <f t="shared" si="27"/>
        <v>12.69760130271125</v>
      </c>
      <c r="BF57" s="153">
        <f t="shared" si="28"/>
        <v>11850.719896195407</v>
      </c>
      <c r="BH57" s="157"/>
    </row>
    <row r="58" spans="2:60">
      <c r="B58" s="2"/>
      <c r="E58" s="169"/>
      <c r="G58" s="267"/>
      <c r="I58" s="267"/>
      <c r="K58" s="267"/>
      <c r="M58" s="267"/>
      <c r="O58" s="267"/>
      <c r="Q58" s="267"/>
      <c r="S58" s="267"/>
      <c r="U58" s="267"/>
      <c r="W58" s="267"/>
      <c r="Y58" s="267"/>
      <c r="Z58" s="235"/>
      <c r="AB58" s="2"/>
      <c r="AF58" s="274"/>
      <c r="AH58" s="274"/>
      <c r="AJ58" s="274"/>
      <c r="AL58" s="273"/>
      <c r="AN58" s="274"/>
      <c r="AP58" s="274"/>
      <c r="AR58" s="274"/>
      <c r="AS58" s="274"/>
      <c r="AT58" s="274"/>
      <c r="AV58" s="273"/>
      <c r="AW58" s="273"/>
      <c r="AX58" s="275"/>
      <c r="AZ58" s="2"/>
      <c r="BB58" s="274"/>
      <c r="BF58" s="273"/>
      <c r="BH58" s="235"/>
    </row>
    <row r="59" spans="2:60" ht="12">
      <c r="B59" s="2"/>
      <c r="C59" s="276" t="str">
        <f>G14&amp;"-year Nominal Levelized at "&amp;TEXT($G$18,"#.00%")</f>
        <v>30-year Nominal Levelized at 6.91%</v>
      </c>
      <c r="E59" s="169"/>
      <c r="G59" s="285">
        <f>+-PMT($G$18,$G$14,NPV($G$18,G28:G57))</f>
        <v>767837.5583631281</v>
      </c>
      <c r="I59" s="28">
        <f>+-PMT($G$18,$G$14,NPV($G$18,I28:I57))</f>
        <v>74.782124690295475</v>
      </c>
      <c r="J59" s="28"/>
      <c r="K59" s="28">
        <f>+-PMT($G$18,$G$14,NPV($G$18,K28:K57))</f>
        <v>1.292048472561431</v>
      </c>
      <c r="M59" s="28">
        <f>+-PMT($G$18,$G$14,NPV($G$18,M28:M57))</f>
        <v>0</v>
      </c>
      <c r="O59" s="28">
        <f>+-PMT($G$18,$G$14,NPV($G$18,O28:O57))</f>
        <v>1.4415142627138942</v>
      </c>
      <c r="Q59" s="28">
        <f>+-PMT($G$18,$G$14,NPV($G$18,Q28:Q57))</f>
        <v>-19.426225288720342</v>
      </c>
      <c r="S59" s="18">
        <f>+-PMT($G$18,$G$14,NPV($G$18,S28:S57))</f>
        <v>4902.7770679884516</v>
      </c>
      <c r="U59" s="18">
        <f>+-PMT($G$18,$G$14,NPV($G$18,U28:U57))</f>
        <v>39568.626951186539</v>
      </c>
      <c r="W59" s="18">
        <f>+-PMT($G$18,$G$14,NPV($G$18,W28:W57))</f>
        <v>-34665.849883198091</v>
      </c>
      <c r="Y59" s="271">
        <f>+-PMT($G$18,$G$14,NPV($G$18,Y28:Y57))</f>
        <v>-40.565681070494129</v>
      </c>
      <c r="Z59" s="235"/>
      <c r="AB59" s="2"/>
      <c r="AD59" s="151">
        <f>+-PMT($G$18,$G$14,NPV($G$18,AD28:AD57))</f>
        <v>767837.5583631281</v>
      </c>
      <c r="AF59" s="154">
        <f>+-PMT($G$18,$G$14,NPV($G$18,AF28:AF57))</f>
        <v>118.50256341957942</v>
      </c>
      <c r="AH59" s="154">
        <f>+-PMT($G$18,$G$14,NPV($G$18,AH28:AH57))</f>
        <v>24.827061511785093</v>
      </c>
      <c r="AJ59" s="154">
        <f>+-PMT($G$18,$G$14,NPV($G$18,AJ28:AJ57))</f>
        <v>2.8557991350849163</v>
      </c>
      <c r="AL59" s="153">
        <f>+-PMT($G$18,$G$14,NPV($G$18,AL28:AL57))</f>
        <v>21424.307951063329</v>
      </c>
      <c r="AN59" s="154">
        <f>+-PMT($G$18,$G$14,NPV($G$18,AN28:AN57))</f>
        <v>4.5924838818841298</v>
      </c>
      <c r="AP59" s="154">
        <f>+-PMT($G$18,$G$14,NPV($G$18,AP28:AP57))</f>
        <v>29.855273049115485</v>
      </c>
      <c r="AR59" s="154">
        <f>+-PMT($G$18,$G$14,NPV($G$18,AR28:AR57))</f>
        <v>2.9479155682148113</v>
      </c>
      <c r="AS59" s="154"/>
      <c r="AT59" s="153">
        <f>+-PMT($G$18,$G$14,NPV($G$18,AT28:AT57))</f>
        <v>13453.482233612986</v>
      </c>
      <c r="AV59" s="153">
        <f>+-PMT($G$18,$G$14,NPV($G$18,AV28:AV57))</f>
        <v>26115.144717573556</v>
      </c>
      <c r="AW59" s="273"/>
      <c r="AX59" s="155">
        <f>+-PMT($G$18,$G$14,NPV($G$18,AX28:AX57))</f>
        <v>39568.626951186539</v>
      </c>
      <c r="AZ59" s="2"/>
      <c r="BB59" s="154">
        <f>+-PMT($G$18,$G$14,NPV($G$18,BB28:BB57))</f>
        <v>75.80810162090232</v>
      </c>
      <c r="BD59" s="154">
        <f>+-PMT($G$18,$G$14,NPV($G$18,BD28:BD57))</f>
        <v>8.5404404036310613</v>
      </c>
      <c r="BF59" s="153">
        <f>+-PMT($G$18,$G$14,NPV($G$18,BF28:BF57))</f>
        <v>7970.8257174503415</v>
      </c>
      <c r="BH59" s="157"/>
    </row>
    <row r="60" spans="2:60">
      <c r="B60" s="2"/>
      <c r="E60" s="169"/>
      <c r="W60" s="18"/>
      <c r="Y60" s="271"/>
      <c r="Z60" s="235"/>
      <c r="AB60" s="2"/>
      <c r="AT60" s="273"/>
      <c r="AX60" s="235"/>
      <c r="AZ60" s="2"/>
      <c r="BH60" s="235"/>
    </row>
    <row r="61" spans="2:60">
      <c r="B61" s="238"/>
      <c r="C61" s="277"/>
      <c r="D61" s="277"/>
      <c r="E61" s="278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39"/>
      <c r="AB61" s="238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77"/>
      <c r="AP61" s="277"/>
      <c r="AQ61" s="277"/>
      <c r="AR61" s="277"/>
      <c r="AS61" s="277"/>
      <c r="AT61" s="277"/>
      <c r="AU61" s="277"/>
      <c r="AV61" s="277"/>
      <c r="AW61" s="277"/>
      <c r="AX61" s="239"/>
      <c r="AZ61" s="238"/>
      <c r="BA61" s="277"/>
      <c r="BB61" s="277"/>
      <c r="BC61" s="277"/>
      <c r="BD61" s="277"/>
      <c r="BE61" s="277"/>
      <c r="BF61" s="277"/>
      <c r="BG61" s="277"/>
      <c r="BH61" s="239"/>
    </row>
    <row r="62" spans="2:60">
      <c r="E62" s="169"/>
    </row>
    <row r="63" spans="2:60">
      <c r="E63" s="169"/>
      <c r="G63" s="18"/>
      <c r="I63" s="18"/>
      <c r="K63" s="18"/>
      <c r="O63" s="18"/>
      <c r="Q63" s="18"/>
      <c r="S63" s="18"/>
      <c r="U63" s="18"/>
      <c r="W63" s="18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</sheetData>
  <pageMargins left="0.25" right="0.25" top="0.25" bottom="0.75" header="0.3" footer="0.3"/>
  <pageSetup paperSize="5" scale="46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C9661-5250-44D7-9FBA-3E1E680CF6F0}">
  <sheetPr>
    <tabColor theme="8" tint="0.79998168889431442"/>
    <pageSetUpPr fitToPage="1"/>
  </sheetPr>
  <dimension ref="A1:BH87"/>
  <sheetViews>
    <sheetView zoomScaleNormal="100"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399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383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41.4</v>
      </c>
      <c r="H11" s="252"/>
      <c r="AB11" s="122" t="s">
        <v>99</v>
      </c>
      <c r="AC11" s="123"/>
      <c r="AD11" s="123"/>
      <c r="AE11" s="123"/>
      <c r="AF11" s="281">
        <f>+G11*(G12/AJ16)</f>
        <v>29.416103896103898</v>
      </c>
      <c r="AG11" s="127"/>
      <c r="AH11" s="123" t="s">
        <v>100</v>
      </c>
      <c r="AI11" s="124"/>
      <c r="AJ11" s="166">
        <f>'(2.1)_Proxy Resources'!N27</f>
        <v>0</v>
      </c>
      <c r="AK11" s="235"/>
      <c r="AZ11" s="122" t="s">
        <v>99</v>
      </c>
      <c r="BA11" s="123"/>
      <c r="BB11" s="123"/>
      <c r="BC11" s="123"/>
      <c r="BD11" s="134">
        <f>(AF11*AF13-G11*G19)</f>
        <v>16.288163896103899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0.4924</v>
      </c>
      <c r="H12" s="252"/>
      <c r="AB12" s="122" t="s">
        <v>32</v>
      </c>
      <c r="AC12" s="123"/>
      <c r="AD12" s="123"/>
      <c r="AE12" s="123"/>
      <c r="AF12" s="131">
        <f>+AD61/8760/AF11</f>
        <v>0.67096733505843031</v>
      </c>
      <c r="AG12" s="127"/>
      <c r="AH12" s="117" t="s">
        <v>101</v>
      </c>
      <c r="AI12" s="118"/>
      <c r="AJ12" s="117">
        <v>2020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2020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Resources'!O27</f>
        <v>1.7351577164690211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31</v>
      </c>
      <c r="H14" s="252"/>
      <c r="AB14" s="122" t="s">
        <v>104</v>
      </c>
      <c r="AC14" s="123"/>
      <c r="AD14" s="123"/>
      <c r="AE14" s="123"/>
      <c r="AF14" s="134">
        <f>'(2.1)_Proxy Resources'!H27</f>
        <v>6765.2189490344426</v>
      </c>
      <c r="AG14" s="127"/>
      <c r="AH14" s="117" t="s">
        <v>148</v>
      </c>
      <c r="AI14" s="118"/>
      <c r="AJ14" s="166">
        <v>0</v>
      </c>
      <c r="AK14" s="235"/>
      <c r="AZ14" s="122" t="s">
        <v>192</v>
      </c>
      <c r="BA14" s="123"/>
      <c r="BB14" s="123"/>
      <c r="BC14" s="123"/>
      <c r="BD14" s="167">
        <f>'(2.1)_Proxy Resources'!J28</f>
        <v>840.91285033496422</v>
      </c>
      <c r="BE14" s="132"/>
    </row>
    <row r="15" spans="1:57" ht="12">
      <c r="A15" t="s">
        <v>398</v>
      </c>
      <c r="B15" s="250"/>
      <c r="C15" s="231" t="s">
        <v>107</v>
      </c>
      <c r="D15" s="231"/>
      <c r="E15" s="231"/>
      <c r="F15" s="231"/>
      <c r="G15" s="283">
        <v>1645.181111111111</v>
      </c>
      <c r="H15" s="252"/>
      <c r="AB15" s="122" t="s">
        <v>407</v>
      </c>
      <c r="AC15" s="123"/>
      <c r="AD15" s="123"/>
      <c r="AE15" s="123"/>
      <c r="AF15" s="167">
        <f>'(2.1)_Proxy Resources'!J27</f>
        <v>1178.7351394978784</v>
      </c>
      <c r="AG15" s="127"/>
      <c r="AH15" s="117" t="s">
        <v>145</v>
      </c>
      <c r="AI15" s="118"/>
      <c r="AJ15" s="166">
        <f>'(2.1)_Proxy Resources'!P27</f>
        <v>2.2801979468056448</v>
      </c>
      <c r="AK15" s="235"/>
      <c r="AZ15" s="122" t="s">
        <v>108</v>
      </c>
      <c r="BA15" s="123"/>
      <c r="BB15" s="123"/>
      <c r="BC15" s="123"/>
      <c r="BD15" s="136">
        <f>'(2.1)_Proxy Resources'!K28</f>
        <v>7.0491123651898399E-2</v>
      </c>
      <c r="BE15" s="132"/>
    </row>
    <row r="16" spans="1:57" ht="12">
      <c r="A16" t="s">
        <v>398</v>
      </c>
      <c r="B16" s="250"/>
      <c r="C16" s="231" t="s">
        <v>109</v>
      </c>
      <c r="D16" s="231"/>
      <c r="E16" s="231"/>
      <c r="F16" s="231"/>
      <c r="G16" s="283">
        <f>AVERAGE(K28:K58)</f>
        <v>48.925394060226381</v>
      </c>
      <c r="H16" s="252"/>
      <c r="AB16" s="122" t="s">
        <v>108</v>
      </c>
      <c r="AC16" s="123"/>
      <c r="AD16" s="123"/>
      <c r="AE16" s="123"/>
      <c r="AF16" s="136">
        <f>'(2.1)_Proxy Resources'!K26</f>
        <v>6.88618281225582E-2</v>
      </c>
      <c r="AG16" s="127"/>
      <c r="AH16" s="117" t="s">
        <v>110</v>
      </c>
      <c r="AI16" s="124"/>
      <c r="AJ16" s="137">
        <f>'(2.1)_Proxy Resources'!D27</f>
        <v>0.69299999999999995</v>
      </c>
      <c r="AK16" s="235"/>
      <c r="AZ16" s="122" t="s">
        <v>100</v>
      </c>
      <c r="BA16" s="124"/>
      <c r="BB16" s="166">
        <f>'(2.1)_Proxy Resources'!O28</f>
        <v>19.289906914696203</v>
      </c>
      <c r="BE16" s="130"/>
    </row>
    <row r="17" spans="1:60" ht="12">
      <c r="A17" t="s">
        <v>398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2020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'(2.2)_Forward_Price_Curve'!AA10</f>
        <v>6.88E-2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'(2.2)_Forward_Price_Curve'!M103</f>
        <v>0.31709999999999999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2020</v>
      </c>
      <c r="E28" s="169">
        <f>'(2.2)_Forward_Price_Curve'!R38</f>
        <v>1.2999999999999999E-2</v>
      </c>
      <c r="G28" s="18">
        <v>76162.34433254636</v>
      </c>
      <c r="I28" s="28">
        <v>96.016660508842577</v>
      </c>
      <c r="K28" s="28">
        <v>28.506817627006615</v>
      </c>
      <c r="L28" s="269"/>
      <c r="M28" s="268">
        <f>$G$17</f>
        <v>0</v>
      </c>
      <c r="O28" s="270">
        <f>'(2.2)_Forward_Price_Curve'!AF38</f>
        <v>1.3</v>
      </c>
      <c r="Q28" s="28">
        <v>-26.304499134789587</v>
      </c>
      <c r="S28" s="18">
        <f>(I28*$G$11*1000+(K28+M28+O28+Q28)*G28)/1000</f>
        <v>4241.8345320325607</v>
      </c>
      <c r="U28" s="18">
        <f t="shared" ref="U28:U57" si="0">AX28</f>
        <v>2507.3510752558968</v>
      </c>
      <c r="W28" s="18">
        <f t="shared" ref="W28:W57" si="1">S28-U28</f>
        <v>1734.4834567766638</v>
      </c>
      <c r="Y28" s="271">
        <f>+W28*1000/G28</f>
        <v>22.773504045561126</v>
      </c>
      <c r="Z28" s="235"/>
      <c r="AB28" s="146">
        <f>$C$28</f>
        <v>2020</v>
      </c>
      <c r="AC28" s="117"/>
      <c r="AD28" s="151">
        <f t="shared" ref="AD28:AD57" si="2">G28</f>
        <v>76162.34433254636</v>
      </c>
      <c r="AF28" s="152">
        <f>$AF$15*$AF$16*(1+E28)</f>
        <v>82.225064713638147</v>
      </c>
      <c r="AG28" s="272"/>
      <c r="AH28" s="152">
        <f>$AJ$11*(1+E28)</f>
        <v>0</v>
      </c>
      <c r="AI28" s="272"/>
      <c r="AJ28" s="152">
        <f>$AJ$13*(1+E28)</f>
        <v>1.7577147667831181</v>
      </c>
      <c r="AK28" s="272"/>
      <c r="AL28" s="153">
        <f>((AF28+AH28)*$AF$11*1000+AJ28*AD28)/1000</f>
        <v>2552.6127237863834</v>
      </c>
      <c r="AN28" s="154">
        <f>INDEX('(2.2)_Forward_Price_Curve'!$M:$M,MATCH($AB28,'(2.2)_Forward_Price_Curve'!$C:$C,0),1)</f>
        <v>2.0866575313976594</v>
      </c>
      <c r="AO28" s="279"/>
      <c r="AP28" s="154">
        <f>AN28*$AF$14/1000+$AJ$14/(1+E29)</f>
        <v>14.116695071556878</v>
      </c>
      <c r="AQ28" s="272"/>
      <c r="AR28" s="152">
        <f>$AJ$15*(1+E28)</f>
        <v>2.3098405201141179</v>
      </c>
      <c r="AS28" s="152"/>
      <c r="AT28" s="153">
        <f t="shared" ref="AT28:AT57" si="3">AL28-BF28</f>
        <v>1256.2676153322227</v>
      </c>
      <c r="AU28" s="272"/>
      <c r="AV28" s="153">
        <f t="shared" ref="AV28:AV57" si="4">(AP28+AR28)*AD28/1000</f>
        <v>1251.0834599236744</v>
      </c>
      <c r="AW28" s="273"/>
      <c r="AX28" s="155">
        <f>AT28+AV28</f>
        <v>2507.3510752558968</v>
      </c>
      <c r="AZ28" s="146">
        <f>$C$28</f>
        <v>2020</v>
      </c>
      <c r="BA28" s="117"/>
      <c r="BB28" s="152">
        <f>$BD$14*$BD$15*(1+E28)</f>
        <v>60.047491305706906</v>
      </c>
      <c r="BD28" s="152">
        <f>$BB$16*(1+E28)</f>
        <v>19.540675704587251</v>
      </c>
      <c r="BE28" s="272"/>
      <c r="BF28" s="153">
        <f>(BB28+BD28)*$BD$11</f>
        <v>1296.3451084541607</v>
      </c>
      <c r="BG28" s="272"/>
      <c r="BH28" s="156"/>
    </row>
    <row r="29" spans="1:60" ht="12">
      <c r="B29" s="2"/>
      <c r="C29">
        <f>+IF(C28&gt;$G$13+$G$14,XX,C28+1)</f>
        <v>2021</v>
      </c>
      <c r="E29" s="169">
        <f>'(2.2)_Forward_Price_Curve'!R39</f>
        <v>0.04</v>
      </c>
      <c r="G29" s="18">
        <v>181300</v>
      </c>
      <c r="I29" s="28">
        <v>98.148230372138869</v>
      </c>
      <c r="K29" s="28">
        <v>40.981464993867725</v>
      </c>
      <c r="M29" s="28">
        <f>M28*(1+$E29)</f>
        <v>0</v>
      </c>
      <c r="O29" s="270">
        <f>'(2.2)_Forward_Price_Curve'!AF39</f>
        <v>1.3520000000000001</v>
      </c>
      <c r="Q29" s="28">
        <v>-34.476814342354764</v>
      </c>
      <c r="S29" s="18">
        <f t="shared" ref="S29:S57" si="5">(I29*$G$11*1000+(K29+M29+O29+Q29)*G29)/1000</f>
        <v>5487.7475005258484</v>
      </c>
      <c r="U29" s="18">
        <f t="shared" si="0"/>
        <v>5400.854186389005</v>
      </c>
      <c r="W29" s="18">
        <f t="shared" si="1"/>
        <v>86.893314136843401</v>
      </c>
      <c r="Y29" s="271">
        <f t="shared" ref="Y29:Y57" si="6">+W29*1000/G29</f>
        <v>0.47927917339681964</v>
      </c>
      <c r="Z29" s="235"/>
      <c r="AB29" s="146">
        <f>+IF(AB28&gt;$G$13+$G$14,XX,AB28+1)</f>
        <v>2021</v>
      </c>
      <c r="AC29" s="117"/>
      <c r="AD29" s="151">
        <f t="shared" si="2"/>
        <v>181300</v>
      </c>
      <c r="AF29" s="154">
        <f>AF28*(1+$E29)</f>
        <v>85.514067302183676</v>
      </c>
      <c r="AH29" s="154">
        <f>AH28*(1+$E29)</f>
        <v>0</v>
      </c>
      <c r="AJ29" s="154">
        <f>AJ28*(1+$E29)</f>
        <v>1.8280233574544429</v>
      </c>
      <c r="AL29" s="153">
        <f t="shared" ref="AL29:AL57" si="7">((AF29+AH29)*$AF$11*1000+AJ29*AD29)/1000</f>
        <v>2846.9113230459466</v>
      </c>
      <c r="AN29" s="154">
        <f>INDEX('(2.2)_Forward_Price_Curve'!$M:$M,MATCH($AB29,'(2.2)_Forward_Price_Curve'!$C:$C,0),1)</f>
        <v>2.8263514700353407</v>
      </c>
      <c r="AP29" s="154">
        <f>AN29*$AF$14/1000+$AJ$14</f>
        <v>19.120886521714443</v>
      </c>
      <c r="AR29" s="154">
        <f>AR28*(1+$E29)</f>
        <v>2.4022341409186825</v>
      </c>
      <c r="AS29" s="154"/>
      <c r="AT29" s="153">
        <f t="shared" si="3"/>
        <v>1498.7124102536193</v>
      </c>
      <c r="AV29" s="153">
        <f t="shared" si="4"/>
        <v>3902.1417761353855</v>
      </c>
      <c r="AW29" s="273"/>
      <c r="AX29" s="155">
        <f t="shared" ref="AX29:AX57" si="8">AT29+AV29</f>
        <v>5400.854186389005</v>
      </c>
      <c r="AZ29" s="146">
        <f>+IF(AZ28&gt;$G$13+$G$14,XX,AZ28+1)</f>
        <v>2021</v>
      </c>
      <c r="BA29" s="117"/>
      <c r="BB29" s="154">
        <f>BB28*(1+$E29)</f>
        <v>62.449390957935186</v>
      </c>
      <c r="BD29" s="154">
        <f>BD28*(1+$E29)</f>
        <v>20.322302732770741</v>
      </c>
      <c r="BF29" s="153">
        <f t="shared" ref="BF29:BF57" si="9">(BB29+BD29)*$BD$11</f>
        <v>1348.1989127923273</v>
      </c>
      <c r="BH29" s="157"/>
    </row>
    <row r="30" spans="1:60" ht="12">
      <c r="B30" s="2"/>
      <c r="C30">
        <f>+IF(C29&gt;$G$13+$G$14,XX,C29+1)</f>
        <v>2022</v>
      </c>
      <c r="E30" s="169">
        <f>'(2.2)_Forward_Price_Curve'!R40</f>
        <v>2.5000000000000001E-2</v>
      </c>
      <c r="G30" s="18">
        <v>181300</v>
      </c>
      <c r="I30" s="28">
        <v>100.32712108640035</v>
      </c>
      <c r="K30" s="28">
        <v>41.844272427445524</v>
      </c>
      <c r="M30" s="28">
        <f t="shared" ref="M30:M57" si="10">M29*(1+$E30)</f>
        <v>0</v>
      </c>
      <c r="O30" s="270">
        <f>'(2.2)_Forward_Price_Curve'!AF40</f>
        <v>1.3857999999999999</v>
      </c>
      <c r="Q30" s="28">
        <v>-34.476814342354764</v>
      </c>
      <c r="S30" s="18">
        <f t="shared" si="5"/>
        <v>5740.5085038039306</v>
      </c>
      <c r="U30" s="18">
        <f t="shared" si="0"/>
        <v>5201.4841862715703</v>
      </c>
      <c r="W30" s="18">
        <f t="shared" si="1"/>
        <v>539.02431753236033</v>
      </c>
      <c r="Y30" s="271">
        <f t="shared" si="6"/>
        <v>2.9731071016677348</v>
      </c>
      <c r="Z30" s="235"/>
      <c r="AB30" s="146">
        <f>+IF(AB29&gt;$G$13+$G$14,XX,AB29+1)</f>
        <v>2022</v>
      </c>
      <c r="AC30" s="117"/>
      <c r="AD30" s="151">
        <f t="shared" si="2"/>
        <v>181300</v>
      </c>
      <c r="AF30" s="154">
        <f t="shared" ref="AF30:AF58" si="11">AF29*(1+$E30)</f>
        <v>87.651918984738259</v>
      </c>
      <c r="AH30" s="154">
        <f t="shared" ref="AH30:AH58" si="12">AH29*(1+$E30)</f>
        <v>0</v>
      </c>
      <c r="AJ30" s="154">
        <f t="shared" ref="AJ30:AJ58" si="13">AJ29*(1+$E30)</f>
        <v>1.8737239413908038</v>
      </c>
      <c r="AL30" s="153">
        <f t="shared" si="7"/>
        <v>2918.0841061220954</v>
      </c>
      <c r="AN30" s="154">
        <f>INDEX('(2.2)_Forward_Price_Curve'!$M:$M,MATCH($AB30,'(2.2)_Forward_Price_Curve'!$C:$C,0),1)</f>
        <v>2.6243791666666665</v>
      </c>
      <c r="AP30" s="154">
        <f t="shared" ref="AP30:AP57" si="14">AN30*$AF$14/1000+$AJ$14</f>
        <v>17.75449966778455</v>
      </c>
      <c r="AR30" s="154">
        <f t="shared" ref="AR30:AR58" si="15">AR29*(1+$E30)</f>
        <v>2.4622899944416492</v>
      </c>
      <c r="AS30" s="154"/>
      <c r="AT30" s="153">
        <f t="shared" si="3"/>
        <v>1536.18022050996</v>
      </c>
      <c r="AV30" s="153">
        <f t="shared" si="4"/>
        <v>3665.30396576161</v>
      </c>
      <c r="AW30" s="273"/>
      <c r="AX30" s="155">
        <f t="shared" si="8"/>
        <v>5201.4841862715703</v>
      </c>
      <c r="AZ30" s="146">
        <f>+IF(AZ29&gt;$G$13+$G$14,XX,AZ29+1)</f>
        <v>2022</v>
      </c>
      <c r="BA30" s="117"/>
      <c r="BB30" s="154">
        <f t="shared" ref="BB30:BB58" si="16">BB29*(1+$E30)</f>
        <v>64.010625731883565</v>
      </c>
      <c r="BD30" s="154">
        <f t="shared" ref="BD30:BD58" si="17">BD29*(1+$E30)</f>
        <v>20.830360301090007</v>
      </c>
      <c r="BF30" s="153">
        <f t="shared" si="9"/>
        <v>1381.9038856121354</v>
      </c>
      <c r="BH30" s="157"/>
    </row>
    <row r="31" spans="1:60" ht="12">
      <c r="B31" s="2"/>
      <c r="C31">
        <f>+IF(C30&gt;$G$13+$G$14,XX,C30+1)</f>
        <v>2023</v>
      </c>
      <c r="E31" s="169">
        <f>'(2.2)_Forward_Price_Curve'!R41</f>
        <v>1.9E-2</v>
      </c>
      <c r="G31" s="18">
        <v>181300</v>
      </c>
      <c r="I31" s="28">
        <v>102.55438317451845</v>
      </c>
      <c r="K31" s="28">
        <v>42.763595498388582</v>
      </c>
      <c r="M31" s="28">
        <f t="shared" si="10"/>
        <v>0</v>
      </c>
      <c r="O31" s="270">
        <f>'(2.2)_Forward_Price_Curve'!AF41</f>
        <v>1.4121301999999998</v>
      </c>
      <c r="Q31" s="28">
        <v>-35.802845663214555</v>
      </c>
      <c r="S31" s="18">
        <f t="shared" si="5"/>
        <v>5763.7546138021144</v>
      </c>
      <c r="U31" s="18">
        <f t="shared" si="0"/>
        <v>5117.7186773177127</v>
      </c>
      <c r="W31" s="18">
        <f t="shared" si="1"/>
        <v>646.03593648440165</v>
      </c>
      <c r="Y31" s="271">
        <f t="shared" si="6"/>
        <v>3.5633532073050285</v>
      </c>
      <c r="Z31" s="235"/>
      <c r="AB31" s="146">
        <f>+IF(AB30&gt;$G$13+$G$14,XX,AB30+1)</f>
        <v>2023</v>
      </c>
      <c r="AC31" s="117"/>
      <c r="AD31" s="151">
        <f t="shared" si="2"/>
        <v>181300</v>
      </c>
      <c r="AF31" s="154">
        <f t="shared" si="11"/>
        <v>89.317305445448284</v>
      </c>
      <c r="AH31" s="154">
        <f t="shared" si="12"/>
        <v>0</v>
      </c>
      <c r="AJ31" s="154">
        <f t="shared" si="13"/>
        <v>1.9093246962772288</v>
      </c>
      <c r="AL31" s="153">
        <f t="shared" si="7"/>
        <v>2973.5277041384143</v>
      </c>
      <c r="AN31" s="154">
        <f>INDEX('(2.2)_Forward_Price_Curve'!$M:$M,MATCH($AB31,'(2.2)_Forward_Price_Curve'!$C:$C,0),1)</f>
        <v>2.5253727272727273</v>
      </c>
      <c r="AP31" s="154">
        <f t="shared" si="14"/>
        <v>17.084699427920246</v>
      </c>
      <c r="AR31" s="154">
        <f t="shared" si="15"/>
        <v>2.5090735043360404</v>
      </c>
      <c r="AS31" s="154"/>
      <c r="AT31" s="153">
        <f t="shared" si="3"/>
        <v>1565.3676446996485</v>
      </c>
      <c r="AV31" s="153">
        <f t="shared" si="4"/>
        <v>3552.3510326180644</v>
      </c>
      <c r="AW31" s="273"/>
      <c r="AX31" s="155">
        <f t="shared" si="8"/>
        <v>5117.7186773177127</v>
      </c>
      <c r="AZ31" s="146">
        <f>+IF(AZ30&gt;$G$13+$G$14,XX,AZ30+1)</f>
        <v>2023</v>
      </c>
      <c r="BA31" s="117"/>
      <c r="BB31" s="154">
        <f t="shared" si="16"/>
        <v>65.226827620789351</v>
      </c>
      <c r="BD31" s="154">
        <f t="shared" si="17"/>
        <v>21.226137146810714</v>
      </c>
      <c r="BF31" s="153">
        <f t="shared" si="9"/>
        <v>1408.1600594387658</v>
      </c>
      <c r="BH31" s="157"/>
    </row>
    <row r="32" spans="1:60" ht="12">
      <c r="B32" s="2"/>
      <c r="C32">
        <f>+IF(C31&gt;$G$13+$G$14,XX,C31+1)</f>
        <v>2024</v>
      </c>
      <c r="E32" s="169">
        <f>'(2.2)_Forward_Price_Curve'!R42</f>
        <v>2.1999999999999999E-2</v>
      </c>
      <c r="G32" s="18">
        <v>181300</v>
      </c>
      <c r="I32" s="28">
        <v>104.83109048099273</v>
      </c>
      <c r="K32" s="28">
        <v>43.664080081397437</v>
      </c>
      <c r="M32" s="28">
        <f t="shared" si="10"/>
        <v>0</v>
      </c>
      <c r="O32" s="270">
        <f>'(2.2)_Forward_Price_Curve'!AF42</f>
        <v>1.4431970643999998</v>
      </c>
      <c r="Q32" s="28">
        <v>-35.802845663214555</v>
      </c>
      <c r="S32" s="18">
        <f t="shared" si="5"/>
        <v>6026.9005737053758</v>
      </c>
      <c r="U32" s="18">
        <f t="shared" si="0"/>
        <v>5430.4869305925231</v>
      </c>
      <c r="W32" s="18">
        <f t="shared" si="1"/>
        <v>596.4136431128527</v>
      </c>
      <c r="Y32" s="271">
        <f t="shared" si="6"/>
        <v>3.2896505411630046</v>
      </c>
      <c r="Z32" s="235"/>
      <c r="AB32" s="146">
        <f>+IF(AB31&gt;$G$13+$G$14,XX,AB31+1)</f>
        <v>2024</v>
      </c>
      <c r="AC32" s="117"/>
      <c r="AD32" s="151">
        <f t="shared" si="2"/>
        <v>181300</v>
      </c>
      <c r="AF32" s="154">
        <f t="shared" si="11"/>
        <v>91.282286165248152</v>
      </c>
      <c r="AH32" s="154">
        <f t="shared" si="12"/>
        <v>0</v>
      </c>
      <c r="AJ32" s="154">
        <f t="shared" si="13"/>
        <v>1.9513298395953278</v>
      </c>
      <c r="AL32" s="153">
        <f t="shared" si="7"/>
        <v>3038.9453136294601</v>
      </c>
      <c r="AN32" s="154">
        <f>INDEX('(2.2)_Forward_Price_Curve'!$M:$M,MATCH($AB32,'(2.2)_Forward_Price_Curve'!$C:$C,0),1)</f>
        <v>2.7441374999999995</v>
      </c>
      <c r="AP32" s="154">
        <f t="shared" si="14"/>
        <v>18.564691013756001</v>
      </c>
      <c r="AR32" s="154">
        <f t="shared" si="15"/>
        <v>2.5642731214314334</v>
      </c>
      <c r="AS32" s="154"/>
      <c r="AT32" s="153">
        <f t="shared" si="3"/>
        <v>1599.8057328830416</v>
      </c>
      <c r="AV32" s="153">
        <f t="shared" si="4"/>
        <v>3830.6811977094817</v>
      </c>
      <c r="AW32" s="273"/>
      <c r="AX32" s="155">
        <f t="shared" si="8"/>
        <v>5430.4869305925231</v>
      </c>
      <c r="AZ32" s="146">
        <f>+IF(AZ31&gt;$G$13+$G$14,XX,AZ31+1)</f>
        <v>2024</v>
      </c>
      <c r="BA32" s="117"/>
      <c r="BB32" s="154">
        <f t="shared" si="16"/>
        <v>66.661817828446715</v>
      </c>
      <c r="BD32" s="154">
        <f t="shared" si="17"/>
        <v>21.693112164040549</v>
      </c>
      <c r="BF32" s="153">
        <f t="shared" si="9"/>
        <v>1439.1395807464185</v>
      </c>
      <c r="BH32" s="157"/>
    </row>
    <row r="33" spans="2:60" ht="12">
      <c r="B33" s="2"/>
      <c r="C33">
        <f>+IF(C32&gt;$G$13+$G$14,XX,C32+1)</f>
        <v>2025</v>
      </c>
      <c r="E33" s="169">
        <f>'(2.2)_Forward_Price_Curve'!R43</f>
        <v>2.3E-2</v>
      </c>
      <c r="G33" s="18">
        <v>181300</v>
      </c>
      <c r="I33" s="28">
        <v>107.15834068967078</v>
      </c>
      <c r="K33" s="28">
        <v>44.624847999358394</v>
      </c>
      <c r="M33" s="28">
        <f t="shared" si="10"/>
        <v>0</v>
      </c>
      <c r="O33" s="270">
        <f>'(2.2)_Forward_Price_Curve'!AF43</f>
        <v>1.4763905968811997</v>
      </c>
      <c r="Q33" s="28">
        <v>-37.128876984074367</v>
      </c>
      <c r="S33" s="18">
        <f t="shared" si="5"/>
        <v>6063.0444648379271</v>
      </c>
      <c r="U33" s="18">
        <f t="shared" si="0"/>
        <v>5885.7109654228088</v>
      </c>
      <c r="W33" s="18">
        <f t="shared" si="1"/>
        <v>177.33349941511824</v>
      </c>
      <c r="Y33" s="271">
        <f t="shared" si="6"/>
        <v>0.97812189418156781</v>
      </c>
      <c r="Z33" s="235"/>
      <c r="AB33" s="146">
        <f>+IF(AB32&gt;$G$13+$G$14,XX,AB32+1)</f>
        <v>2025</v>
      </c>
      <c r="AC33" s="117"/>
      <c r="AD33" s="151">
        <f t="shared" si="2"/>
        <v>181300</v>
      </c>
      <c r="AF33" s="154">
        <f t="shared" si="11"/>
        <v>93.381778747048855</v>
      </c>
      <c r="AH33" s="154">
        <f t="shared" si="12"/>
        <v>0</v>
      </c>
      <c r="AJ33" s="154">
        <f t="shared" si="13"/>
        <v>1.9962104259060203</v>
      </c>
      <c r="AL33" s="153">
        <f t="shared" si="7"/>
        <v>3108.8410558429373</v>
      </c>
      <c r="AN33" s="154">
        <f>INDEX('(2.2)_Forward_Price_Curve'!$M:$M,MATCH($AB33,'(2.2)_Forward_Price_Curve'!$C:$C,0),1)</f>
        <v>3.0765666666666664</v>
      </c>
      <c r="AP33" s="154">
        <f t="shared" si="14"/>
        <v>20.813647111301062</v>
      </c>
      <c r="AR33" s="154">
        <f t="shared" si="15"/>
        <v>2.6232514032243559</v>
      </c>
      <c r="AS33" s="154"/>
      <c r="AT33" s="153">
        <f t="shared" si="3"/>
        <v>1636.6012647393509</v>
      </c>
      <c r="AV33" s="153">
        <f t="shared" si="4"/>
        <v>4249.109700683458</v>
      </c>
      <c r="AW33" s="273"/>
      <c r="AX33" s="155">
        <f t="shared" si="8"/>
        <v>5885.7109654228088</v>
      </c>
      <c r="AZ33" s="146">
        <f>+IF(AZ32&gt;$G$13+$G$14,XX,AZ32+1)</f>
        <v>2025</v>
      </c>
      <c r="BA33" s="117"/>
      <c r="BB33" s="154">
        <f t="shared" si="16"/>
        <v>68.195039638500987</v>
      </c>
      <c r="BD33" s="154">
        <f t="shared" si="17"/>
        <v>22.192053743813482</v>
      </c>
      <c r="BF33" s="153">
        <f t="shared" si="9"/>
        <v>1472.2397911035864</v>
      </c>
      <c r="BH33" s="157"/>
    </row>
    <row r="34" spans="2:60" ht="12">
      <c r="B34" s="2"/>
      <c r="C34">
        <f>+IF(C33&gt;$G$13+$G$14,XX,C33+1)</f>
        <v>2026</v>
      </c>
      <c r="E34" s="169">
        <f>'(2.2)_Forward_Price_Curve'!R44</f>
        <v>2.4E-2</v>
      </c>
      <c r="G34" s="18">
        <v>181300</v>
      </c>
      <c r="I34" s="28">
        <v>109.5372558529815</v>
      </c>
      <c r="K34" s="28">
        <v>45.604454578816167</v>
      </c>
      <c r="M34" s="28">
        <f t="shared" si="10"/>
        <v>0</v>
      </c>
      <c r="O34" s="270">
        <f>'(2.2)_Forward_Price_Curve'!AF44</f>
        <v>1.5118239712063486</v>
      </c>
      <c r="Q34" s="28">
        <v>-37.128876984074367</v>
      </c>
      <c r="S34" s="18">
        <f t="shared" si="5"/>
        <v>6345.5582962198332</v>
      </c>
      <c r="U34" s="18">
        <f t="shared" si="0"/>
        <v>6034.8841620594021</v>
      </c>
      <c r="W34" s="18">
        <f t="shared" si="1"/>
        <v>310.67413416043109</v>
      </c>
      <c r="Y34" s="271">
        <f t="shared" si="6"/>
        <v>1.7135914735820801</v>
      </c>
      <c r="Z34" s="235"/>
      <c r="AB34" s="146">
        <f>+IF(AB33&gt;$G$13+$G$14,XX,AB33+1)</f>
        <v>2026</v>
      </c>
      <c r="AC34" s="117"/>
      <c r="AD34" s="151">
        <f t="shared" si="2"/>
        <v>181300</v>
      </c>
      <c r="AF34" s="154">
        <f t="shared" si="11"/>
        <v>95.622941436978024</v>
      </c>
      <c r="AH34" s="154">
        <f t="shared" si="12"/>
        <v>0</v>
      </c>
      <c r="AJ34" s="154">
        <f t="shared" si="13"/>
        <v>2.044119476127765</v>
      </c>
      <c r="AL34" s="153">
        <f t="shared" si="7"/>
        <v>3183.4532411831678</v>
      </c>
      <c r="AN34" s="154">
        <f>INDEX('(2.2)_Forward_Price_Curve'!$M:$M,MATCH($AB34,'(2.2)_Forward_Price_Curve'!$C:$C,0),1)</f>
        <v>3.1568583333333335</v>
      </c>
      <c r="AP34" s="154">
        <f t="shared" si="14"/>
        <v>21.356837816083956</v>
      </c>
      <c r="AR34" s="154">
        <f t="shared" si="15"/>
        <v>2.6862094369017404</v>
      </c>
      <c r="AS34" s="154"/>
      <c r="AT34" s="153">
        <f t="shared" si="3"/>
        <v>1675.8796950930955</v>
      </c>
      <c r="AV34" s="153">
        <f t="shared" si="4"/>
        <v>4359.0044669663066</v>
      </c>
      <c r="AW34" s="273"/>
      <c r="AX34" s="155">
        <f t="shared" si="8"/>
        <v>6034.8841620594021</v>
      </c>
      <c r="AZ34" s="146">
        <f>+IF(AZ33&gt;$G$13+$G$14,XX,AZ33+1)</f>
        <v>2026</v>
      </c>
      <c r="BA34" s="117"/>
      <c r="BB34" s="154">
        <f t="shared" si="16"/>
        <v>69.831720589825011</v>
      </c>
      <c r="BD34" s="154">
        <f t="shared" si="17"/>
        <v>22.724663033665006</v>
      </c>
      <c r="BF34" s="153">
        <f t="shared" si="9"/>
        <v>1507.5735460900723</v>
      </c>
      <c r="BH34" s="157"/>
    </row>
    <row r="35" spans="2:60" ht="12">
      <c r="B35" s="2"/>
      <c r="C35">
        <f>+IF(C34&gt;$G$13+$G$14,XX,C34+1)</f>
        <v>2027</v>
      </c>
      <c r="E35" s="169">
        <f>'(2.2)_Forward_Price_Curve'!R45</f>
        <v>2.5000000000000001E-2</v>
      </c>
      <c r="G35" s="18">
        <v>181300</v>
      </c>
      <c r="I35" s="28">
        <v>111.96898293291767</v>
      </c>
      <c r="K35" s="28">
        <v>46.607752579550123</v>
      </c>
      <c r="M35" s="28">
        <f t="shared" si="10"/>
        <v>0</v>
      </c>
      <c r="O35" s="270">
        <f>'(2.2)_Forward_Price_Curve'!AF45</f>
        <v>1.5496195704865072</v>
      </c>
      <c r="Q35" s="28">
        <v>-38.454908304934165</v>
      </c>
      <c r="S35" s="18">
        <f t="shared" si="5"/>
        <v>6394.5725885398679</v>
      </c>
      <c r="U35" s="18">
        <f t="shared" si="0"/>
        <v>6280.9345530947076</v>
      </c>
      <c r="W35" s="18">
        <f t="shared" si="1"/>
        <v>113.63803544516031</v>
      </c>
      <c r="Y35" s="271">
        <f t="shared" si="6"/>
        <v>0.62679556230093947</v>
      </c>
      <c r="Z35" s="235"/>
      <c r="AB35" s="146">
        <f>+IF(AB34&gt;$G$13+$G$14,XX,AB34+1)</f>
        <v>2027</v>
      </c>
      <c r="AC35" s="117"/>
      <c r="AD35" s="151">
        <f t="shared" si="2"/>
        <v>181300</v>
      </c>
      <c r="AF35" s="154">
        <f t="shared" si="11"/>
        <v>98.01351497290247</v>
      </c>
      <c r="AH35" s="154">
        <f t="shared" si="12"/>
        <v>0</v>
      </c>
      <c r="AJ35" s="154">
        <f t="shared" si="13"/>
        <v>2.095222463030959</v>
      </c>
      <c r="AL35" s="153">
        <f t="shared" si="7"/>
        <v>3263.0395722127473</v>
      </c>
      <c r="AN35" s="154">
        <f>INDEX('(2.2)_Forward_Price_Curve'!$M:$M,MATCH($AB35,'(2.2)_Forward_Price_Curve'!$C:$C,0),1)</f>
        <v>3.313379166666667</v>
      </c>
      <c r="AP35" s="154">
        <f t="shared" si="14"/>
        <v>22.415735523669287</v>
      </c>
      <c r="AR35" s="154">
        <f t="shared" si="15"/>
        <v>2.7533646728242838</v>
      </c>
      <c r="AS35" s="154"/>
      <c r="AT35" s="153">
        <f t="shared" si="3"/>
        <v>1717.7766874704232</v>
      </c>
      <c r="AV35" s="153">
        <f t="shared" si="4"/>
        <v>4563.1578656242846</v>
      </c>
      <c r="AW35" s="273"/>
      <c r="AX35" s="155">
        <f t="shared" si="8"/>
        <v>6280.9345530947076</v>
      </c>
      <c r="AZ35" s="146">
        <f>+IF(AZ34&gt;$G$13+$G$14,XX,AZ34+1)</f>
        <v>2027</v>
      </c>
      <c r="BA35" s="117"/>
      <c r="BB35" s="154">
        <f t="shared" si="16"/>
        <v>71.577513604570626</v>
      </c>
      <c r="BD35" s="154">
        <f t="shared" si="17"/>
        <v>23.292779609506631</v>
      </c>
      <c r="BF35" s="153">
        <f t="shared" si="9"/>
        <v>1545.2628847423241</v>
      </c>
      <c r="BH35" s="157"/>
    </row>
    <row r="36" spans="2:60" ht="12">
      <c r="B36" s="2"/>
      <c r="C36">
        <f>+IF(C35&gt;$G$13+$G$14,XX,C35+1)</f>
        <v>2028</v>
      </c>
      <c r="E36" s="169">
        <f>'(2.2)_Forward_Price_Curve'!R46</f>
        <v>2.5000000000000001E-2</v>
      </c>
      <c r="G36" s="18">
        <v>181300</v>
      </c>
      <c r="I36" s="28">
        <v>114.45469435402842</v>
      </c>
      <c r="K36" s="28">
        <v>47.633123136300227</v>
      </c>
      <c r="M36" s="28">
        <f t="shared" si="10"/>
        <v>0</v>
      </c>
      <c r="O36" s="270">
        <f>'(2.2)_Forward_Price_Curve'!AF46</f>
        <v>1.5883600597486698</v>
      </c>
      <c r="Q36" s="28">
        <v>-38.454908304934165</v>
      </c>
      <c r="S36" s="18">
        <f t="shared" si="5"/>
        <v>6690.4043740158768</v>
      </c>
      <c r="U36" s="18">
        <f t="shared" si="0"/>
        <v>6606.6867323404149</v>
      </c>
      <c r="W36" s="18">
        <f t="shared" si="1"/>
        <v>83.717641675461891</v>
      </c>
      <c r="Y36" s="271">
        <f t="shared" si="6"/>
        <v>0.46176305391870875</v>
      </c>
      <c r="Z36" s="235"/>
      <c r="AB36" s="146">
        <f>+IF(AB35&gt;$G$13+$G$14,XX,AB35+1)</f>
        <v>2028</v>
      </c>
      <c r="AC36" s="117"/>
      <c r="AD36" s="151">
        <f t="shared" si="2"/>
        <v>181300</v>
      </c>
      <c r="AF36" s="154">
        <f t="shared" si="11"/>
        <v>100.46385284722503</v>
      </c>
      <c r="AH36" s="154">
        <f t="shared" si="12"/>
        <v>0</v>
      </c>
      <c r="AJ36" s="154">
        <f t="shared" si="13"/>
        <v>2.1476030246067328</v>
      </c>
      <c r="AL36" s="153">
        <f t="shared" si="7"/>
        <v>3344.6155615180655</v>
      </c>
      <c r="AN36" s="154">
        <f>INDEX('(2.2)_Forward_Price_Curve'!$M:$M,MATCH($AB36,'(2.2)_Forward_Price_Curve'!$C:$C,0),1)</f>
        <v>3.5337791666666667</v>
      </c>
      <c r="AP36" s="154">
        <f t="shared" si="14"/>
        <v>23.906789780036473</v>
      </c>
      <c r="AR36" s="154">
        <f t="shared" si="15"/>
        <v>2.8221987896448906</v>
      </c>
      <c r="AS36" s="154"/>
      <c r="AT36" s="153">
        <f t="shared" si="3"/>
        <v>1760.7211046571838</v>
      </c>
      <c r="AV36" s="153">
        <f t="shared" si="4"/>
        <v>4845.9656276832311</v>
      </c>
      <c r="AW36" s="273"/>
      <c r="AX36" s="155">
        <f t="shared" si="8"/>
        <v>6606.6867323404149</v>
      </c>
      <c r="AZ36" s="146">
        <f>+IF(AZ35&gt;$G$13+$G$14,XX,AZ35+1)</f>
        <v>2028</v>
      </c>
      <c r="BA36" s="117"/>
      <c r="BB36" s="154">
        <f t="shared" si="16"/>
        <v>73.366951444684886</v>
      </c>
      <c r="BD36" s="154">
        <f t="shared" si="17"/>
        <v>23.875099099744293</v>
      </c>
      <c r="BF36" s="153">
        <f t="shared" si="9"/>
        <v>1583.8944568608817</v>
      </c>
      <c r="BH36" s="157"/>
    </row>
    <row r="37" spans="2:60" ht="12">
      <c r="B37" s="2"/>
      <c r="C37">
        <f>+IF(C36&gt;$G$13+$G$14,XX,C36+1)</f>
        <v>2029</v>
      </c>
      <c r="E37" s="169">
        <f>'(2.2)_Forward_Price_Curve'!R47</f>
        <v>2.4E-2</v>
      </c>
      <c r="G37" s="18">
        <v>181300</v>
      </c>
      <c r="I37" s="28">
        <v>116.99558856868788</v>
      </c>
      <c r="K37" s="28">
        <v>48.633418722162524</v>
      </c>
      <c r="M37" s="28">
        <f t="shared" si="10"/>
        <v>0</v>
      </c>
      <c r="O37" s="270">
        <f>'(2.2)_Forward_Price_Curve'!AF47</f>
        <v>1.6264807011826379</v>
      </c>
      <c r="Q37" s="28">
        <v>-39.780939625793962</v>
      </c>
      <c r="S37" s="18">
        <f t="shared" si="5"/>
        <v>6743.4527780397102</v>
      </c>
      <c r="U37" s="18">
        <f t="shared" si="0"/>
        <v>7033.477118547783</v>
      </c>
      <c r="W37" s="18">
        <f t="shared" si="1"/>
        <v>-290.02434050807278</v>
      </c>
      <c r="Y37" s="271">
        <f t="shared" si="6"/>
        <v>-1.599692997838239</v>
      </c>
      <c r="Z37" s="235"/>
      <c r="AB37" s="146">
        <f>+IF(AB36&gt;$G$13+$G$14,XX,AB36+1)</f>
        <v>2029</v>
      </c>
      <c r="AC37" s="117"/>
      <c r="AD37" s="151">
        <f t="shared" si="2"/>
        <v>181300</v>
      </c>
      <c r="AF37" s="154">
        <f t="shared" si="11"/>
        <v>102.87498531555843</v>
      </c>
      <c r="AH37" s="154">
        <f t="shared" si="12"/>
        <v>0</v>
      </c>
      <c r="AJ37" s="154">
        <f t="shared" si="13"/>
        <v>2.1991454971972946</v>
      </c>
      <c r="AL37" s="153">
        <f t="shared" si="7"/>
        <v>3424.8863349944991</v>
      </c>
      <c r="AN37" s="154">
        <f>INDEX('(2.2)_Forward_Price_Curve'!$M:$M,MATCH($AB37,'(2.2)_Forward_Price_Curve'!$C:$C,0),1)</f>
        <v>3.8372791666666668</v>
      </c>
      <c r="AP37" s="154">
        <f t="shared" si="14"/>
        <v>25.960033731068428</v>
      </c>
      <c r="AR37" s="154">
        <f t="shared" si="15"/>
        <v>2.8899315605963678</v>
      </c>
      <c r="AS37" s="154"/>
      <c r="AT37" s="153">
        <f t="shared" si="3"/>
        <v>1802.978411168956</v>
      </c>
      <c r="AV37" s="153">
        <f t="shared" si="4"/>
        <v>5230.498707378827</v>
      </c>
      <c r="AW37" s="273"/>
      <c r="AX37" s="155">
        <f t="shared" si="8"/>
        <v>7033.477118547783</v>
      </c>
      <c r="AZ37" s="146">
        <f>+IF(AZ36&gt;$G$13+$G$14,XX,AZ36+1)</f>
        <v>2029</v>
      </c>
      <c r="BA37" s="117"/>
      <c r="BB37" s="154">
        <f t="shared" si="16"/>
        <v>75.127758279357323</v>
      </c>
      <c r="BD37" s="154">
        <f t="shared" si="17"/>
        <v>24.448101478138156</v>
      </c>
      <c r="BF37" s="153">
        <f t="shared" si="9"/>
        <v>1621.9079238255431</v>
      </c>
      <c r="BH37" s="157"/>
    </row>
    <row r="38" spans="2:60" ht="12">
      <c r="B38" s="2"/>
      <c r="C38">
        <f>+IF(C37&gt;$G$13+$G$14,XX,C37+1)</f>
        <v>2030</v>
      </c>
      <c r="E38" s="169">
        <f>'(2.2)_Forward_Price_Curve'!R48</f>
        <v>2.3E-2</v>
      </c>
      <c r="G38" s="18">
        <v>181300</v>
      </c>
      <c r="I38" s="28">
        <v>119.59289063491273</v>
      </c>
      <c r="K38" s="28">
        <v>49.703353934050106</v>
      </c>
      <c r="M38" s="28">
        <f t="shared" si="10"/>
        <v>0</v>
      </c>
      <c r="O38" s="270">
        <f>'(2.2)_Forward_Price_Curve'!AF48</f>
        <v>1.6638897573098383</v>
      </c>
      <c r="Q38" s="28">
        <v>-27.40464729776917</v>
      </c>
      <c r="S38" s="18">
        <f t="shared" si="5"/>
        <v>9295.5643984433955</v>
      </c>
      <c r="U38" s="18">
        <f t="shared" si="0"/>
        <v>7267.6443923738607</v>
      </c>
      <c r="W38" s="18">
        <f t="shared" si="1"/>
        <v>2027.9200060695348</v>
      </c>
      <c r="Y38" s="271">
        <f t="shared" si="6"/>
        <v>11.185438533202067</v>
      </c>
      <c r="Z38" s="235"/>
      <c r="AB38" s="146">
        <f>+IF(AB37&gt;$G$13+$G$14,XX,AB37+1)</f>
        <v>2030</v>
      </c>
      <c r="AC38" s="117"/>
      <c r="AD38" s="151">
        <f t="shared" si="2"/>
        <v>181300</v>
      </c>
      <c r="AF38" s="154">
        <f t="shared" si="11"/>
        <v>105.24110997781627</v>
      </c>
      <c r="AH38" s="154">
        <f t="shared" si="12"/>
        <v>0</v>
      </c>
      <c r="AJ38" s="154">
        <f t="shared" si="13"/>
        <v>2.2497258436328322</v>
      </c>
      <c r="AL38" s="153">
        <f t="shared" si="7"/>
        <v>3503.6587206993727</v>
      </c>
      <c r="AN38" s="154">
        <f>INDEX('(2.2)_Forward_Price_Curve'!$M:$M,MATCH($AB38,'(2.2)_Forward_Price_Curve'!$C:$C,0),1)</f>
        <v>3.9845625000000005</v>
      </c>
      <c r="AP38" s="154">
        <f t="shared" si="14"/>
        <v>26.956437728612055</v>
      </c>
      <c r="AR38" s="154">
        <f t="shared" si="15"/>
        <v>2.9563999864900841</v>
      </c>
      <c r="AS38" s="154"/>
      <c r="AT38" s="153">
        <f t="shared" si="3"/>
        <v>1844.4469146258425</v>
      </c>
      <c r="AV38" s="153">
        <f t="shared" si="4"/>
        <v>5423.1974777480182</v>
      </c>
      <c r="AW38" s="273"/>
      <c r="AX38" s="155">
        <f t="shared" si="8"/>
        <v>7267.6443923738607</v>
      </c>
      <c r="AZ38" s="146">
        <f>+IF(AZ37&gt;$G$13+$G$14,XX,AZ37+1)</f>
        <v>2030</v>
      </c>
      <c r="BA38" s="117"/>
      <c r="BB38" s="154">
        <f t="shared" si="16"/>
        <v>76.855696719782529</v>
      </c>
      <c r="BD38" s="154">
        <f t="shared" si="17"/>
        <v>25.01040781213533</v>
      </c>
      <c r="BF38" s="153">
        <f t="shared" si="9"/>
        <v>1659.2118060735302</v>
      </c>
      <c r="BH38" s="157"/>
    </row>
    <row r="39" spans="2:60" ht="12">
      <c r="B39" s="2"/>
      <c r="C39">
        <f>+IF(C38&gt;$G$13+$G$14,XX,C38+1)</f>
        <v>2031</v>
      </c>
      <c r="E39" s="169">
        <f>'(2.2)_Forward_Price_Curve'!R49</f>
        <v>2.3E-2</v>
      </c>
      <c r="G39" s="18">
        <v>181300</v>
      </c>
      <c r="I39" s="28">
        <v>122.24785280700782</v>
      </c>
      <c r="K39" s="28">
        <v>50.796827720599204</v>
      </c>
      <c r="M39" s="28">
        <f t="shared" si="10"/>
        <v>0</v>
      </c>
      <c r="O39" s="270">
        <f>'(2.2)_Forward_Price_Curve'!AF49</f>
        <v>1.7021592217279644</v>
      </c>
      <c r="Q39" s="28">
        <v>0</v>
      </c>
      <c r="S39" s="18">
        <f t="shared" si="5"/>
        <v>14579.127438854041</v>
      </c>
      <c r="U39" s="18">
        <f t="shared" si="0"/>
        <v>7487.399186917316</v>
      </c>
      <c r="W39" s="18">
        <f t="shared" si="1"/>
        <v>7091.7282519367245</v>
      </c>
      <c r="Y39" s="271">
        <f t="shared" si="6"/>
        <v>39.115985945596933</v>
      </c>
      <c r="Z39" s="235"/>
      <c r="AB39" s="146">
        <f>+IF(AB38&gt;$G$13+$G$14,XX,AB38+1)</f>
        <v>2031</v>
      </c>
      <c r="AC39" s="117"/>
      <c r="AD39" s="151">
        <f t="shared" si="2"/>
        <v>181300</v>
      </c>
      <c r="AF39" s="154">
        <f t="shared" si="11"/>
        <v>107.66165550730602</v>
      </c>
      <c r="AH39" s="154">
        <f t="shared" si="12"/>
        <v>0</v>
      </c>
      <c r="AJ39" s="154">
        <f t="shared" si="13"/>
        <v>2.301469538036387</v>
      </c>
      <c r="AL39" s="153">
        <f t="shared" si="7"/>
        <v>3584.2428712754577</v>
      </c>
      <c r="AN39" s="154">
        <f>INDEX('(2.2)_Forward_Price_Curve'!$M:$M,MATCH($AB39,'(2.2)_Forward_Price_Curve'!$C:$C,0),1)</f>
        <v>4.1190916666666668</v>
      </c>
      <c r="AP39" s="154">
        <f t="shared" si="14"/>
        <v>27.866556996143199</v>
      </c>
      <c r="AR39" s="154">
        <f t="shared" si="15"/>
        <v>3.0243971861793559</v>
      </c>
      <c r="AS39" s="154"/>
      <c r="AT39" s="153">
        <f t="shared" si="3"/>
        <v>1886.8691936622363</v>
      </c>
      <c r="AV39" s="153">
        <f t="shared" si="4"/>
        <v>5600.5299932550797</v>
      </c>
      <c r="AW39" s="273"/>
      <c r="AX39" s="155">
        <f t="shared" si="8"/>
        <v>7487.399186917316</v>
      </c>
      <c r="AZ39" s="146">
        <f>+IF(AZ38&gt;$G$13+$G$14,XX,AZ38+1)</f>
        <v>2031</v>
      </c>
      <c r="BA39" s="117"/>
      <c r="BB39" s="154">
        <f t="shared" si="16"/>
        <v>78.623377744337517</v>
      </c>
      <c r="BD39" s="154">
        <f t="shared" si="17"/>
        <v>25.585647191814441</v>
      </c>
      <c r="BF39" s="153">
        <f t="shared" si="9"/>
        <v>1697.3736776132214</v>
      </c>
      <c r="BH39" s="157"/>
    </row>
    <row r="40" spans="2:60" ht="12">
      <c r="B40" s="2"/>
      <c r="C40">
        <f>+IF(C39&gt;$G$13+$G$14,XX,C39+1)</f>
        <v>2032</v>
      </c>
      <c r="E40" s="169">
        <f>'(2.2)_Forward_Price_Curve'!R50</f>
        <v>2.3E-2</v>
      </c>
      <c r="G40" s="18">
        <v>181300</v>
      </c>
      <c r="I40" s="28">
        <v>124.96175513932334</v>
      </c>
      <c r="K40" s="28">
        <v>49.071617870615334</v>
      </c>
      <c r="M40" s="28">
        <f t="shared" si="10"/>
        <v>0</v>
      </c>
      <c r="O40" s="270">
        <f>'(2.2)_Forward_Price_Curve'!AF50</f>
        <v>1.7413088838277075</v>
      </c>
      <c r="Q40" s="28">
        <v>0</v>
      </c>
      <c r="S40" s="18">
        <f t="shared" si="5"/>
        <v>14385.800283348508</v>
      </c>
      <c r="U40" s="18">
        <f t="shared" si="0"/>
        <v>7606.5649021460886</v>
      </c>
      <c r="W40" s="18">
        <f t="shared" si="1"/>
        <v>6779.2353812024194</v>
      </c>
      <c r="Y40" s="271">
        <f t="shared" si="6"/>
        <v>37.392362830680746</v>
      </c>
      <c r="Z40" s="235"/>
      <c r="AB40" s="146">
        <f>+IF(AB39&gt;$G$13+$G$14,XX,AB39+1)</f>
        <v>2032</v>
      </c>
      <c r="AC40" s="117"/>
      <c r="AD40" s="151">
        <f t="shared" si="2"/>
        <v>181300</v>
      </c>
      <c r="AF40" s="154">
        <f t="shared" si="11"/>
        <v>110.13787358397406</v>
      </c>
      <c r="AH40" s="154">
        <f t="shared" si="12"/>
        <v>0</v>
      </c>
      <c r="AJ40" s="154">
        <f t="shared" si="13"/>
        <v>2.3544033374112239</v>
      </c>
      <c r="AL40" s="153">
        <f t="shared" si="7"/>
        <v>3666.6804573147929</v>
      </c>
      <c r="AN40" s="154">
        <f>INDEX('(2.2)_Forward_Price_Curve'!$M:$M,MATCH($AB40,'(2.2)_Forward_Price_Curve'!$C:$C,0),1)</f>
        <v>4.170583333333334</v>
      </c>
      <c r="AP40" s="154">
        <f t="shared" si="14"/>
        <v>28.214909395193899</v>
      </c>
      <c r="AR40" s="154">
        <f t="shared" si="15"/>
        <v>3.0939583214614808</v>
      </c>
      <c r="AS40" s="154"/>
      <c r="AT40" s="153">
        <f t="shared" si="3"/>
        <v>1930.2671851164678</v>
      </c>
      <c r="AV40" s="153">
        <f t="shared" si="4"/>
        <v>5676.2977170296208</v>
      </c>
      <c r="AW40" s="273"/>
      <c r="AX40" s="155">
        <f t="shared" si="8"/>
        <v>7606.5649021460886</v>
      </c>
      <c r="AZ40" s="146">
        <f>+IF(AZ39&gt;$G$13+$G$14,XX,AZ39+1)</f>
        <v>2032</v>
      </c>
      <c r="BA40" s="117"/>
      <c r="BB40" s="154">
        <f t="shared" si="16"/>
        <v>80.431715432457267</v>
      </c>
      <c r="BD40" s="154">
        <f t="shared" si="17"/>
        <v>26.174117077226171</v>
      </c>
      <c r="BF40" s="153">
        <f t="shared" si="9"/>
        <v>1736.4132721983251</v>
      </c>
      <c r="BH40" s="157"/>
    </row>
    <row r="41" spans="2:60" ht="12">
      <c r="B41" s="2"/>
      <c r="C41">
        <f>+IF(C40&gt;$G$13+$G$14,XX,C40+1)</f>
        <v>2033</v>
      </c>
      <c r="E41" s="169">
        <f>'(2.2)_Forward_Price_Curve'!R51</f>
        <v>2.3E-2</v>
      </c>
      <c r="G41" s="18">
        <v>181300</v>
      </c>
      <c r="I41" s="28">
        <v>127.73590610341637</v>
      </c>
      <c r="K41" s="28">
        <v>44.340632781461991</v>
      </c>
      <c r="M41" s="28">
        <f t="shared" si="10"/>
        <v>0</v>
      </c>
      <c r="O41" s="270">
        <f>'(2.2)_Forward_Price_Curve'!AF51</f>
        <v>1.7813589881557446</v>
      </c>
      <c r="Q41" s="28">
        <v>0</v>
      </c>
      <c r="S41" s="18">
        <f t="shared" si="5"/>
        <v>13650.183620513133</v>
      </c>
      <c r="U41" s="18">
        <f t="shared" si="0"/>
        <v>7893.9194748035316</v>
      </c>
      <c r="W41" s="18">
        <f t="shared" si="1"/>
        <v>5756.2641457096015</v>
      </c>
      <c r="Y41" s="271">
        <f t="shared" si="6"/>
        <v>31.749940130775517</v>
      </c>
      <c r="Z41" s="235"/>
      <c r="AB41" s="146">
        <f>+IF(AB40&gt;$G$13+$G$14,XX,AB40+1)</f>
        <v>2033</v>
      </c>
      <c r="AC41" s="117"/>
      <c r="AD41" s="151">
        <f t="shared" si="2"/>
        <v>181300</v>
      </c>
      <c r="AF41" s="154">
        <f t="shared" si="11"/>
        <v>112.67104467640544</v>
      </c>
      <c r="AH41" s="154">
        <f t="shared" si="12"/>
        <v>0</v>
      </c>
      <c r="AJ41" s="154">
        <f t="shared" si="13"/>
        <v>2.4085546141716816</v>
      </c>
      <c r="AL41" s="153">
        <f t="shared" si="7"/>
        <v>3751.014107833033</v>
      </c>
      <c r="AN41" s="154">
        <f>INDEX('(2.2)_Forward_Price_Curve'!$M:$M,MATCH($AB41,'(2.2)_Forward_Price_Curve'!$C:$C,0),1)</f>
        <v>4.3581499999999993</v>
      </c>
      <c r="AP41" s="154">
        <f t="shared" si="14"/>
        <v>29.483838962734453</v>
      </c>
      <c r="AR41" s="154">
        <f t="shared" si="15"/>
        <v>3.1651193628550947</v>
      </c>
      <c r="AS41" s="154"/>
      <c r="AT41" s="153">
        <f t="shared" si="3"/>
        <v>1974.6633303741464</v>
      </c>
      <c r="AV41" s="153">
        <f t="shared" si="4"/>
        <v>5919.2561444293851</v>
      </c>
      <c r="AW41" s="273"/>
      <c r="AX41" s="155">
        <f t="shared" si="8"/>
        <v>7893.9194748035316</v>
      </c>
      <c r="AZ41" s="146">
        <f>+IF(AZ40&gt;$G$13+$G$14,XX,AZ40+1)</f>
        <v>2033</v>
      </c>
      <c r="BA41" s="117"/>
      <c r="BB41" s="154">
        <f t="shared" si="16"/>
        <v>82.281644887403772</v>
      </c>
      <c r="BD41" s="154">
        <f t="shared" si="17"/>
        <v>26.776121770002369</v>
      </c>
      <c r="BF41" s="153">
        <f t="shared" si="9"/>
        <v>1776.3507774588866</v>
      </c>
      <c r="BH41" s="157"/>
    </row>
    <row r="42" spans="2:60" ht="12">
      <c r="B42" s="2"/>
      <c r="C42">
        <f>+IF(C41&gt;$G$13+$G$14,XX,C41+1)</f>
        <v>2034</v>
      </c>
      <c r="E42" s="169">
        <f>'(2.2)_Forward_Price_Curve'!R52</f>
        <v>2.3E-2</v>
      </c>
      <c r="G42" s="18">
        <v>181300</v>
      </c>
      <c r="I42" s="28">
        <v>130.57164321891221</v>
      </c>
      <c r="K42" s="28">
        <v>45.316126702654152</v>
      </c>
      <c r="M42" s="28">
        <f t="shared" si="10"/>
        <v>0</v>
      </c>
      <c r="O42" s="270">
        <f>'(2.2)_Forward_Price_Curve'!AF52</f>
        <v>1.8223302448833265</v>
      </c>
      <c r="Q42" s="28">
        <v>0</v>
      </c>
      <c r="S42" s="18">
        <f t="shared" si="5"/>
        <v>13951.868273851511</v>
      </c>
      <c r="U42" s="18">
        <f t="shared" si="0"/>
        <v>7995.882725324519</v>
      </c>
      <c r="W42" s="18">
        <f t="shared" si="1"/>
        <v>5955.9855485269918</v>
      </c>
      <c r="Y42" s="271">
        <f t="shared" si="6"/>
        <v>32.85154742706559</v>
      </c>
      <c r="Z42" s="235"/>
      <c r="AB42" s="146">
        <f>+IF(AB41&gt;$G$13+$G$14,XX,AB41+1)</f>
        <v>2034</v>
      </c>
      <c r="AC42" s="117"/>
      <c r="AD42" s="151">
        <f t="shared" si="2"/>
        <v>181300</v>
      </c>
      <c r="AF42" s="154">
        <f t="shared" si="11"/>
        <v>115.26247870396276</v>
      </c>
      <c r="AH42" s="154">
        <f t="shared" si="12"/>
        <v>0</v>
      </c>
      <c r="AJ42" s="154">
        <f t="shared" si="13"/>
        <v>2.4639513702976301</v>
      </c>
      <c r="AL42" s="153">
        <f t="shared" si="7"/>
        <v>3837.2874323131919</v>
      </c>
      <c r="AN42" s="154">
        <f>INDEX('(2.2)_Forward_Price_Curve'!$M:$M,MATCH($AB42,'(2.2)_Forward_Price_Curve'!$C:$C,0),1)</f>
        <v>4.3934916666666668</v>
      </c>
      <c r="AP42" s="154">
        <f t="shared" si="14"/>
        <v>29.722933075758249</v>
      </c>
      <c r="AR42" s="154">
        <f t="shared" si="15"/>
        <v>3.2379171082007616</v>
      </c>
      <c r="AS42" s="154"/>
      <c r="AT42" s="153">
        <f t="shared" si="3"/>
        <v>2020.0805869727512</v>
      </c>
      <c r="AV42" s="153">
        <f t="shared" si="4"/>
        <v>5975.802138351768</v>
      </c>
      <c r="AW42" s="273"/>
      <c r="AX42" s="155">
        <f t="shared" si="8"/>
        <v>7995.882725324519</v>
      </c>
      <c r="AZ42" s="146">
        <f>+IF(AZ41&gt;$G$13+$G$14,XX,AZ41+1)</f>
        <v>2034</v>
      </c>
      <c r="BA42" s="117"/>
      <c r="BB42" s="154">
        <f t="shared" si="16"/>
        <v>84.174122719814051</v>
      </c>
      <c r="BD42" s="154">
        <f t="shared" si="17"/>
        <v>27.391972570712422</v>
      </c>
      <c r="BF42" s="153">
        <f t="shared" si="9"/>
        <v>1817.2068453404406</v>
      </c>
      <c r="BH42" s="157"/>
    </row>
    <row r="43" spans="2:60" ht="12">
      <c r="B43" s="2"/>
      <c r="C43">
        <f>+IF(C42&gt;$G$13+$G$14,XX,C42+1)</f>
        <v>2035</v>
      </c>
      <c r="E43" s="169">
        <f>'(2.2)_Forward_Price_Curve'!R53</f>
        <v>2.3E-2</v>
      </c>
      <c r="G43" s="18">
        <v>181300</v>
      </c>
      <c r="I43" s="28">
        <v>133.47033369837203</v>
      </c>
      <c r="K43" s="28">
        <v>46.313081490112545</v>
      </c>
      <c r="M43" s="28">
        <f t="shared" si="10"/>
        <v>0</v>
      </c>
      <c r="O43" s="270">
        <f>'(2.2)_Forward_Price_Curve'!AF53</f>
        <v>1.864243840515643</v>
      </c>
      <c r="Q43" s="28">
        <v>0</v>
      </c>
      <c r="S43" s="18">
        <f t="shared" si="5"/>
        <v>14260.220897555493</v>
      </c>
      <c r="U43" s="18">
        <f t="shared" si="0"/>
        <v>8082.7739055238726</v>
      </c>
      <c r="W43" s="18">
        <f t="shared" si="1"/>
        <v>6177.4469920316205</v>
      </c>
      <c r="Y43" s="271">
        <f t="shared" si="6"/>
        <v>34.073066696258252</v>
      </c>
      <c r="Z43" s="235"/>
      <c r="AB43" s="146">
        <f>+IF(AB42&gt;$G$13+$G$14,XX,AB42+1)</f>
        <v>2035</v>
      </c>
      <c r="AC43" s="117"/>
      <c r="AD43" s="151">
        <f t="shared" si="2"/>
        <v>181300</v>
      </c>
      <c r="AF43" s="154">
        <f t="shared" si="11"/>
        <v>117.91351571415389</v>
      </c>
      <c r="AH43" s="154">
        <f t="shared" si="12"/>
        <v>0</v>
      </c>
      <c r="AJ43" s="154">
        <f t="shared" si="13"/>
        <v>2.5206222518144754</v>
      </c>
      <c r="AL43" s="153">
        <f t="shared" si="7"/>
        <v>3925.5450432563948</v>
      </c>
      <c r="AN43" s="154">
        <f>INDEX('(2.2)_Forward_Price_Curve'!$M:$M,MATCH($AB43,'(2.2)_Forward_Price_Curve'!$C:$C,0),1)</f>
        <v>4.4154458333333331</v>
      </c>
      <c r="AP43" s="154">
        <f t="shared" si="14"/>
        <v>29.871457820101842</v>
      </c>
      <c r="AR43" s="154">
        <f t="shared" si="15"/>
        <v>3.312389201689379</v>
      </c>
      <c r="AS43" s="154"/>
      <c r="AT43" s="153">
        <f t="shared" si="3"/>
        <v>2066.5424404731239</v>
      </c>
      <c r="AV43" s="153">
        <f t="shared" si="4"/>
        <v>6016.2314650507487</v>
      </c>
      <c r="AW43" s="273"/>
      <c r="AX43" s="155">
        <f t="shared" si="8"/>
        <v>8082.7739055238726</v>
      </c>
      <c r="AZ43" s="146">
        <f>+IF(AZ42&gt;$G$13+$G$14,XX,AZ42+1)</f>
        <v>2035</v>
      </c>
      <c r="BA43" s="117"/>
      <c r="BB43" s="154">
        <f t="shared" si="16"/>
        <v>86.110127542369767</v>
      </c>
      <c r="BD43" s="154">
        <f t="shared" si="17"/>
        <v>28.021987939838805</v>
      </c>
      <c r="BF43" s="153">
        <f t="shared" si="9"/>
        <v>1859.0026027832707</v>
      </c>
      <c r="BH43" s="157"/>
    </row>
    <row r="44" spans="2:60" ht="12">
      <c r="B44" s="2"/>
      <c r="C44">
        <f>+IF(C43&gt;$G$13+$G$14,XX,C43+1)</f>
        <v>2036</v>
      </c>
      <c r="E44" s="169">
        <f>'(2.2)_Forward_Price_Curve'!R54</f>
        <v>2.3E-2</v>
      </c>
      <c r="G44" s="18">
        <v>181300</v>
      </c>
      <c r="I44" s="28">
        <v>136.43337510647589</v>
      </c>
      <c r="K44" s="28">
        <v>47.331969282895024</v>
      </c>
      <c r="M44" s="28">
        <f t="shared" si="10"/>
        <v>0</v>
      </c>
      <c r="O44" s="270">
        <f>'(2.2)_Forward_Price_Curve'!AF54</f>
        <v>1.9071214488475026</v>
      </c>
      <c r="Q44" s="28">
        <v>0</v>
      </c>
      <c r="S44" s="18">
        <f t="shared" si="5"/>
        <v>14575.388879073022</v>
      </c>
      <c r="U44" s="18">
        <f t="shared" si="0"/>
        <v>8227.0917517097441</v>
      </c>
      <c r="W44" s="18">
        <f t="shared" si="1"/>
        <v>6348.2971273632775</v>
      </c>
      <c r="Y44" s="271">
        <f t="shared" si="6"/>
        <v>35.015428170784766</v>
      </c>
      <c r="Z44" s="235"/>
      <c r="AB44" s="146">
        <f>+IF(AB43&gt;$G$13+$G$14,XX,AB43+1)</f>
        <v>2036</v>
      </c>
      <c r="AC44" s="117"/>
      <c r="AD44" s="151">
        <f t="shared" si="2"/>
        <v>181300</v>
      </c>
      <c r="AF44" s="154">
        <f t="shared" si="11"/>
        <v>120.62552657557941</v>
      </c>
      <c r="AH44" s="154">
        <f t="shared" si="12"/>
        <v>0</v>
      </c>
      <c r="AJ44" s="154">
        <f t="shared" si="13"/>
        <v>2.578596563606208</v>
      </c>
      <c r="AL44" s="153">
        <f t="shared" si="7"/>
        <v>4015.8325792512919</v>
      </c>
      <c r="AN44" s="154">
        <f>INDEX('(2.2)_Forward_Price_Curve'!$M:$M,MATCH($AB44,'(2.2)_Forward_Price_Curve'!$C:$C,0),1)</f>
        <v>4.4830958333333326</v>
      </c>
      <c r="AP44" s="154">
        <f t="shared" si="14"/>
        <v>30.329124882004017</v>
      </c>
      <c r="AR44" s="154">
        <f t="shared" si="15"/>
        <v>3.3885741533282343</v>
      </c>
      <c r="AS44" s="154"/>
      <c r="AT44" s="153">
        <f t="shared" si="3"/>
        <v>2114.0729166040064</v>
      </c>
      <c r="AV44" s="153">
        <f t="shared" si="4"/>
        <v>6113.0188351057377</v>
      </c>
      <c r="AW44" s="273"/>
      <c r="AX44" s="155">
        <f t="shared" si="8"/>
        <v>8227.0917517097441</v>
      </c>
      <c r="AZ44" s="146">
        <f>+IF(AZ43&gt;$G$13+$G$14,XX,AZ43+1)</f>
        <v>2036</v>
      </c>
      <c r="BA44" s="117"/>
      <c r="BB44" s="154">
        <f t="shared" si="16"/>
        <v>88.09066047584426</v>
      </c>
      <c r="BD44" s="154">
        <f t="shared" si="17"/>
        <v>28.666493662455096</v>
      </c>
      <c r="BF44" s="153">
        <f t="shared" si="9"/>
        <v>1901.7596626472855</v>
      </c>
      <c r="BH44" s="157"/>
    </row>
    <row r="45" spans="2:60" ht="12">
      <c r="B45" s="2"/>
      <c r="C45">
        <f>+IF(C44&gt;$G$13+$G$14,XX,C44+1)</f>
        <v>2037</v>
      </c>
      <c r="E45" s="169">
        <f>'(2.2)_Forward_Price_Curve'!R55</f>
        <v>2.3E-2</v>
      </c>
      <c r="G45" s="18">
        <v>181300</v>
      </c>
      <c r="I45" s="28">
        <v>139.46219603383966</v>
      </c>
      <c r="K45" s="28">
        <v>48.373272607118714</v>
      </c>
      <c r="M45" s="28">
        <f t="shared" si="10"/>
        <v>0</v>
      </c>
      <c r="O45" s="270">
        <f>'(2.2)_Forward_Price_Curve'!AF55</f>
        <v>1.950985242170995</v>
      </c>
      <c r="Q45" s="28">
        <v>0</v>
      </c>
      <c r="S45" s="18">
        <f t="shared" si="5"/>
        <v>14897.522863877184</v>
      </c>
      <c r="U45" s="18">
        <f t="shared" si="0"/>
        <v>8435.8847823596952</v>
      </c>
      <c r="W45" s="18">
        <f t="shared" si="1"/>
        <v>6461.6380815174889</v>
      </c>
      <c r="Y45" s="271">
        <f t="shared" si="6"/>
        <v>35.640585115926577</v>
      </c>
      <c r="Z45" s="235"/>
      <c r="AB45" s="146">
        <f>+IF(AB44&gt;$G$13+$G$14,XX,AB44+1)</f>
        <v>2037</v>
      </c>
      <c r="AC45" s="117"/>
      <c r="AD45" s="151">
        <f t="shared" si="2"/>
        <v>181300</v>
      </c>
      <c r="AF45" s="154">
        <f t="shared" si="11"/>
        <v>123.39991368681773</v>
      </c>
      <c r="AH45" s="154">
        <f t="shared" si="12"/>
        <v>0</v>
      </c>
      <c r="AJ45" s="154">
        <f t="shared" si="13"/>
        <v>2.6379042845691507</v>
      </c>
      <c r="AL45" s="153">
        <f t="shared" si="7"/>
        <v>4108.1967285740702</v>
      </c>
      <c r="AN45" s="154">
        <f>INDEX('(2.2)_Forward_Price_Curve'!$M:$M,MATCH($AB45,'(2.2)_Forward_Price_Curve'!$C:$C,0),1)</f>
        <v>4.6021624999999995</v>
      </c>
      <c r="AP45" s="154">
        <f t="shared" si="14"/>
        <v>31.134636951535718</v>
      </c>
      <c r="AR45" s="154">
        <f t="shared" si="15"/>
        <v>3.4665113588547833</v>
      </c>
      <c r="AS45" s="154"/>
      <c r="AT45" s="153">
        <f t="shared" si="3"/>
        <v>2162.6965936858969</v>
      </c>
      <c r="AV45" s="153">
        <f t="shared" si="4"/>
        <v>6273.1881886737974</v>
      </c>
      <c r="AW45" s="273"/>
      <c r="AX45" s="155">
        <f t="shared" si="8"/>
        <v>8435.8847823596952</v>
      </c>
      <c r="AZ45" s="146">
        <f>+IF(AZ44&gt;$G$13+$G$14,XX,AZ44+1)</f>
        <v>2037</v>
      </c>
      <c r="BA45" s="117"/>
      <c r="BB45" s="154">
        <f t="shared" si="16"/>
        <v>90.116745666788674</v>
      </c>
      <c r="BD45" s="154">
        <f t="shared" si="17"/>
        <v>29.325823016691562</v>
      </c>
      <c r="BF45" s="153">
        <f t="shared" si="9"/>
        <v>1945.5001348881731</v>
      </c>
      <c r="BH45" s="157"/>
    </row>
    <row r="46" spans="2:60" ht="12">
      <c r="B46" s="2"/>
      <c r="C46">
        <f>+IF(C45&gt;$G$13+$G$14,XX,C45+1)</f>
        <v>2038</v>
      </c>
      <c r="E46" s="169">
        <f>'(2.2)_Forward_Price_Curve'!R56</f>
        <v>2.3E-2</v>
      </c>
      <c r="G46" s="18">
        <v>181300</v>
      </c>
      <c r="I46" s="28">
        <v>142.55825678579092</v>
      </c>
      <c r="K46" s="28">
        <v>49.485857877082445</v>
      </c>
      <c r="M46" s="28">
        <f t="shared" si="10"/>
        <v>0</v>
      </c>
      <c r="O46" s="270">
        <f>'(2.2)_Forward_Price_Curve'!AF56</f>
        <v>1.9958579027409278</v>
      </c>
      <c r="Q46" s="28">
        <v>0</v>
      </c>
      <c r="S46" s="18">
        <f t="shared" si="5"/>
        <v>15235.546901813721</v>
      </c>
      <c r="U46" s="18">
        <f t="shared" si="0"/>
        <v>8622.9498727599603</v>
      </c>
      <c r="W46" s="18">
        <f t="shared" si="1"/>
        <v>6612.5970290537607</v>
      </c>
      <c r="Y46" s="271">
        <f t="shared" si="6"/>
        <v>36.473232372056046</v>
      </c>
      <c r="Z46" s="235"/>
      <c r="AB46" s="146">
        <f>+IF(AB45&gt;$G$13+$G$14,XX,AB45+1)</f>
        <v>2038</v>
      </c>
      <c r="AC46" s="117"/>
      <c r="AD46" s="151">
        <f t="shared" si="2"/>
        <v>181300</v>
      </c>
      <c r="AF46" s="154">
        <f t="shared" si="11"/>
        <v>126.23811170161453</v>
      </c>
      <c r="AH46" s="154">
        <f t="shared" si="12"/>
        <v>0</v>
      </c>
      <c r="AJ46" s="154">
        <f t="shared" si="13"/>
        <v>2.6985760831142409</v>
      </c>
      <c r="AL46" s="153">
        <f t="shared" si="7"/>
        <v>4202.6852533312749</v>
      </c>
      <c r="AN46" s="154">
        <f>INDEX('(2.2)_Forward_Price_Curve'!$M:$M,MATCH($AB46,'(2.2)_Forward_Price_Curve'!$C:$C,0),1)</f>
        <v>4.7023374999999987</v>
      </c>
      <c r="AP46" s="154">
        <f t="shared" si="14"/>
        <v>31.812342759755239</v>
      </c>
      <c r="AR46" s="154">
        <f t="shared" si="15"/>
        <v>3.5462411201084429</v>
      </c>
      <c r="AS46" s="154"/>
      <c r="AT46" s="153">
        <f t="shared" si="3"/>
        <v>2212.438615340674</v>
      </c>
      <c r="AV46" s="153">
        <f t="shared" si="4"/>
        <v>6410.5112574192854</v>
      </c>
      <c r="AW46" s="273"/>
      <c r="AX46" s="155">
        <f t="shared" si="8"/>
        <v>8622.9498727599603</v>
      </c>
      <c r="AZ46" s="146">
        <f>+IF(AZ45&gt;$G$13+$G$14,XX,AZ45+1)</f>
        <v>2038</v>
      </c>
      <c r="BA46" s="117"/>
      <c r="BB46" s="154">
        <f t="shared" si="16"/>
        <v>92.189430817124801</v>
      </c>
      <c r="BD46" s="154">
        <f t="shared" si="17"/>
        <v>30.000316946075465</v>
      </c>
      <c r="BF46" s="153">
        <f t="shared" si="9"/>
        <v>1990.2466379906009</v>
      </c>
      <c r="BH46" s="157"/>
    </row>
    <row r="47" spans="2:60" ht="12">
      <c r="B47" s="2"/>
      <c r="C47">
        <f>+IF(C46&gt;$G$13+$G$14,XX,C46+1)</f>
        <v>2039</v>
      </c>
      <c r="E47" s="169">
        <f>'(2.2)_Forward_Price_Curve'!R57</f>
        <v>2.3E-2</v>
      </c>
      <c r="G47" s="18">
        <v>181300</v>
      </c>
      <c r="I47" s="28">
        <v>145.72305008643545</v>
      </c>
      <c r="K47" s="28">
        <v>50.624032608255341</v>
      </c>
      <c r="M47" s="28">
        <f t="shared" si="10"/>
        <v>0</v>
      </c>
      <c r="O47" s="270">
        <f>'(2.2)_Forward_Price_Curve'!AF57</f>
        <v>2.0417626345039688</v>
      </c>
      <c r="Q47" s="28">
        <v>0</v>
      </c>
      <c r="S47" s="18">
        <f t="shared" si="5"/>
        <v>15581.24295109069</v>
      </c>
      <c r="U47" s="18">
        <f t="shared" si="0"/>
        <v>8985.9506524164717</v>
      </c>
      <c r="W47" s="18">
        <f t="shared" si="1"/>
        <v>6595.2922986742178</v>
      </c>
      <c r="Y47" s="271">
        <f t="shared" si="6"/>
        <v>36.37778432804312</v>
      </c>
      <c r="Z47" s="235"/>
      <c r="AB47" s="146">
        <f>+IF(AB46&gt;$G$13+$G$14,XX,AB46+1)</f>
        <v>2039</v>
      </c>
      <c r="AC47" s="117"/>
      <c r="AD47" s="151">
        <f t="shared" si="2"/>
        <v>181300</v>
      </c>
      <c r="AF47" s="154">
        <f t="shared" si="11"/>
        <v>129.14158827075164</v>
      </c>
      <c r="AH47" s="154">
        <f t="shared" si="12"/>
        <v>0</v>
      </c>
      <c r="AJ47" s="154">
        <f t="shared" si="13"/>
        <v>2.7606433330258682</v>
      </c>
      <c r="AL47" s="153">
        <f t="shared" si="7"/>
        <v>4299.3470141578928</v>
      </c>
      <c r="AN47" s="154">
        <f>INDEX('(2.2)_Forward_Price_Curve'!$M:$M,MATCH($AB47,'(2.2)_Forward_Price_Curve'!$C:$C,0),1)</f>
        <v>4.94475</v>
      </c>
      <c r="AP47" s="154">
        <f t="shared" si="14"/>
        <v>33.452316398238061</v>
      </c>
      <c r="AR47" s="154">
        <f t="shared" si="15"/>
        <v>3.6278046658709369</v>
      </c>
      <c r="AS47" s="154"/>
      <c r="AT47" s="153">
        <f t="shared" si="3"/>
        <v>2263.3247034935084</v>
      </c>
      <c r="AV47" s="153">
        <f t="shared" si="4"/>
        <v>6722.6259489229624</v>
      </c>
      <c r="AW47" s="273"/>
      <c r="AX47" s="155">
        <f t="shared" si="8"/>
        <v>8985.9506524164717</v>
      </c>
      <c r="AZ47" s="146">
        <f>+IF(AZ46&gt;$G$13+$G$14,XX,AZ46+1)</f>
        <v>2039</v>
      </c>
      <c r="BA47" s="117"/>
      <c r="BB47" s="154">
        <f t="shared" si="16"/>
        <v>94.309787725918667</v>
      </c>
      <c r="BD47" s="154">
        <f t="shared" si="17"/>
        <v>30.690324235835199</v>
      </c>
      <c r="BF47" s="153">
        <f t="shared" si="9"/>
        <v>2036.0223106643846</v>
      </c>
      <c r="BH47" s="157"/>
    </row>
    <row r="48" spans="2:60" ht="12">
      <c r="B48" s="2"/>
      <c r="C48">
        <f>+IF(C47&gt;$G$13+$G$14,XX,C47+1)</f>
        <v>2040</v>
      </c>
      <c r="E48" s="169">
        <f>'(2.2)_Forward_Price_Curve'!R58</f>
        <v>2.3E-2</v>
      </c>
      <c r="G48" s="18">
        <v>181300</v>
      </c>
      <c r="I48" s="28">
        <v>148.95810179835431</v>
      </c>
      <c r="K48" s="28">
        <v>51.788385358245201</v>
      </c>
      <c r="M48" s="28">
        <f t="shared" si="10"/>
        <v>0</v>
      </c>
      <c r="O48" s="270">
        <f>'(2.2)_Forward_Price_Curve'!AF58</f>
        <v>2.0887231750975599</v>
      </c>
      <c r="Q48" s="28">
        <v>0</v>
      </c>
      <c r="S48" s="18">
        <f t="shared" si="5"/>
        <v>15934.785191546909</v>
      </c>
      <c r="U48" s="18">
        <f t="shared" si="0"/>
        <v>9332.8764899025591</v>
      </c>
      <c r="W48" s="18">
        <f t="shared" si="1"/>
        <v>6601.90870164435</v>
      </c>
      <c r="Y48" s="271">
        <f t="shared" si="6"/>
        <v>36.414278552919747</v>
      </c>
      <c r="Z48" s="235"/>
      <c r="AB48" s="146">
        <f>+IF(AB47&gt;$G$13+$G$14,XX,AB47+1)</f>
        <v>2040</v>
      </c>
      <c r="AC48" s="117"/>
      <c r="AD48" s="151">
        <f t="shared" si="2"/>
        <v>181300</v>
      </c>
      <c r="AF48" s="154">
        <f t="shared" si="11"/>
        <v>132.11184480097893</v>
      </c>
      <c r="AH48" s="154">
        <f t="shared" si="12"/>
        <v>0</v>
      </c>
      <c r="AJ48" s="154">
        <f t="shared" si="13"/>
        <v>2.8241381296854629</v>
      </c>
      <c r="AL48" s="153">
        <f t="shared" si="7"/>
        <v>4398.2319954835239</v>
      </c>
      <c r="AN48" s="154">
        <f>INDEX('(2.2)_Forward_Price_Curve'!$M:$M,MATCH($AB48,'(2.2)_Forward_Price_Curve'!$C:$C,0),1)</f>
        <v>5.1728249999999996</v>
      </c>
      <c r="AP48" s="154">
        <f t="shared" si="14"/>
        <v>34.995293710039086</v>
      </c>
      <c r="AR48" s="154">
        <f t="shared" si="15"/>
        <v>3.711244173185968</v>
      </c>
      <c r="AS48" s="154"/>
      <c r="AT48" s="153">
        <f t="shared" si="3"/>
        <v>2315.3811716738583</v>
      </c>
      <c r="AV48" s="153">
        <f t="shared" si="4"/>
        <v>7017.4953182287018</v>
      </c>
      <c r="AW48" s="273"/>
      <c r="AX48" s="155">
        <f t="shared" si="8"/>
        <v>9332.8764899025591</v>
      </c>
      <c r="AZ48" s="146">
        <f>+IF(AZ47&gt;$G$13+$G$14,XX,AZ47+1)</f>
        <v>2040</v>
      </c>
      <c r="BA48" s="117"/>
      <c r="BB48" s="154">
        <f t="shared" si="16"/>
        <v>96.478912843614793</v>
      </c>
      <c r="BD48" s="154">
        <f t="shared" si="17"/>
        <v>31.396201693259407</v>
      </c>
      <c r="BF48" s="153">
        <f t="shared" si="9"/>
        <v>2082.8508238096656</v>
      </c>
      <c r="BH48" s="157"/>
    </row>
    <row r="49" spans="2:60" ht="12">
      <c r="B49" s="2"/>
      <c r="C49">
        <f>+IF(C48&gt;$G$13+$G$14,XX,C48+1)</f>
        <v>2041</v>
      </c>
      <c r="E49" s="169">
        <f>'(2.2)_Forward_Price_Curve'!R59</f>
        <v>2.1999999999999999E-2</v>
      </c>
      <c r="G49" s="18">
        <v>181300</v>
      </c>
      <c r="I49" s="28">
        <v>152.2649716582778</v>
      </c>
      <c r="K49" s="28">
        <v>52.979518221484824</v>
      </c>
      <c r="M49" s="28">
        <f t="shared" si="10"/>
        <v>0</v>
      </c>
      <c r="O49" s="270">
        <f>'(2.2)_Forward_Price_Curve'!AF59</f>
        <v>2.134675084949706</v>
      </c>
      <c r="Q49" s="28">
        <v>0</v>
      </c>
      <c r="S49" s="18">
        <f t="shared" si="5"/>
        <v>16295.97307310928</v>
      </c>
      <c r="U49" s="18">
        <f t="shared" si="0"/>
        <v>9779.3184267818815</v>
      </c>
      <c r="W49" s="18">
        <f t="shared" si="1"/>
        <v>6516.654646327399</v>
      </c>
      <c r="Y49" s="271">
        <f t="shared" si="6"/>
        <v>35.94404107185548</v>
      </c>
      <c r="Z49" s="235"/>
      <c r="AB49" s="146">
        <f>+IF(AB48&gt;$G$13+$G$14,XX,AB48+1)</f>
        <v>2041</v>
      </c>
      <c r="AC49" s="117"/>
      <c r="AD49" s="151">
        <f t="shared" si="2"/>
        <v>181300</v>
      </c>
      <c r="AF49" s="154">
        <f t="shared" si="11"/>
        <v>135.01830538660047</v>
      </c>
      <c r="AH49" s="154">
        <f t="shared" si="12"/>
        <v>0</v>
      </c>
      <c r="AJ49" s="154">
        <f t="shared" si="13"/>
        <v>2.8862691685385431</v>
      </c>
      <c r="AL49" s="153">
        <f t="shared" si="7"/>
        <v>4494.9930993841617</v>
      </c>
      <c r="AN49" s="154">
        <f>INDEX('(2.2)_Forward_Price_Curve'!$M:$M,MATCH($AB49,'(2.2)_Forward_Price_Curve'!$C:$C,0),1)</f>
        <v>5.4832125000000005</v>
      </c>
      <c r="AP49" s="154">
        <f t="shared" si="14"/>
        <v>37.095133106582523</v>
      </c>
      <c r="AR49" s="154">
        <f t="shared" si="15"/>
        <v>3.7928915449960594</v>
      </c>
      <c r="AS49" s="154"/>
      <c r="AT49" s="153">
        <f t="shared" si="3"/>
        <v>2366.319557450684</v>
      </c>
      <c r="AV49" s="153">
        <f t="shared" si="4"/>
        <v>7412.9988693311971</v>
      </c>
      <c r="AW49" s="273"/>
      <c r="AX49" s="155">
        <f t="shared" si="8"/>
        <v>9779.3184267818815</v>
      </c>
      <c r="AZ49" s="146">
        <f>+IF(AZ48&gt;$G$13+$G$14,XX,AZ48+1)</f>
        <v>2041</v>
      </c>
      <c r="BA49" s="117"/>
      <c r="BB49" s="154">
        <f t="shared" si="16"/>
        <v>98.601448926174314</v>
      </c>
      <c r="BD49" s="154">
        <f t="shared" si="17"/>
        <v>32.086918130511116</v>
      </c>
      <c r="BF49" s="153">
        <f t="shared" si="9"/>
        <v>2128.6735419334777</v>
      </c>
      <c r="BH49" s="157"/>
    </row>
    <row r="50" spans="2:60" ht="12">
      <c r="B50" s="2"/>
      <c r="C50">
        <f>+IF(C49&gt;$G$13+$G$14,XX,C49+1)</f>
        <v>2042</v>
      </c>
      <c r="E50" s="169">
        <f>'(2.2)_Forward_Price_Curve'!R60</f>
        <v>2.1999999999999999E-2</v>
      </c>
      <c r="G50" s="18">
        <v>181300</v>
      </c>
      <c r="I50" s="28">
        <v>155.64525402909157</v>
      </c>
      <c r="K50" s="28">
        <v>54.198047140578979</v>
      </c>
      <c r="M50" s="28">
        <f t="shared" si="10"/>
        <v>0</v>
      </c>
      <c r="O50" s="270">
        <f>'(2.2)_Forward_Price_Curve'!AF60</f>
        <v>2.1816379368185994</v>
      </c>
      <c r="Q50" s="28">
        <v>0</v>
      </c>
      <c r="S50" s="18">
        <f t="shared" si="5"/>
        <v>16665.350421336574</v>
      </c>
      <c r="U50" s="18">
        <f t="shared" si="0"/>
        <v>10159.604190449056</v>
      </c>
      <c r="W50" s="18">
        <f t="shared" si="1"/>
        <v>6505.7462308875183</v>
      </c>
      <c r="Y50" s="271">
        <f t="shared" si="6"/>
        <v>35.883873308811467</v>
      </c>
      <c r="Z50" s="235"/>
      <c r="AB50" s="146">
        <f>+IF(AB49&gt;$G$13+$G$14,XX,AB49+1)</f>
        <v>2042</v>
      </c>
      <c r="AC50" s="117"/>
      <c r="AD50" s="151">
        <f t="shared" si="2"/>
        <v>181300</v>
      </c>
      <c r="AF50" s="154">
        <f t="shared" si="11"/>
        <v>137.9887081051057</v>
      </c>
      <c r="AH50" s="154">
        <f t="shared" si="12"/>
        <v>0</v>
      </c>
      <c r="AJ50" s="154">
        <f t="shared" si="13"/>
        <v>2.9497670902463913</v>
      </c>
      <c r="AL50" s="153">
        <f t="shared" si="7"/>
        <v>4593.8829475706143</v>
      </c>
      <c r="AN50" s="154">
        <f>INDEX('(2.2)_Forward_Price_Curve'!$M:$M,MATCH($AB50,'(2.2)_Forward_Price_Curve'!$C:$C,0),1)</f>
        <v>5.738483333333332</v>
      </c>
      <c r="AP50" s="154">
        <f t="shared" si="14"/>
        <v>38.822096185384986</v>
      </c>
      <c r="AR50" s="154">
        <f t="shared" si="15"/>
        <v>3.8763351589859729</v>
      </c>
      <c r="AS50" s="154"/>
      <c r="AT50" s="153">
        <f t="shared" si="3"/>
        <v>2418.3785877146001</v>
      </c>
      <c r="AV50" s="153">
        <f t="shared" si="4"/>
        <v>7741.2256027344547</v>
      </c>
      <c r="AW50" s="273"/>
      <c r="AX50" s="155">
        <f t="shared" si="8"/>
        <v>10159.604190449056</v>
      </c>
      <c r="AZ50" s="146">
        <f>+IF(AZ49&gt;$G$13+$G$14,XX,AZ49+1)</f>
        <v>2042</v>
      </c>
      <c r="BA50" s="117"/>
      <c r="BB50" s="154">
        <f t="shared" si="16"/>
        <v>100.77068080255015</v>
      </c>
      <c r="BD50" s="154">
        <f t="shared" si="17"/>
        <v>32.792830329382362</v>
      </c>
      <c r="BF50" s="153">
        <f t="shared" si="9"/>
        <v>2175.5043598560142</v>
      </c>
      <c r="BH50" s="157"/>
    </row>
    <row r="51" spans="2:60" ht="12">
      <c r="B51" s="2"/>
      <c r="C51">
        <f>+IF(C50&gt;$G$13+$G$14,XX,C50+1)</f>
        <v>2043</v>
      </c>
      <c r="E51" s="169">
        <f>'(2.2)_Forward_Price_Curve'!R61</f>
        <v>2.3E-2</v>
      </c>
      <c r="G51" s="18">
        <v>181300</v>
      </c>
      <c r="I51" s="28">
        <v>159.10057866853739</v>
      </c>
      <c r="K51" s="28">
        <v>55.444602224812286</v>
      </c>
      <c r="M51" s="28">
        <f t="shared" si="10"/>
        <v>0</v>
      </c>
      <c r="O51" s="270">
        <f>'(2.2)_Forward_Price_Curve'!AF61</f>
        <v>2.2318156093654271</v>
      </c>
      <c r="Q51" s="28">
        <v>0</v>
      </c>
      <c r="S51" s="18">
        <f t="shared" si="5"/>
        <v>17043.498510213867</v>
      </c>
      <c r="U51" s="18">
        <f t="shared" si="0"/>
        <v>10606.418989885269</v>
      </c>
      <c r="W51" s="18">
        <f t="shared" si="1"/>
        <v>6437.0795203285979</v>
      </c>
      <c r="Y51" s="271">
        <f t="shared" si="6"/>
        <v>35.505126973682287</v>
      </c>
      <c r="Z51" s="235"/>
      <c r="AB51" s="146">
        <f>+IF(AB50&gt;$G$13+$G$14,XX,AB50+1)</f>
        <v>2043</v>
      </c>
      <c r="AC51" s="117"/>
      <c r="AD51" s="151">
        <f t="shared" si="2"/>
        <v>181300</v>
      </c>
      <c r="AF51" s="154">
        <f t="shared" si="11"/>
        <v>141.16244839152313</v>
      </c>
      <c r="AH51" s="154">
        <f t="shared" si="12"/>
        <v>0</v>
      </c>
      <c r="AJ51" s="154">
        <f t="shared" si="13"/>
        <v>3.0176117333220578</v>
      </c>
      <c r="AL51" s="153">
        <f t="shared" si="7"/>
        <v>4699.5422553647386</v>
      </c>
      <c r="AN51" s="154">
        <f>INDEX('(2.2)_Forward_Price_Curve'!$M:$M,MATCH($AB51,'(2.2)_Forward_Price_Curve'!$C:$C,0),1)</f>
        <v>6.0442458333333322</v>
      </c>
      <c r="AP51" s="154">
        <f t="shared" si="14"/>
        <v>40.890646444289139</v>
      </c>
      <c r="AR51" s="154">
        <f t="shared" si="15"/>
        <v>3.9654908676426501</v>
      </c>
      <c r="AS51" s="154"/>
      <c r="AT51" s="153">
        <f t="shared" si="3"/>
        <v>2474.0012952320358</v>
      </c>
      <c r="AV51" s="153">
        <f t="shared" si="4"/>
        <v>8132.4176946532334</v>
      </c>
      <c r="AW51" s="273"/>
      <c r="AX51" s="155">
        <f t="shared" si="8"/>
        <v>10606.418989885269</v>
      </c>
      <c r="AZ51" s="146">
        <f>+IF(AZ50&gt;$G$13+$G$14,XX,AZ50+1)</f>
        <v>2043</v>
      </c>
      <c r="BA51" s="117"/>
      <c r="BB51" s="154">
        <f t="shared" si="16"/>
        <v>103.08840646100879</v>
      </c>
      <c r="BD51" s="154">
        <f t="shared" si="17"/>
        <v>33.547065426958156</v>
      </c>
      <c r="BF51" s="153">
        <f t="shared" si="9"/>
        <v>2225.5409601327028</v>
      </c>
      <c r="BH51" s="157"/>
    </row>
    <row r="52" spans="2:60" ht="12">
      <c r="B52" s="2"/>
      <c r="C52">
        <f>+IF(C51&gt;$G$13+$G$14,XX,C51+1)</f>
        <v>2044</v>
      </c>
      <c r="E52" s="169">
        <f>'(2.2)_Forward_Price_Curve'!R62</f>
        <v>2.1999999999999999E-2</v>
      </c>
      <c r="G52" s="18">
        <v>181300</v>
      </c>
      <c r="I52" s="28">
        <v>162.63261151497892</v>
      </c>
      <c r="K52" s="28">
        <v>56.608938871533333</v>
      </c>
      <c r="M52" s="28">
        <f t="shared" si="10"/>
        <v>0</v>
      </c>
      <c r="O52" s="270">
        <f>'(2.2)_Forward_Price_Curve'!AF62</f>
        <v>2.2809155527714666</v>
      </c>
      <c r="Q52" s="28">
        <v>0</v>
      </c>
      <c r="S52" s="18">
        <f t="shared" si="5"/>
        <v>17409.720723846585</v>
      </c>
      <c r="U52" s="18">
        <f t="shared" si="0"/>
        <v>11481.806816187291</v>
      </c>
      <c r="W52" s="18">
        <f t="shared" si="1"/>
        <v>5927.9139076592946</v>
      </c>
      <c r="Y52" s="271">
        <f t="shared" si="6"/>
        <v>32.696712121672888</v>
      </c>
      <c r="Z52" s="235"/>
      <c r="AB52" s="146">
        <f>+IF(AB51&gt;$G$13+$G$14,XX,AB51+1)</f>
        <v>2044</v>
      </c>
      <c r="AC52" s="117"/>
      <c r="AD52" s="151">
        <f t="shared" si="2"/>
        <v>181300</v>
      </c>
      <c r="AF52" s="154">
        <f t="shared" si="11"/>
        <v>144.26802225613665</v>
      </c>
      <c r="AH52" s="154">
        <f t="shared" si="12"/>
        <v>0</v>
      </c>
      <c r="AJ52" s="154">
        <f t="shared" si="13"/>
        <v>3.0839991914551432</v>
      </c>
      <c r="AL52" s="153">
        <f t="shared" si="7"/>
        <v>4802.9321849827638</v>
      </c>
      <c r="AN52" s="154">
        <f>INDEX('(2.2)_Forward_Price_Curve'!$M:$M,MATCH($AB52,'(2.2)_Forward_Price_Curve'!$C:$C,0),1)</f>
        <v>6.7006833333333331</v>
      </c>
      <c r="AP52" s="154">
        <f t="shared" si="14"/>
        <v>45.331589858145939</v>
      </c>
      <c r="AR52" s="154">
        <f t="shared" si="15"/>
        <v>4.0527316667307884</v>
      </c>
      <c r="AS52" s="154"/>
      <c r="AT52" s="153">
        <f t="shared" si="3"/>
        <v>2528.4293237271418</v>
      </c>
      <c r="AV52" s="153">
        <f t="shared" si="4"/>
        <v>8953.3774924601494</v>
      </c>
      <c r="AW52" s="273"/>
      <c r="AX52" s="155">
        <f t="shared" si="8"/>
        <v>11481.806816187291</v>
      </c>
      <c r="AZ52" s="146">
        <f>+IF(AZ51&gt;$G$13+$G$14,XX,AZ51+1)</f>
        <v>2044</v>
      </c>
      <c r="BA52" s="117"/>
      <c r="BB52" s="154">
        <f t="shared" si="16"/>
        <v>105.35635140315098</v>
      </c>
      <c r="BD52" s="154">
        <f t="shared" si="17"/>
        <v>34.285100866351236</v>
      </c>
      <c r="BF52" s="153">
        <f t="shared" si="9"/>
        <v>2274.5028612556221</v>
      </c>
      <c r="BH52" s="157"/>
    </row>
    <row r="53" spans="2:60" ht="12">
      <c r="B53" s="2"/>
      <c r="C53">
        <f>+IF(C52&gt;$G$13+$G$14,XX,C52+1)</f>
        <v>2045</v>
      </c>
      <c r="E53" s="169">
        <f>'(2.2)_Forward_Price_Curve'!R63</f>
        <v>2.1999999999999999E-2</v>
      </c>
      <c r="G53" s="18">
        <v>181300</v>
      </c>
      <c r="I53" s="28">
        <v>166.24305549061145</v>
      </c>
      <c r="K53" s="28">
        <v>57.79772658783552</v>
      </c>
      <c r="M53" s="28">
        <f t="shared" si="10"/>
        <v>0</v>
      </c>
      <c r="O53" s="270">
        <f>'(2.2)_Forward_Price_Curve'!AF63</f>
        <v>2.3310956949324391</v>
      </c>
      <c r="Q53" s="28">
        <v>0</v>
      </c>
      <c r="S53" s="18">
        <f t="shared" si="5"/>
        <v>17783.817977177143</v>
      </c>
      <c r="U53" s="18">
        <f t="shared" si="0"/>
        <v>11734.406566143409</v>
      </c>
      <c r="W53" s="18">
        <f t="shared" si="1"/>
        <v>6049.4114110337341</v>
      </c>
      <c r="Y53" s="271">
        <f t="shared" si="6"/>
        <v>33.366858306860088</v>
      </c>
      <c r="Z53" s="235"/>
      <c r="AB53" s="146">
        <f>+IF(AB52&gt;$G$13+$G$14,XX,AB52+1)</f>
        <v>2045</v>
      </c>
      <c r="AC53" s="117"/>
      <c r="AD53" s="151">
        <f t="shared" si="2"/>
        <v>181300</v>
      </c>
      <c r="AF53" s="154">
        <f t="shared" si="11"/>
        <v>147.44191874577166</v>
      </c>
      <c r="AH53" s="154">
        <f t="shared" si="12"/>
        <v>0</v>
      </c>
      <c r="AJ53" s="154">
        <f t="shared" si="13"/>
        <v>3.1518471736671563</v>
      </c>
      <c r="AL53" s="153">
        <f t="shared" si="7"/>
        <v>4908.5966930523828</v>
      </c>
      <c r="AN53" s="154">
        <f>INDEX('(2.2)_Forward_Price_Curve'!$M:$M,MATCH($AB53,'(2.2)_Forward_Price_Curve'!$C:$C,0),1)</f>
        <v>6.8480983666666662</v>
      </c>
      <c r="AP53" s="154">
        <f t="shared" si="14"/>
        <v>46.328884835025143</v>
      </c>
      <c r="AR53" s="154">
        <f t="shared" si="15"/>
        <v>4.1418917633988661</v>
      </c>
      <c r="AS53" s="154"/>
      <c r="AT53" s="153">
        <f t="shared" si="3"/>
        <v>2584.054768849137</v>
      </c>
      <c r="AV53" s="153">
        <f t="shared" si="4"/>
        <v>9150.3517972942718</v>
      </c>
      <c r="AW53" s="273"/>
      <c r="AX53" s="155">
        <f t="shared" si="8"/>
        <v>11734.406566143409</v>
      </c>
      <c r="AZ53" s="146">
        <f>+IF(AZ52&gt;$G$13+$G$14,XX,AZ52+1)</f>
        <v>2045</v>
      </c>
      <c r="BA53" s="117"/>
      <c r="BB53" s="154">
        <f t="shared" si="16"/>
        <v>107.6741911340203</v>
      </c>
      <c r="BD53" s="154">
        <f t="shared" si="17"/>
        <v>35.039373085410965</v>
      </c>
      <c r="BF53" s="153">
        <f t="shared" si="9"/>
        <v>2324.5419242032458</v>
      </c>
      <c r="BH53" s="157"/>
    </row>
    <row r="54" spans="2:60" ht="12">
      <c r="B54" s="2"/>
      <c r="C54">
        <f>+IF(C53&gt;$G$13+$G$14,XX,C53+1)</f>
        <v>2046</v>
      </c>
      <c r="E54" s="169">
        <f>'(2.2)_Forward_Price_Curve'!R64</f>
        <v>2.1999999999999999E-2</v>
      </c>
      <c r="G54" s="18">
        <v>181300</v>
      </c>
      <c r="I54" s="28">
        <v>169.93365132250301</v>
      </c>
      <c r="K54" s="28">
        <v>59.011478846180061</v>
      </c>
      <c r="M54" s="28">
        <f t="shared" si="10"/>
        <v>0</v>
      </c>
      <c r="O54" s="270">
        <f>'(2.2)_Forward_Price_Curve'!AF64</f>
        <v>2.3823798002209529</v>
      </c>
      <c r="Q54" s="28">
        <v>0</v>
      </c>
      <c r="S54" s="18">
        <f t="shared" si="5"/>
        <v>18165.959737344132</v>
      </c>
      <c r="U54" s="18">
        <f t="shared" si="0"/>
        <v>11992.563510598566</v>
      </c>
      <c r="W54" s="18">
        <f t="shared" si="1"/>
        <v>6173.3962267455663</v>
      </c>
      <c r="Y54" s="271">
        <f t="shared" si="6"/>
        <v>34.050723809958996</v>
      </c>
      <c r="Z54" s="235"/>
      <c r="AB54" s="146">
        <f>+IF(AB53&gt;$G$13+$G$14,XX,AB53+1)</f>
        <v>2046</v>
      </c>
      <c r="AC54" s="117"/>
      <c r="AD54" s="151">
        <f t="shared" si="2"/>
        <v>181300</v>
      </c>
      <c r="AF54" s="154">
        <f t="shared" si="11"/>
        <v>150.68564095817865</v>
      </c>
      <c r="AH54" s="154">
        <f t="shared" si="12"/>
        <v>0</v>
      </c>
      <c r="AJ54" s="154">
        <f t="shared" si="13"/>
        <v>3.2211878114878338</v>
      </c>
      <c r="AL54" s="153">
        <f t="shared" si="7"/>
        <v>5016.585820299536</v>
      </c>
      <c r="AN54" s="154">
        <f>INDEX('(2.2)_Forward_Price_Curve'!$M:$M,MATCH($AB54,'(2.2)_Forward_Price_Curve'!$C:$C,0),1)</f>
        <v>6.998756530733333</v>
      </c>
      <c r="AP54" s="154">
        <f t="shared" si="14"/>
        <v>47.348120301395696</v>
      </c>
      <c r="AR54" s="154">
        <f t="shared" si="15"/>
        <v>4.2330133821936409</v>
      </c>
      <c r="AS54" s="154"/>
      <c r="AT54" s="153">
        <f t="shared" si="3"/>
        <v>2640.9039737638191</v>
      </c>
      <c r="AV54" s="153">
        <f t="shared" si="4"/>
        <v>9351.6595368347462</v>
      </c>
      <c r="AW54" s="273"/>
      <c r="AX54" s="155">
        <f t="shared" si="8"/>
        <v>11992.563510598566</v>
      </c>
      <c r="AZ54" s="146">
        <f>+IF(AZ53&gt;$G$13+$G$14,XX,AZ53+1)</f>
        <v>2046</v>
      </c>
      <c r="BA54" s="117"/>
      <c r="BB54" s="154">
        <f t="shared" si="16"/>
        <v>110.04302333896875</v>
      </c>
      <c r="BD54" s="154">
        <f t="shared" si="17"/>
        <v>35.81023929329001</v>
      </c>
      <c r="BF54" s="153">
        <f t="shared" si="9"/>
        <v>2375.6818465357169</v>
      </c>
      <c r="BH54" s="157"/>
    </row>
    <row r="55" spans="2:60" ht="12">
      <c r="B55" s="2"/>
      <c r="C55">
        <f>+IF(C54&gt;$G$13+$G$14,XX,C54+1)</f>
        <v>2047</v>
      </c>
      <c r="E55" s="169">
        <f>'(2.2)_Forward_Price_Curve'!R65</f>
        <v>2.1999999999999999E-2</v>
      </c>
      <c r="G55" s="18">
        <v>181300</v>
      </c>
      <c r="I55" s="28">
        <v>173.7061783818626</v>
      </c>
      <c r="K55" s="28">
        <v>60.250719901949843</v>
      </c>
      <c r="M55" s="28">
        <f t="shared" si="10"/>
        <v>0</v>
      </c>
      <c r="O55" s="270">
        <f>'(2.2)_Forward_Price_Curve'!AF65</f>
        <v>2.4347921558258139</v>
      </c>
      <c r="Q55" s="28">
        <v>0</v>
      </c>
      <c r="S55" s="18">
        <f t="shared" si="5"/>
        <v>18556.319121083838</v>
      </c>
      <c r="U55" s="18">
        <f t="shared" si="0"/>
        <v>12256.399907831734</v>
      </c>
      <c r="W55" s="18">
        <f t="shared" si="1"/>
        <v>6299.9192132521039</v>
      </c>
      <c r="Y55" s="271">
        <f t="shared" si="6"/>
        <v>34.748589151969682</v>
      </c>
      <c r="Z55" s="235"/>
      <c r="AB55" s="146">
        <f>+IF(AB54&gt;$G$13+$G$14,XX,AB54+1)</f>
        <v>2047</v>
      </c>
      <c r="AC55" s="117"/>
      <c r="AD55" s="151">
        <f t="shared" si="2"/>
        <v>181300</v>
      </c>
      <c r="AF55" s="154">
        <f t="shared" si="11"/>
        <v>154.0007250592586</v>
      </c>
      <c r="AH55" s="154">
        <f t="shared" si="12"/>
        <v>0</v>
      </c>
      <c r="AJ55" s="154">
        <f t="shared" si="13"/>
        <v>3.2920539433405662</v>
      </c>
      <c r="AL55" s="153">
        <f t="shared" si="7"/>
        <v>5126.9507083461267</v>
      </c>
      <c r="AN55" s="154">
        <f>INDEX('(2.2)_Forward_Price_Curve'!$M:$M,MATCH($AB55,'(2.2)_Forward_Price_Curve'!$C:$C,0),1)</f>
        <v>7.1527291744094663</v>
      </c>
      <c r="AP55" s="154">
        <f t="shared" si="14"/>
        <v>48.389778948026404</v>
      </c>
      <c r="AR55" s="154">
        <f t="shared" si="15"/>
        <v>4.3261396766019011</v>
      </c>
      <c r="AS55" s="154"/>
      <c r="AT55" s="153">
        <f t="shared" si="3"/>
        <v>2699.0038611866239</v>
      </c>
      <c r="AV55" s="153">
        <f t="shared" si="4"/>
        <v>9557.3960466451099</v>
      </c>
      <c r="AW55" s="273"/>
      <c r="AX55" s="155">
        <f t="shared" si="8"/>
        <v>12256.399907831734</v>
      </c>
      <c r="AZ55" s="146">
        <f>+IF(AZ54&gt;$G$13+$G$14,XX,AZ54+1)</f>
        <v>2047</v>
      </c>
      <c r="BA55" s="117"/>
      <c r="BB55" s="154">
        <f t="shared" si="16"/>
        <v>112.46396985242606</v>
      </c>
      <c r="BD55" s="154">
        <f t="shared" si="17"/>
        <v>36.59806455774239</v>
      </c>
      <c r="BF55" s="153">
        <f t="shared" si="9"/>
        <v>2427.9468471595028</v>
      </c>
      <c r="BH55" s="157"/>
    </row>
    <row r="56" spans="2:60" ht="12">
      <c r="B56" s="2"/>
      <c r="C56">
        <f>+IF(C55&gt;$G$13+$G$14,XX,C55+1)</f>
        <v>2048</v>
      </c>
      <c r="E56" s="169">
        <f>'(2.2)_Forward_Price_Curve'!R66</f>
        <v>2.1999999999999999E-2</v>
      </c>
      <c r="G56" s="18">
        <v>181300</v>
      </c>
      <c r="I56" s="28">
        <v>177.56245554193993</v>
      </c>
      <c r="K56" s="28">
        <v>61.515985019890785</v>
      </c>
      <c r="M56" s="28">
        <f t="shared" si="10"/>
        <v>0</v>
      </c>
      <c r="O56" s="270">
        <f>'(2.2)_Forward_Price_Curve'!AF66</f>
        <v>2.4883575832539817</v>
      </c>
      <c r="Q56" s="28">
        <v>0</v>
      </c>
      <c r="S56" s="18">
        <f t="shared" si="5"/>
        <v>18955.072973386457</v>
      </c>
      <c r="U56" s="18">
        <f t="shared" si="0"/>
        <v>12526.040705804035</v>
      </c>
      <c r="W56" s="18">
        <f t="shared" si="1"/>
        <v>6429.0322675824227</v>
      </c>
      <c r="Y56" s="271">
        <f t="shared" si="6"/>
        <v>35.460740582363059</v>
      </c>
      <c r="Z56" s="235"/>
      <c r="AB56" s="146">
        <f>+IF(AB55&gt;$G$13+$G$14,XX,AB55+1)</f>
        <v>2048</v>
      </c>
      <c r="AC56" s="117"/>
      <c r="AD56" s="151">
        <f t="shared" si="2"/>
        <v>181300</v>
      </c>
      <c r="AF56" s="154">
        <f t="shared" si="11"/>
        <v>157.38874101056228</v>
      </c>
      <c r="AH56" s="154">
        <f t="shared" si="12"/>
        <v>0</v>
      </c>
      <c r="AJ56" s="154">
        <f t="shared" si="13"/>
        <v>3.3644791300940589</v>
      </c>
      <c r="AL56" s="153">
        <f t="shared" si="7"/>
        <v>5239.7436239297413</v>
      </c>
      <c r="AN56" s="154">
        <f>INDEX('(2.2)_Forward_Price_Curve'!$M:$M,MATCH($AB56,'(2.2)_Forward_Price_Curve'!$C:$C,0),1)</f>
        <v>7.3100892162464746</v>
      </c>
      <c r="AP56" s="154">
        <f t="shared" si="14"/>
        <v>49.454354084882986</v>
      </c>
      <c r="AR56" s="154">
        <f t="shared" si="15"/>
        <v>4.4213147494871432</v>
      </c>
      <c r="AS56" s="154"/>
      <c r="AT56" s="153">
        <f t="shared" si="3"/>
        <v>2758.3819461327294</v>
      </c>
      <c r="AV56" s="153">
        <f t="shared" si="4"/>
        <v>9767.6587596713052</v>
      </c>
      <c r="AW56" s="273"/>
      <c r="AX56" s="155">
        <f t="shared" si="8"/>
        <v>12526.040705804035</v>
      </c>
      <c r="AZ56" s="146">
        <f>+IF(AZ55&gt;$G$13+$G$14,XX,AZ55+1)</f>
        <v>2048</v>
      </c>
      <c r="BA56" s="117"/>
      <c r="BB56" s="154">
        <f t="shared" si="16"/>
        <v>114.93817718917944</v>
      </c>
      <c r="BD56" s="154">
        <f t="shared" si="17"/>
        <v>37.403221978012724</v>
      </c>
      <c r="BF56" s="153">
        <f t="shared" si="9"/>
        <v>2481.3616777970119</v>
      </c>
      <c r="BH56" s="157"/>
    </row>
    <row r="57" spans="2:60" ht="12">
      <c r="B57" s="2"/>
      <c r="C57">
        <f>+IF(C56&gt;$G$13+$G$14,XX,C56+1)</f>
        <v>2049</v>
      </c>
      <c r="E57" s="169">
        <f>'(2.2)_Forward_Price_Curve'!R67</f>
        <v>2.1999999999999999E-2</v>
      </c>
      <c r="G57" s="18">
        <v>163170</v>
      </c>
      <c r="I57" s="28">
        <v>181.504342054971</v>
      </c>
      <c r="K57" s="28">
        <v>62.80782070530848</v>
      </c>
      <c r="M57" s="28">
        <f t="shared" si="10"/>
        <v>0</v>
      </c>
      <c r="O57" s="270">
        <f>'(2.2)_Forward_Price_Curve'!AF67</f>
        <v>2.5431014500855693</v>
      </c>
      <c r="Q57" s="28">
        <v>0</v>
      </c>
      <c r="S57" s="18">
        <f t="shared" si="5"/>
        <v>18177.589729171446</v>
      </c>
      <c r="U57" s="18">
        <f t="shared" si="0"/>
        <v>11741.018913318881</v>
      </c>
      <c r="W57" s="18">
        <f t="shared" si="1"/>
        <v>6436.5708158525649</v>
      </c>
      <c r="Y57" s="271">
        <f t="shared" si="6"/>
        <v>39.447023447034162</v>
      </c>
      <c r="Z57" s="235"/>
      <c r="AB57" s="146">
        <f>+IF(AB56&gt;$G$13+$G$14,XX,AB56+1)</f>
        <v>2049</v>
      </c>
      <c r="AC57" s="117"/>
      <c r="AD57" s="151">
        <f t="shared" si="2"/>
        <v>163170</v>
      </c>
      <c r="AF57" s="154">
        <f t="shared" si="11"/>
        <v>160.85129331279467</v>
      </c>
      <c r="AH57" s="154">
        <f t="shared" si="12"/>
        <v>0</v>
      </c>
      <c r="AJ57" s="154">
        <f t="shared" si="13"/>
        <v>3.4384976709561283</v>
      </c>
      <c r="AL57" s="153">
        <f t="shared" si="7"/>
        <v>5292.6780208817618</v>
      </c>
      <c r="AN57" s="154">
        <f>INDEX('(2.2)_Forward_Price_Curve'!$M:$M,MATCH($AB57,'(2.2)_Forward_Price_Curve'!$C:$C,0),1)</f>
        <v>7.4709111790038971</v>
      </c>
      <c r="AP57" s="154">
        <f t="shared" si="14"/>
        <v>50.542349874750414</v>
      </c>
      <c r="AR57" s="154">
        <f t="shared" si="15"/>
        <v>4.5185836739758605</v>
      </c>
      <c r="AS57" s="154"/>
      <c r="AT57" s="153">
        <f t="shared" si="3"/>
        <v>2756.7263861732154</v>
      </c>
      <c r="AV57" s="153">
        <f t="shared" si="4"/>
        <v>8984.2925271456661</v>
      </c>
      <c r="AW57" s="273"/>
      <c r="AX57" s="155">
        <f t="shared" si="8"/>
        <v>11741.018913318881</v>
      </c>
      <c r="AZ57" s="146">
        <f>+IF(AZ56&gt;$G$13+$G$14,XX,AZ56+1)</f>
        <v>2049</v>
      </c>
      <c r="BA57" s="117"/>
      <c r="BB57" s="154">
        <f t="shared" si="16"/>
        <v>117.4668170873414</v>
      </c>
      <c r="BD57" s="154">
        <f t="shared" si="17"/>
        <v>38.226092861529004</v>
      </c>
      <c r="BF57" s="153">
        <f t="shared" si="9"/>
        <v>2535.9516347085464</v>
      </c>
      <c r="BH57" s="157"/>
    </row>
    <row r="58" spans="2:60" ht="12">
      <c r="B58" s="2"/>
      <c r="C58">
        <f>+IF(C57&gt;$G$13+$G$14,XX,C57+1)</f>
        <v>2050</v>
      </c>
      <c r="E58" s="169">
        <f>'(2.2)_Forward_Price_Curve'!R68</f>
        <v>2.1999999999999999E-2</v>
      </c>
      <c r="G58" s="18">
        <v>135975</v>
      </c>
      <c r="I58" s="28">
        <v>185.53373844859135</v>
      </c>
      <c r="K58" s="28">
        <v>32.063392470059981</v>
      </c>
      <c r="M58" s="28"/>
      <c r="O58" s="270">
        <f>'(2.2)_Forward_Price_Curve'!AF68</f>
        <v>2.5990496819874518</v>
      </c>
      <c r="Q58" s="28">
        <v>0</v>
      </c>
      <c r="S58" s="18">
        <f t="shared" ref="S58" si="18">(I58*$G$11*1000+(K58+M58+O58+Q58)*G58)/1000</f>
        <v>12394.322343396332</v>
      </c>
      <c r="U58" s="18">
        <f t="shared" ref="U58" si="19">AX58</f>
        <v>10373.429672688209</v>
      </c>
      <c r="W58" s="18">
        <f t="shared" ref="W58" si="20">S58-U58</f>
        <v>2020.8926707081228</v>
      </c>
      <c r="Y58" s="271">
        <f t="shared" ref="Y58" si="21">+W58*1000/G58</f>
        <v>14.862236960530412</v>
      </c>
      <c r="Z58" s="235"/>
      <c r="AB58" s="146">
        <f>+IF(AB57&gt;$G$13+$G$14,XX,AB57+1)</f>
        <v>2050</v>
      </c>
      <c r="AC58" s="117"/>
      <c r="AD58" s="151">
        <f t="shared" ref="AD58" si="22">G58</f>
        <v>135975</v>
      </c>
      <c r="AF58" s="154">
        <f t="shared" si="11"/>
        <v>164.39002176567615</v>
      </c>
      <c r="AH58" s="154">
        <f t="shared" si="12"/>
        <v>0</v>
      </c>
      <c r="AJ58" s="154">
        <f t="shared" si="13"/>
        <v>3.5141446197171633</v>
      </c>
      <c r="AL58" s="153">
        <f t="shared" ref="AL58" si="23">((AF58+AH58)*$AF$11*1000+AJ58*AD58)/1000</f>
        <v>5313.5497744079521</v>
      </c>
      <c r="AN58" s="154">
        <f>INDEX('(2.2)_Forward_Price_Curve'!$M:$M,MATCH($AB58,'(2.2)_Forward_Price_Curve'!$C:$C,0),1)</f>
        <v>7.6352712249419827</v>
      </c>
      <c r="AP58" s="154">
        <f t="shared" ref="AP58" si="24">AN58*$AF$14/1000+$AJ$14</f>
        <v>51.654281571994922</v>
      </c>
      <c r="AR58" s="154">
        <f t="shared" si="15"/>
        <v>4.6179925148033298</v>
      </c>
      <c r="AS58" s="154"/>
      <c r="AT58" s="153">
        <f t="shared" ref="AT58" si="25">AL58-BF58</f>
        <v>2721.8072037358174</v>
      </c>
      <c r="AV58" s="153">
        <f t="shared" ref="AV58" si="26">(AP58+AR58)*AD58/1000</f>
        <v>7651.6224689523924</v>
      </c>
      <c r="AW58" s="273"/>
      <c r="AX58" s="155">
        <f t="shared" ref="AX58" si="27">AT58+AV58</f>
        <v>10373.429672688209</v>
      </c>
      <c r="AZ58" s="146">
        <f>+IF(AZ57&gt;$G$13+$G$14,XX,AZ57+1)</f>
        <v>2050</v>
      </c>
      <c r="BA58" s="117"/>
      <c r="BB58" s="154">
        <f t="shared" si="16"/>
        <v>120.05108706326291</v>
      </c>
      <c r="BD58" s="154">
        <f t="shared" si="17"/>
        <v>39.067066904482644</v>
      </c>
      <c r="BF58" s="153">
        <f t="shared" ref="BF58" si="28">(BB58+BD58)*$BD$11</f>
        <v>2591.7425706721347</v>
      </c>
      <c r="BH58" s="157"/>
    </row>
    <row r="59" spans="2:60" ht="12">
      <c r="B59" s="2"/>
      <c r="E59" s="169"/>
      <c r="G59" s="18"/>
      <c r="I59" s="28"/>
      <c r="K59" s="28"/>
      <c r="M59" s="28"/>
      <c r="O59" s="270"/>
      <c r="Q59" s="28"/>
      <c r="S59" s="18"/>
      <c r="U59" s="18"/>
      <c r="W59" s="18"/>
      <c r="Y59" s="271"/>
      <c r="Z59" s="235"/>
      <c r="AB59" s="146"/>
      <c r="AC59" s="117"/>
      <c r="AD59" s="151"/>
      <c r="AF59" s="154"/>
      <c r="AH59" s="154"/>
      <c r="AJ59" s="154"/>
      <c r="AL59" s="153"/>
      <c r="AN59" s="154"/>
      <c r="AP59" s="154"/>
      <c r="AR59" s="154"/>
      <c r="AS59" s="154"/>
      <c r="AT59" s="153"/>
      <c r="AV59" s="153"/>
      <c r="AW59" s="273"/>
      <c r="AX59" s="155"/>
      <c r="AZ59" s="146"/>
      <c r="BA59" s="117"/>
      <c r="BB59" s="154"/>
      <c r="BD59" s="154"/>
      <c r="BF59" s="153"/>
      <c r="BH59" s="157"/>
    </row>
    <row r="60" spans="2:60">
      <c r="B60" s="2"/>
      <c r="E60" s="169"/>
      <c r="G60" s="267"/>
      <c r="I60" s="267"/>
      <c r="K60" s="267"/>
      <c r="M60" s="267"/>
      <c r="O60" s="267"/>
      <c r="Q60" s="267"/>
      <c r="S60" s="267"/>
      <c r="U60" s="267"/>
      <c r="W60" s="267"/>
      <c r="Y60" s="267"/>
      <c r="Z60" s="235"/>
      <c r="AB60" s="2"/>
      <c r="AF60" s="274"/>
      <c r="AH60" s="274"/>
      <c r="AJ60" s="274"/>
      <c r="AL60" s="273"/>
      <c r="AN60" s="274"/>
      <c r="AP60" s="274"/>
      <c r="AR60" s="274"/>
      <c r="AS60" s="274"/>
      <c r="AT60" s="274"/>
      <c r="AV60" s="273"/>
      <c r="AW60" s="273"/>
      <c r="AX60" s="275"/>
      <c r="AZ60" s="2"/>
      <c r="BB60" s="274"/>
      <c r="BF60" s="273"/>
      <c r="BH60" s="235"/>
    </row>
    <row r="61" spans="2:60" ht="12">
      <c r="B61" s="2"/>
      <c r="C61" s="276" t="str">
        <f>G14&amp;"-year Nominal Levelized at "&amp;TEXT($G$18,"#.00%")</f>
        <v>31-year Nominal Levelized at 6.88%</v>
      </c>
      <c r="E61" s="169"/>
      <c r="G61" s="285">
        <f>+-PMT($G$18,$G$14,NPV($G$18,G28:G58))</f>
        <v>172898.26478938371</v>
      </c>
      <c r="I61" s="28">
        <f>+-PMT($G$18,$G$14,NPV($G$18,I28:I58))</f>
        <v>121.62588951258763</v>
      </c>
      <c r="J61" s="28"/>
      <c r="K61" s="28">
        <f>+-PMT($G$18,$G$14,NPV($G$18,K28:K58))</f>
        <v>45.911504315640613</v>
      </c>
      <c r="M61" s="28">
        <f>+-PMT($G$18,$G$14,NPV($G$18,M28:M58))</f>
        <v>0</v>
      </c>
      <c r="O61" s="28">
        <f>+-PMT($G$18,$G$14,NPV($G$18,O28:O58))</f>
        <v>1.6886430249592417</v>
      </c>
      <c r="Q61" s="28">
        <f>+-PMT($G$18,$G$14,NPV($G$18,Q28:Q58))</f>
        <v>-20.626593034852025</v>
      </c>
      <c r="S61" s="285">
        <f>+-PMT($G$18,$G$14,NPV($G$18,S28:S58))</f>
        <v>9870.0329655869245</v>
      </c>
      <c r="U61" s="285">
        <f>+-PMT($G$18,$G$14,NPV($G$18,U28:U58))</f>
        <v>6978.9117691205029</v>
      </c>
      <c r="W61" s="285">
        <f>+-PMT($G$18,$G$14,NPV($G$18,W28:W58))</f>
        <v>2891.1211964664244</v>
      </c>
      <c r="Y61" s="285">
        <f>+-PMT($G$18,$G$14,NPV($G$18,Y28:Y58))</f>
        <v>17.000014123939522</v>
      </c>
      <c r="Z61" s="235"/>
      <c r="AB61" s="2"/>
      <c r="AD61" s="412">
        <f>+-PMT($G$18,$G$14,NPV($G$18,AD28:AD58))</f>
        <v>172898.26478938371</v>
      </c>
      <c r="AF61" s="154">
        <f>+-PMT($G$18,$G$14,NPV($G$18,AF28:AF58))</f>
        <v>106.80675538885185</v>
      </c>
      <c r="AH61" s="154">
        <f>+-PMT($G$18,$G$14,NPV($G$18,AH28:AH58))</f>
        <v>0</v>
      </c>
      <c r="AJ61" s="154">
        <f>+-PMT($G$18,$G$14,NPV($G$18,AJ28:AJ58))</f>
        <v>2.2831944467662875</v>
      </c>
      <c r="AL61" s="153">
        <f>+-PMT($G$18,$G$14,NPV($G$18,AL28:AL58))</f>
        <v>3539.8899385076493</v>
      </c>
      <c r="AN61" s="154">
        <f>+-PMT($G$18,$G$14,NPV($G$18,AN28:AN58))</f>
        <v>3.8666313724249801</v>
      </c>
      <c r="AP61" s="154">
        <f>+-PMT($G$18,$G$14,NPV($G$18,AP28:AP58))</f>
        <v>26.158607829660518</v>
      </c>
      <c r="AR61" s="154">
        <f>+-PMT($G$18,$G$14,NPV($G$18,AR28:AR58))</f>
        <v>3.0003816023530252</v>
      </c>
      <c r="AS61" s="154"/>
      <c r="AT61" s="153">
        <f>+-PMT($G$18,$G$14,NPV($G$18,AT28:AT58))</f>
        <v>1855.9944574836863</v>
      </c>
      <c r="AV61" s="153">
        <f>+-PMT($G$18,$G$14,NPV($G$18,AV28:AV58))</f>
        <v>5122.9173116368147</v>
      </c>
      <c r="AW61" s="273"/>
      <c r="AX61" s="155">
        <f>+-PMT($G$18,$G$14,NPV($G$18,AX28:AX58))</f>
        <v>6978.9117691205029</v>
      </c>
      <c r="AZ61" s="2"/>
      <c r="BB61" s="154">
        <f>+-PMT($G$18,$G$14,NPV($G$18,BB28:BB58))</f>
        <v>77.999059507448223</v>
      </c>
      <c r="BD61" s="154">
        <f>+-PMT($G$18,$G$14,NPV($G$18,BD28:BD58))</f>
        <v>25.382481331955212</v>
      </c>
      <c r="BF61" s="153">
        <f>+-PMT($G$18,$G$14,NPV($G$18,BF28:BF58))</f>
        <v>1683.8954810239627</v>
      </c>
      <c r="BH61" s="157"/>
    </row>
    <row r="62" spans="2:60">
      <c r="B62" s="2"/>
      <c r="E62" s="169"/>
      <c r="W62" s="18"/>
      <c r="Y62" s="271"/>
      <c r="Z62" s="235"/>
      <c r="AB62" s="2"/>
      <c r="AT62" s="273"/>
      <c r="AX62" s="235"/>
      <c r="AZ62" s="2"/>
      <c r="BH62" s="235"/>
    </row>
    <row r="63" spans="2:60">
      <c r="B63" s="238"/>
      <c r="C63" s="277"/>
      <c r="D63" s="277"/>
      <c r="E63" s="278"/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39"/>
      <c r="AB63" s="238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7"/>
      <c r="AV63" s="277"/>
      <c r="AW63" s="277"/>
      <c r="AX63" s="239"/>
      <c r="AZ63" s="238"/>
      <c r="BA63" s="277"/>
      <c r="BB63" s="277"/>
      <c r="BC63" s="277"/>
      <c r="BD63" s="277"/>
      <c r="BE63" s="277"/>
      <c r="BF63" s="277"/>
      <c r="BG63" s="277"/>
      <c r="BH63" s="239"/>
    </row>
    <row r="64" spans="2:60">
      <c r="E64" s="169"/>
    </row>
    <row r="65" spans="5:23">
      <c r="E65" s="169"/>
      <c r="G65" s="18"/>
      <c r="I65" s="18"/>
      <c r="K65" s="18"/>
      <c r="O65" s="18"/>
      <c r="Q65" s="18"/>
      <c r="S65" s="18"/>
      <c r="U65" s="18"/>
      <c r="W65" s="18"/>
    </row>
    <row r="66" spans="5:23">
      <c r="E66" s="169"/>
    </row>
    <row r="67" spans="5:23">
      <c r="E67" s="169"/>
    </row>
    <row r="68" spans="5:23">
      <c r="E68" s="169"/>
    </row>
    <row r="69" spans="5:23">
      <c r="E69" s="169"/>
    </row>
    <row r="70" spans="5:23">
      <c r="E70" s="169"/>
    </row>
    <row r="71" spans="5:23">
      <c r="E71" s="169"/>
    </row>
    <row r="72" spans="5:23">
      <c r="E72" s="169"/>
    </row>
    <row r="73" spans="5:23">
      <c r="E73" s="169"/>
    </row>
    <row r="74" spans="5:23">
      <c r="E74" s="169"/>
    </row>
    <row r="75" spans="5:23">
      <c r="E75" s="169"/>
    </row>
    <row r="76" spans="5:23">
      <c r="E76" s="169"/>
    </row>
    <row r="77" spans="5:23">
      <c r="E77" s="169"/>
    </row>
    <row r="78" spans="5:23">
      <c r="E78" s="169"/>
    </row>
    <row r="79" spans="5:23">
      <c r="E79" s="169"/>
    </row>
    <row r="80" spans="5:23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  <row r="87" spans="5:5">
      <c r="E87" s="169"/>
    </row>
  </sheetData>
  <pageMargins left="0.25" right="0.25" top="0.25" bottom="0.75" header="0.3" footer="0.3"/>
  <pageSetup paperSize="5" scale="46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AACCF-3BB7-4279-A062-9A841F1711A0}">
  <sheetPr>
    <tabColor theme="8" tint="0.79998168889431442"/>
    <pageSetUpPr fitToPage="1"/>
  </sheetPr>
  <dimension ref="A1:BH86"/>
  <sheetViews>
    <sheetView zoomScaleNormal="100"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409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379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1.8</v>
      </c>
      <c r="H11" s="252"/>
      <c r="AB11" s="122" t="s">
        <v>99</v>
      </c>
      <c r="AC11" s="123"/>
      <c r="AD11" s="123"/>
      <c r="AE11" s="123"/>
      <c r="AF11" s="281">
        <f>+G11*(G12/AJ16)</f>
        <v>1.2462445807236429</v>
      </c>
      <c r="AG11" s="127"/>
      <c r="AH11" s="123" t="s">
        <v>100</v>
      </c>
      <c r="AI11" s="124"/>
      <c r="AJ11" s="166">
        <f>'(2.1)_Proxy Resources'!N14</f>
        <v>24.131165356579</v>
      </c>
      <c r="AK11" s="235"/>
      <c r="AZ11" s="122" t="s">
        <v>99</v>
      </c>
      <c r="BA11" s="123"/>
      <c r="BB11" s="123"/>
      <c r="BC11" s="123"/>
      <c r="BD11" s="134">
        <f>(AF11*AF13-G11*G19)</f>
        <v>0.6754645807236429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0.47980416357860245</v>
      </c>
      <c r="H12" s="252"/>
      <c r="AB12" s="122" t="s">
        <v>32</v>
      </c>
      <c r="AC12" s="123"/>
      <c r="AD12" s="123"/>
      <c r="AE12" s="123"/>
      <c r="AF12" s="131">
        <f>+AD60/8760/AF11</f>
        <v>0.69299999999999951</v>
      </c>
      <c r="AG12" s="127"/>
      <c r="AH12" s="117" t="s">
        <v>101</v>
      </c>
      <c r="AI12" s="118"/>
      <c r="AJ12" s="117">
        <v>2022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2024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Resources'!O14</f>
        <v>1.8152776658187928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30</v>
      </c>
      <c r="H14" s="252"/>
      <c r="AB14" s="122" t="s">
        <v>104</v>
      </c>
      <c r="AC14" s="123"/>
      <c r="AD14" s="123"/>
      <c r="AE14" s="123"/>
      <c r="AF14" s="134">
        <f>'(2.1)_Proxy Resources'!H14</f>
        <v>6556.5707888395682</v>
      </c>
      <c r="AG14" s="127"/>
      <c r="AH14" s="117" t="s">
        <v>148</v>
      </c>
      <c r="AI14" s="118"/>
      <c r="AJ14" s="166">
        <v>0</v>
      </c>
      <c r="AK14" s="235"/>
      <c r="AZ14" s="122" t="s">
        <v>406</v>
      </c>
      <c r="BA14" s="123"/>
      <c r="BB14" s="123"/>
      <c r="BC14" s="123"/>
      <c r="BD14" s="167">
        <f>'(2.1)_Proxy Resources'!J15</f>
        <v>843</v>
      </c>
      <c r="BE14" s="132"/>
    </row>
    <row r="15" spans="1:57" ht="12">
      <c r="A15" t="s">
        <v>405</v>
      </c>
      <c r="B15" s="250"/>
      <c r="C15" s="231" t="s">
        <v>107</v>
      </c>
      <c r="D15" s="231"/>
      <c r="E15" s="231"/>
      <c r="F15" s="231"/>
      <c r="G15" s="283">
        <v>81.234602076124574</v>
      </c>
      <c r="H15" s="252"/>
      <c r="AB15" s="122" t="s">
        <v>406</v>
      </c>
      <c r="AC15" s="123"/>
      <c r="AD15" s="123"/>
      <c r="AE15" s="123"/>
      <c r="AF15" s="167">
        <f>'(2.1)_Proxy Resources'!J14</f>
        <v>1355.0378286709158</v>
      </c>
      <c r="AG15" s="127"/>
      <c r="AH15" s="117" t="s">
        <v>145</v>
      </c>
      <c r="AI15" s="118"/>
      <c r="AJ15" s="166">
        <f>'(2.1)_Proxy Resources'!P14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Resources'!K15</f>
        <v>6.4562857142857144E-2</v>
      </c>
      <c r="BE15" s="132"/>
    </row>
    <row r="16" spans="1:57" ht="12">
      <c r="A16" t="s">
        <v>405</v>
      </c>
      <c r="B16" s="250"/>
      <c r="C16" s="231" t="s">
        <v>109</v>
      </c>
      <c r="D16" s="231"/>
      <c r="E16" s="231"/>
      <c r="F16" s="231"/>
      <c r="G16" s="283">
        <f>AVERAGE(K28:K57)</f>
        <v>2.3361467667207814</v>
      </c>
      <c r="H16" s="252"/>
      <c r="AB16" s="122" t="s">
        <v>108</v>
      </c>
      <c r="AC16" s="123"/>
      <c r="AD16" s="123"/>
      <c r="AE16" s="123"/>
      <c r="AF16" s="136">
        <f>'(2.1)_Proxy Resources'!K13</f>
        <v>6.6086000000000006E-2</v>
      </c>
      <c r="AG16" s="127"/>
      <c r="AH16" s="117" t="s">
        <v>110</v>
      </c>
      <c r="AI16" s="124"/>
      <c r="AJ16" s="137">
        <f>'(2.1)_Proxy Resources'!D14</f>
        <v>0.69299999999999995</v>
      </c>
      <c r="AK16" s="235"/>
      <c r="AZ16" s="122" t="s">
        <v>100</v>
      </c>
      <c r="BA16" s="124"/>
      <c r="BB16" s="166">
        <f>'(2.1)_Proxy Resources'!O15</f>
        <v>2.7759300458983387</v>
      </c>
      <c r="BE16" s="130"/>
    </row>
    <row r="17" spans="1:60" ht="12">
      <c r="A17" t="s">
        <v>405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2022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'(2.2)_Forward_Price_Curve'!AA11</f>
        <v>6.7699999999999996E-2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'(2.2)_Forward_Price_Curve'!M103</f>
        <v>0.31709999999999999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2024</v>
      </c>
      <c r="E28" s="169">
        <f>'(2.2)_Forward_Price_Curve'!Q42</f>
        <v>2.1999999999999999E-2</v>
      </c>
      <c r="G28" s="18">
        <v>7565.5520513074043</v>
      </c>
      <c r="I28" s="28">
        <v>7.0927055010248319</v>
      </c>
      <c r="K28" s="28">
        <v>1.655712373702422</v>
      </c>
      <c r="L28" s="269"/>
      <c r="M28" s="268">
        <f>$G$17</f>
        <v>0</v>
      </c>
      <c r="O28" s="270">
        <f>'(2.2)_Forward_Price_Curve'!AH42</f>
        <v>1.6793504000000004</v>
      </c>
      <c r="Q28" s="28">
        <v>-0.78614532871972309</v>
      </c>
      <c r="S28" s="18">
        <f>(I28*$G$11*1000+(K28+M28+O28+Q28)*G28)/1000</f>
        <v>32.050837506346781</v>
      </c>
      <c r="U28" s="18">
        <f t="shared" ref="U28:U57" si="0">AX28</f>
        <v>326.23075057003786</v>
      </c>
      <c r="W28" s="18">
        <f t="shared" ref="W28:W57" si="1">S28-U28</f>
        <v>-294.17991306369106</v>
      </c>
      <c r="Y28" s="271">
        <f>+W28*1000/G28</f>
        <v>-38.884130473050384</v>
      </c>
      <c r="Z28" s="235"/>
      <c r="AB28" s="146">
        <f>$C$28</f>
        <v>2024</v>
      </c>
      <c r="AC28" s="117"/>
      <c r="AD28" s="151">
        <f t="shared" ref="AD28:AD57" si="2">G28</f>
        <v>7565.5520513074043</v>
      </c>
      <c r="AF28" s="152">
        <f>$AF$15*$AF$16*(1+E28)</f>
        <v>91.519108604348176</v>
      </c>
      <c r="AG28" s="272"/>
      <c r="AH28" s="152">
        <f>$AJ$11*(1+E28)</f>
        <v>24.66205099442374</v>
      </c>
      <c r="AI28" s="272"/>
      <c r="AJ28" s="152">
        <f>$AJ$13*(1+E28)</f>
        <v>1.8552137744668062</v>
      </c>
      <c r="AK28" s="272"/>
      <c r="AL28" s="153">
        <f>((AF28+AH28)*$AF$11*1000+AJ28*AD28)/1000</f>
        <v>158.82585690918924</v>
      </c>
      <c r="AN28" s="154">
        <f>INDEX('(2.2)_Forward_Price_Curve'!$N:$N,MATCH($AB28,'(2.2)_Forward_Price_Curve'!$C:$C,0),1)</f>
        <v>3.8152500000000003</v>
      </c>
      <c r="AO28" s="279"/>
      <c r="AP28" s="154">
        <f>AN28*$AF$14/1000+$AJ$14/(1+E29)</f>
        <v>25.014956702120166</v>
      </c>
      <c r="AQ28" s="272"/>
      <c r="AR28" s="152">
        <f>$AJ$15*(1+E28)</f>
        <v>2.3317776187938599</v>
      </c>
      <c r="AS28" s="152"/>
      <c r="AT28" s="153">
        <f t="shared" ref="AT28:AT57" si="3">AL28-BF28</f>
        <v>119.33760863188813</v>
      </c>
      <c r="AU28" s="272"/>
      <c r="AV28" s="153">
        <f t="shared" ref="AV28:AV57" si="4">(AP28+AR28)*AD28/1000</f>
        <v>206.89314193814974</v>
      </c>
      <c r="AW28" s="273"/>
      <c r="AX28" s="155">
        <f>AT28+AV28</f>
        <v>326.23075057003786</v>
      </c>
      <c r="AZ28" s="146">
        <f>$C$28</f>
        <v>2024</v>
      </c>
      <c r="BA28" s="117"/>
      <c r="BB28" s="152">
        <f>$BD$14*$BD$15*(1+E28)</f>
        <v>55.623871319999999</v>
      </c>
      <c r="BD28" s="152">
        <f>$BB$16*(1+E28)</f>
        <v>2.8370005069081023</v>
      </c>
      <c r="BE28" s="272"/>
      <c r="BF28" s="153">
        <f>(BB28+BD28)*$BD$11</f>
        <v>39.488248277301111</v>
      </c>
      <c r="BG28" s="272"/>
      <c r="BH28" s="156"/>
    </row>
    <row r="29" spans="1:60" ht="12">
      <c r="B29" s="2"/>
      <c r="C29">
        <f>+IF(C28&gt;$G$13+$G$14,XX,C28+1)</f>
        <v>2025</v>
      </c>
      <c r="E29" s="169">
        <f>'(2.2)_Forward_Price_Curve'!Q43</f>
        <v>2.1000000000000001E-2</v>
      </c>
      <c r="G29" s="18">
        <v>7565.5520513074043</v>
      </c>
      <c r="I29" s="28">
        <v>7.0927055010248319</v>
      </c>
      <c r="K29" s="28">
        <v>1.6932970445854669</v>
      </c>
      <c r="M29" s="28">
        <f>M28*(1+$E29)</f>
        <v>0</v>
      </c>
      <c r="O29" s="270">
        <f>'(2.2)_Forward_Price_Curve'!AH43</f>
        <v>1.7146167584000003</v>
      </c>
      <c r="Q29" s="28">
        <v>-0.81691349480968856</v>
      </c>
      <c r="S29" s="18">
        <f t="shared" ref="S29:S57" si="5">(I29*$G$11*1000+(K29+M29+O29+Q29)*G29)/1000</f>
        <v>32.369217598302079</v>
      </c>
      <c r="U29" s="18">
        <f t="shared" si="0"/>
        <v>328.41532835294004</v>
      </c>
      <c r="W29" s="18">
        <f t="shared" si="1"/>
        <v>-296.04611075463794</v>
      </c>
      <c r="Y29" s="271">
        <f t="shared" ref="Y29:Y57" si="6">+W29*1000/G29</f>
        <v>-39.130800865150107</v>
      </c>
      <c r="Z29" s="235"/>
      <c r="AB29" s="146">
        <f>+IF(AB28&gt;$G$13+$G$14,XX,AB28+1)</f>
        <v>2025</v>
      </c>
      <c r="AC29" s="117"/>
      <c r="AD29" s="151">
        <f t="shared" si="2"/>
        <v>7565.5520513074043</v>
      </c>
      <c r="AF29" s="154">
        <f>AF28*(1+$E29)</f>
        <v>93.441009885039477</v>
      </c>
      <c r="AH29" s="154">
        <f>AH28*(1+$E29)</f>
        <v>25.179954065306635</v>
      </c>
      <c r="AJ29" s="154">
        <f>AJ28*(1+$E29)</f>
        <v>1.894173263730609</v>
      </c>
      <c r="AL29" s="153">
        <f t="shared" ref="AL29:AL57" si="7">((AF29+AH29)*$AF$11*1000+AJ29*AD29)/1000</f>
        <v>162.16119990428217</v>
      </c>
      <c r="AN29" s="154">
        <f>INDEX('(2.2)_Forward_Price_Curve'!$N:$N,MATCH($AB29,'(2.2)_Forward_Price_Curve'!$C:$C,0),1)</f>
        <v>3.8012999999999999</v>
      </c>
      <c r="AP29" s="154">
        <f>AN29*$AF$14/1000+$AJ$14</f>
        <v>24.92349253961585</v>
      </c>
      <c r="AR29" s="154">
        <f>AR28*(1+$E29)</f>
        <v>2.3807449487885308</v>
      </c>
      <c r="AS29" s="154"/>
      <c r="AT29" s="153">
        <f t="shared" si="3"/>
        <v>121.84369841315774</v>
      </c>
      <c r="AV29" s="153">
        <f t="shared" si="4"/>
        <v>206.57162993978233</v>
      </c>
      <c r="AW29" s="273"/>
      <c r="AX29" s="155">
        <f t="shared" ref="AX29:AX57" si="8">AT29+AV29</f>
        <v>328.41532835294004</v>
      </c>
      <c r="AZ29" s="146">
        <f>+IF(AZ28&gt;$G$13+$G$14,XX,AZ28+1)</f>
        <v>2025</v>
      </c>
      <c r="BA29" s="117"/>
      <c r="BB29" s="154">
        <f>BB28*(1+$E29)</f>
        <v>56.791972617719992</v>
      </c>
      <c r="BD29" s="154">
        <f>BD28*(1+$E29)</f>
        <v>2.8965775175531721</v>
      </c>
      <c r="BF29" s="153">
        <f t="shared" ref="BF29:BF57" si="9">(BB29+BD29)*$BD$11</f>
        <v>40.317501491124425</v>
      </c>
      <c r="BH29" s="157"/>
    </row>
    <row r="30" spans="1:60" ht="12">
      <c r="B30" s="2"/>
      <c r="C30">
        <f>+IF(C29&gt;$G$13+$G$14,XX,C29+1)</f>
        <v>2026</v>
      </c>
      <c r="E30" s="169">
        <f>'(2.2)_Forward_Price_Curve'!Q44</f>
        <v>2.1999999999999999E-2</v>
      </c>
      <c r="G30" s="18">
        <v>7565.5520513074043</v>
      </c>
      <c r="I30" s="28">
        <v>7.0927055010248319</v>
      </c>
      <c r="K30" s="28">
        <v>1.7317348874975569</v>
      </c>
      <c r="M30" s="28">
        <f t="shared" ref="M30:M57" si="10">M29*(1+$E30)</f>
        <v>0</v>
      </c>
      <c r="O30" s="270">
        <f>'(2.2)_Forward_Price_Curve'!AH44</f>
        <v>1.7523383270848003</v>
      </c>
      <c r="Q30" s="28">
        <v>-0.8145882352941175</v>
      </c>
      <c r="S30" s="18">
        <f t="shared" si="5"/>
        <v>32.962997462833137</v>
      </c>
      <c r="U30" s="18">
        <f t="shared" si="0"/>
        <v>361.66547967223522</v>
      </c>
      <c r="W30" s="18">
        <f t="shared" si="1"/>
        <v>-328.70248220940209</v>
      </c>
      <c r="Y30" s="271">
        <f t="shared" si="6"/>
        <v>-43.447256721021297</v>
      </c>
      <c r="Z30" s="235"/>
      <c r="AB30" s="146">
        <f>+IF(AB29&gt;$G$13+$G$14,XX,AB29+1)</f>
        <v>2026</v>
      </c>
      <c r="AC30" s="117"/>
      <c r="AD30" s="151">
        <f t="shared" si="2"/>
        <v>7565.5520513074043</v>
      </c>
      <c r="AF30" s="154">
        <f t="shared" ref="AF30:AF57" si="11">AF29*(1+$E30)</f>
        <v>95.496712102510344</v>
      </c>
      <c r="AH30" s="154">
        <f t="shared" ref="AH30:AH57" si="12">AH29*(1+$E30)</f>
        <v>25.733913054743383</v>
      </c>
      <c r="AJ30" s="154">
        <f t="shared" ref="AJ30:AJ57" si="13">AJ29*(1+$E30)</f>
        <v>1.9358450755326824</v>
      </c>
      <c r="AL30" s="153">
        <f t="shared" si="7"/>
        <v>165.7287463021764</v>
      </c>
      <c r="AN30" s="154">
        <f>INDEX('(2.2)_Forward_Price_Curve'!$N:$N,MATCH($AB30,'(2.2)_Forward_Price_Curve'!$C:$C,0),1)</f>
        <v>4.4095833333333339</v>
      </c>
      <c r="AP30" s="154">
        <f t="shared" ref="AP30:AP57" si="14">AN30*$AF$14/1000+$AJ$14</f>
        <v>28.911745274287149</v>
      </c>
      <c r="AR30" s="154">
        <f t="shared" ref="AR30:AR57" si="15">AR29*(1+$E30)</f>
        <v>2.4331213376618788</v>
      </c>
      <c r="AS30" s="154"/>
      <c r="AT30" s="153">
        <f t="shared" si="3"/>
        <v>124.52425977824724</v>
      </c>
      <c r="AV30" s="153">
        <f t="shared" si="4"/>
        <v>237.14121989398797</v>
      </c>
      <c r="AW30" s="273"/>
      <c r="AX30" s="155">
        <f t="shared" si="8"/>
        <v>361.66547967223522</v>
      </c>
      <c r="AZ30" s="146">
        <f>+IF(AZ29&gt;$G$13+$G$14,XX,AZ29+1)</f>
        <v>2026</v>
      </c>
      <c r="BA30" s="117"/>
      <c r="BB30" s="154">
        <f t="shared" ref="BB30:BB57" si="16">BB29*(1+$E30)</f>
        <v>58.041396015309836</v>
      </c>
      <c r="BD30" s="154">
        <f t="shared" ref="BD30:BD57" si="17">BD29*(1+$E30)</f>
        <v>2.9603022229393421</v>
      </c>
      <c r="BF30" s="153">
        <f t="shared" si="9"/>
        <v>41.204486523929162</v>
      </c>
      <c r="BH30" s="157"/>
    </row>
    <row r="31" spans="1:60" ht="12">
      <c r="B31" s="2"/>
      <c r="C31">
        <f>+IF(C30&gt;$G$13+$G$14,XX,C30+1)</f>
        <v>2027</v>
      </c>
      <c r="E31" s="169">
        <f>'(2.2)_Forward_Price_Curve'!Q45</f>
        <v>2.1999999999999999E-2</v>
      </c>
      <c r="G31" s="18">
        <v>7565.5520513074043</v>
      </c>
      <c r="I31" s="28">
        <v>7.0927055010248319</v>
      </c>
      <c r="K31" s="28">
        <v>1.7710452694437511</v>
      </c>
      <c r="M31" s="28">
        <f t="shared" si="10"/>
        <v>0</v>
      </c>
      <c r="O31" s="270">
        <f>'(2.2)_Forward_Price_Curve'!AH45</f>
        <v>1.7908897702806659</v>
      </c>
      <c r="Q31" s="28">
        <v>-0.88675432525951559</v>
      </c>
      <c r="S31" s="18">
        <f t="shared" si="5"/>
        <v>33.006088843782635</v>
      </c>
      <c r="U31" s="18">
        <f t="shared" si="0"/>
        <v>388.89834744648198</v>
      </c>
      <c r="W31" s="18">
        <f t="shared" si="1"/>
        <v>-355.89225860269937</v>
      </c>
      <c r="Y31" s="271">
        <f t="shared" si="6"/>
        <v>-47.041148641783195</v>
      </c>
      <c r="Z31" s="235"/>
      <c r="AB31" s="146">
        <f>+IF(AB30&gt;$G$13+$G$14,XX,AB30+1)</f>
        <v>2027</v>
      </c>
      <c r="AC31" s="117"/>
      <c r="AD31" s="151">
        <f t="shared" si="2"/>
        <v>7565.5520513074043</v>
      </c>
      <c r="AF31" s="154">
        <f t="shared" si="11"/>
        <v>97.597639768765575</v>
      </c>
      <c r="AH31" s="154">
        <f t="shared" si="12"/>
        <v>26.300059141947738</v>
      </c>
      <c r="AJ31" s="154">
        <f t="shared" si="13"/>
        <v>1.9784336671944014</v>
      </c>
      <c r="AL31" s="153">
        <f t="shared" si="7"/>
        <v>169.37477872082428</v>
      </c>
      <c r="AN31" s="154">
        <f>INDEX('(2.2)_Forward_Price_Curve'!$N:$N,MATCH($AB31,'(2.2)_Forward_Price_Curve'!$C:$C,0),1)</f>
        <v>4.8951958333333341</v>
      </c>
      <c r="AP31" s="154">
        <f t="shared" si="14"/>
        <v>32.0956980064825</v>
      </c>
      <c r="AR31" s="154">
        <f t="shared" si="15"/>
        <v>2.4866500070904403</v>
      </c>
      <c r="AS31" s="154"/>
      <c r="AT31" s="153">
        <f t="shared" si="3"/>
        <v>127.26379349336867</v>
      </c>
      <c r="AV31" s="153">
        <f t="shared" si="4"/>
        <v>261.63455395311331</v>
      </c>
      <c r="AW31" s="273"/>
      <c r="AX31" s="155">
        <f t="shared" si="8"/>
        <v>388.89834744648198</v>
      </c>
      <c r="AZ31" s="146">
        <f>+IF(AZ30&gt;$G$13+$G$14,XX,AZ30+1)</f>
        <v>2027</v>
      </c>
      <c r="BA31" s="117"/>
      <c r="BB31" s="154">
        <f t="shared" si="16"/>
        <v>59.31830672764665</v>
      </c>
      <c r="BD31" s="154">
        <f t="shared" si="17"/>
        <v>3.0254288718440079</v>
      </c>
      <c r="BF31" s="153">
        <f t="shared" si="9"/>
        <v>42.110985227455608</v>
      </c>
      <c r="BH31" s="157"/>
    </row>
    <row r="32" spans="1:60" ht="12">
      <c r="B32" s="2"/>
      <c r="C32">
        <f>+IF(C31&gt;$G$13+$G$14,XX,C31+1)</f>
        <v>2028</v>
      </c>
      <c r="E32" s="169">
        <f>'(2.2)_Forward_Price_Curve'!Q46</f>
        <v>2.1999999999999999E-2</v>
      </c>
      <c r="G32" s="18">
        <v>7565.5520513074043</v>
      </c>
      <c r="I32" s="28">
        <v>7.0927055010248319</v>
      </c>
      <c r="K32" s="28">
        <v>1.8112479970601243</v>
      </c>
      <c r="M32" s="28">
        <f t="shared" si="10"/>
        <v>0</v>
      </c>
      <c r="O32" s="270">
        <f>'(2.2)_Forward_Price_Curve'!AH46</f>
        <v>1.8302893452268405</v>
      </c>
      <c r="Q32" s="28">
        <v>-0.88434602076124558</v>
      </c>
      <c r="S32" s="18">
        <f t="shared" si="5"/>
        <v>33.626544360260574</v>
      </c>
      <c r="U32" s="18">
        <f t="shared" si="0"/>
        <v>392.60228789812675</v>
      </c>
      <c r="W32" s="18">
        <f t="shared" si="1"/>
        <v>-358.97574353786615</v>
      </c>
      <c r="Y32" s="271">
        <f t="shared" si="6"/>
        <v>-47.448717701417635</v>
      </c>
      <c r="Z32" s="235"/>
      <c r="AB32" s="146">
        <f>+IF(AB31&gt;$G$13+$G$14,XX,AB31+1)</f>
        <v>2028</v>
      </c>
      <c r="AC32" s="117"/>
      <c r="AD32" s="151">
        <f t="shared" si="2"/>
        <v>7565.5520513074043</v>
      </c>
      <c r="AF32" s="154">
        <f t="shared" si="11"/>
        <v>99.744787843678424</v>
      </c>
      <c r="AH32" s="154">
        <f t="shared" si="12"/>
        <v>26.87866044307059</v>
      </c>
      <c r="AJ32" s="154">
        <f t="shared" si="13"/>
        <v>2.0219592078726785</v>
      </c>
      <c r="AL32" s="153">
        <f t="shared" si="7"/>
        <v>173.1010238526824</v>
      </c>
      <c r="AN32" s="154">
        <f>INDEX('(2.2)_Forward_Price_Curve'!$N:$N,MATCH($AB32,'(2.2)_Forward_Price_Curve'!$C:$C,0),1)</f>
        <v>4.9050791666666669</v>
      </c>
      <c r="AP32" s="154">
        <f t="shared" si="14"/>
        <v>32.160498781112203</v>
      </c>
      <c r="AR32" s="154">
        <f t="shared" si="15"/>
        <v>2.54135630724643</v>
      </c>
      <c r="AS32" s="154"/>
      <c r="AT32" s="153">
        <f t="shared" si="3"/>
        <v>130.06359695022277</v>
      </c>
      <c r="AV32" s="153">
        <f t="shared" si="4"/>
        <v>262.53869094790394</v>
      </c>
      <c r="AW32" s="273"/>
      <c r="AX32" s="155">
        <f t="shared" si="8"/>
        <v>392.60228789812675</v>
      </c>
      <c r="AZ32" s="146">
        <f>+IF(AZ31&gt;$G$13+$G$14,XX,AZ31+1)</f>
        <v>2028</v>
      </c>
      <c r="BA32" s="117"/>
      <c r="BB32" s="154">
        <f t="shared" si="16"/>
        <v>60.623309475654878</v>
      </c>
      <c r="BD32" s="154">
        <f t="shared" si="17"/>
        <v>3.0919883070245762</v>
      </c>
      <c r="BF32" s="153">
        <f t="shared" si="9"/>
        <v>43.037426902459636</v>
      </c>
      <c r="BH32" s="157"/>
    </row>
    <row r="33" spans="2:60" ht="12">
      <c r="B33" s="2"/>
      <c r="C33">
        <f>+IF(C32&gt;$G$13+$G$14,XX,C32+1)</f>
        <v>2029</v>
      </c>
      <c r="E33" s="169">
        <f>'(2.2)_Forward_Price_Curve'!Q47</f>
        <v>2.1999999999999999E-2</v>
      </c>
      <c r="G33" s="18">
        <v>7565.5520513074043</v>
      </c>
      <c r="I33" s="28">
        <v>7.0927055010248319</v>
      </c>
      <c r="K33" s="28">
        <v>1.852363326593389</v>
      </c>
      <c r="M33" s="28">
        <f t="shared" si="10"/>
        <v>0</v>
      </c>
      <c r="O33" s="270">
        <f>'(2.2)_Forward_Price_Curve'!AH47</f>
        <v>1.8705557108218309</v>
      </c>
      <c r="Q33" s="28">
        <v>-0.91490657439446355</v>
      </c>
      <c r="S33" s="18">
        <f t="shared" si="5"/>
        <v>34.01103435154814</v>
      </c>
      <c r="U33" s="18">
        <f t="shared" si="0"/>
        <v>400.02799625339389</v>
      </c>
      <c r="W33" s="18">
        <f t="shared" si="1"/>
        <v>-366.01696190184578</v>
      </c>
      <c r="Y33" s="271">
        <f t="shared" si="6"/>
        <v>-48.379412291346846</v>
      </c>
      <c r="Z33" s="235"/>
      <c r="AB33" s="146">
        <f>+IF(AB32&gt;$G$13+$G$14,XX,AB32+1)</f>
        <v>2029</v>
      </c>
      <c r="AC33" s="117"/>
      <c r="AD33" s="151">
        <f t="shared" si="2"/>
        <v>7565.5520513074043</v>
      </c>
      <c r="AF33" s="154">
        <f t="shared" si="11"/>
        <v>101.93917317623935</v>
      </c>
      <c r="AH33" s="154">
        <f t="shared" si="12"/>
        <v>27.469990972818142</v>
      </c>
      <c r="AJ33" s="154">
        <f t="shared" si="13"/>
        <v>2.0664423104458773</v>
      </c>
      <c r="AL33" s="153">
        <f t="shared" si="7"/>
        <v>176.90924637744149</v>
      </c>
      <c r="AN33" s="154">
        <f>INDEX('(2.2)_Forward_Price_Curve'!$N:$N,MATCH($AB33,'(2.2)_Forward_Price_Curve'!$C:$C,0),1)</f>
        <v>4.9885666666666664</v>
      </c>
      <c r="AP33" s="154">
        <f t="shared" si="14"/>
        <v>32.707890484845443</v>
      </c>
      <c r="AR33" s="154">
        <f t="shared" si="15"/>
        <v>2.5972661460058517</v>
      </c>
      <c r="AS33" s="154"/>
      <c r="AT33" s="153">
        <f t="shared" si="3"/>
        <v>132.92499608312775</v>
      </c>
      <c r="AV33" s="153">
        <f t="shared" si="4"/>
        <v>267.10300017026617</v>
      </c>
      <c r="AW33" s="273"/>
      <c r="AX33" s="155">
        <f t="shared" si="8"/>
        <v>400.02799625339389</v>
      </c>
      <c r="AZ33" s="146">
        <f>+IF(AZ32&gt;$G$13+$G$14,XX,AZ32+1)</f>
        <v>2029</v>
      </c>
      <c r="BA33" s="117"/>
      <c r="BB33" s="154">
        <f t="shared" si="16"/>
        <v>61.957022284119283</v>
      </c>
      <c r="BD33" s="154">
        <f t="shared" si="17"/>
        <v>3.1600120497791169</v>
      </c>
      <c r="BF33" s="153">
        <f t="shared" si="9"/>
        <v>43.984250294313746</v>
      </c>
      <c r="BH33" s="157"/>
    </row>
    <row r="34" spans="2:60" ht="12">
      <c r="B34" s="2"/>
      <c r="C34">
        <f>+IF(C33&gt;$G$13+$G$14,XX,C33+1)</f>
        <v>2030</v>
      </c>
      <c r="E34" s="169">
        <f>'(2.2)_Forward_Price_Curve'!Q48</f>
        <v>2.1999999999999999E-2</v>
      </c>
      <c r="G34" s="18">
        <v>7565.5520513074043</v>
      </c>
      <c r="I34" s="28">
        <v>7.0927055010248319</v>
      </c>
      <c r="K34" s="28">
        <v>1.8944119741070586</v>
      </c>
      <c r="M34" s="28">
        <f t="shared" si="10"/>
        <v>0</v>
      </c>
      <c r="O34" s="270">
        <f>'(2.2)_Forward_Price_Curve'!AH48</f>
        <v>1.9117079364599112</v>
      </c>
      <c r="Q34" s="28">
        <v>-0.94538408304498267</v>
      </c>
      <c r="S34" s="18">
        <f t="shared" si="5"/>
        <v>34.409915710002259</v>
      </c>
      <c r="U34" s="18">
        <f t="shared" si="0"/>
        <v>411.20761711787861</v>
      </c>
      <c r="W34" s="18">
        <f t="shared" si="1"/>
        <v>-376.79770140787633</v>
      </c>
      <c r="Y34" s="271">
        <f t="shared" si="6"/>
        <v>-49.804389534635725</v>
      </c>
      <c r="Z34" s="235"/>
      <c r="AB34" s="146">
        <f>+IF(AB33&gt;$G$13+$G$14,XX,AB33+1)</f>
        <v>2030</v>
      </c>
      <c r="AC34" s="117"/>
      <c r="AD34" s="151">
        <f t="shared" si="2"/>
        <v>7565.5520513074043</v>
      </c>
      <c r="AF34" s="154">
        <f t="shared" si="11"/>
        <v>104.18183498611661</v>
      </c>
      <c r="AH34" s="154">
        <f t="shared" si="12"/>
        <v>28.07433077422014</v>
      </c>
      <c r="AJ34" s="154">
        <f t="shared" si="13"/>
        <v>2.1119040412756869</v>
      </c>
      <c r="AL34" s="153">
        <f t="shared" si="7"/>
        <v>180.80124979774516</v>
      </c>
      <c r="AN34" s="154">
        <f>INDEX('(2.2)_Forward_Price_Curve'!$N:$N,MATCH($AB34,'(2.2)_Forward_Price_Curve'!$C:$C,0),1)</f>
        <v>5.1462750000000002</v>
      </c>
      <c r="AP34" s="154">
        <f t="shared" si="14"/>
        <v>33.74191633633535</v>
      </c>
      <c r="AR34" s="154">
        <f t="shared" si="15"/>
        <v>2.6544060012179806</v>
      </c>
      <c r="AS34" s="154"/>
      <c r="AT34" s="153">
        <f t="shared" si="3"/>
        <v>135.84934599695652</v>
      </c>
      <c r="AV34" s="153">
        <f t="shared" si="4"/>
        <v>275.3582711209221</v>
      </c>
      <c r="AW34" s="273"/>
      <c r="AX34" s="155">
        <f t="shared" si="8"/>
        <v>411.20761711787861</v>
      </c>
      <c r="AZ34" s="146">
        <f>+IF(AZ33&gt;$G$13+$G$14,XX,AZ33+1)</f>
        <v>2030</v>
      </c>
      <c r="BA34" s="117"/>
      <c r="BB34" s="154">
        <f t="shared" si="16"/>
        <v>63.320076774369909</v>
      </c>
      <c r="BD34" s="154">
        <f t="shared" si="17"/>
        <v>3.2295323148742576</v>
      </c>
      <c r="BF34" s="153">
        <f t="shared" si="9"/>
        <v>44.951903800788649</v>
      </c>
      <c r="BH34" s="157"/>
    </row>
    <row r="35" spans="2:60" ht="12">
      <c r="B35" s="2"/>
      <c r="C35">
        <f>+IF(C34&gt;$G$13+$G$14,XX,C34+1)</f>
        <v>2031</v>
      </c>
      <c r="E35" s="169">
        <f>'(2.2)_Forward_Price_Curve'!Q49</f>
        <v>2.1999999999999999E-2</v>
      </c>
      <c r="G35" s="18">
        <v>7565.5520513074043</v>
      </c>
      <c r="I35" s="28">
        <v>7.0927055010248319</v>
      </c>
      <c r="K35" s="28">
        <v>1.9374151259192887</v>
      </c>
      <c r="M35" s="28">
        <f t="shared" si="10"/>
        <v>0</v>
      </c>
      <c r="O35" s="270">
        <f>'(2.2)_Forward_Price_Curve'!AH49</f>
        <v>1.9537655110620293</v>
      </c>
      <c r="Q35" s="28">
        <v>-0.94280968858131486</v>
      </c>
      <c r="S35" s="18">
        <f t="shared" si="5"/>
        <v>35.072923778527496</v>
      </c>
      <c r="U35" s="18">
        <f t="shared" si="0"/>
        <v>420.96118086468448</v>
      </c>
      <c r="W35" s="18">
        <f t="shared" si="1"/>
        <v>-385.88825708615695</v>
      </c>
      <c r="Y35" s="271">
        <f t="shared" si="6"/>
        <v>-51.005961556958894</v>
      </c>
      <c r="Z35" s="235"/>
      <c r="AB35" s="146">
        <f>+IF(AB34&gt;$G$13+$G$14,XX,AB34+1)</f>
        <v>2031</v>
      </c>
      <c r="AC35" s="117"/>
      <c r="AD35" s="151">
        <f t="shared" si="2"/>
        <v>7565.5520513074043</v>
      </c>
      <c r="AF35" s="154">
        <f t="shared" si="11"/>
        <v>106.47383535581118</v>
      </c>
      <c r="AH35" s="154">
        <f t="shared" si="12"/>
        <v>28.691966051252983</v>
      </c>
      <c r="AJ35" s="154">
        <f t="shared" si="13"/>
        <v>2.1583659301837521</v>
      </c>
      <c r="AL35" s="153">
        <f t="shared" si="7"/>
        <v>184.77887729329555</v>
      </c>
      <c r="AN35" s="154">
        <f>INDEX('(2.2)_Forward_Price_Curve'!$N:$N,MATCH($AB35,'(2.2)_Forward_Price_Curve'!$C:$C,0),1)</f>
        <v>5.2737458333333338</v>
      </c>
      <c r="AP35" s="154">
        <f t="shared" si="14"/>
        <v>34.577687878597722</v>
      </c>
      <c r="AR35" s="154">
        <f t="shared" si="15"/>
        <v>2.7128029332447761</v>
      </c>
      <c r="AS35" s="154"/>
      <c r="AT35" s="153">
        <f t="shared" si="3"/>
        <v>138.83803160888957</v>
      </c>
      <c r="AV35" s="153">
        <f t="shared" si="4"/>
        <v>282.12314925579489</v>
      </c>
      <c r="AW35" s="273"/>
      <c r="AX35" s="155">
        <f t="shared" si="8"/>
        <v>420.96118086468448</v>
      </c>
      <c r="AZ35" s="146">
        <f>+IF(AZ34&gt;$G$13+$G$14,XX,AZ34+1)</f>
        <v>2031</v>
      </c>
      <c r="BA35" s="117"/>
      <c r="BB35" s="154">
        <f t="shared" si="16"/>
        <v>64.713118463406047</v>
      </c>
      <c r="BD35" s="154">
        <f t="shared" si="17"/>
        <v>3.3005820258014915</v>
      </c>
      <c r="BF35" s="153">
        <f t="shared" si="9"/>
        <v>45.940845684405993</v>
      </c>
      <c r="BH35" s="157"/>
    </row>
    <row r="36" spans="2:60" ht="12">
      <c r="B36" s="2"/>
      <c r="C36">
        <f>+IF(C35&gt;$G$13+$G$14,XX,C35+1)</f>
        <v>2032</v>
      </c>
      <c r="E36" s="169">
        <f>'(2.2)_Forward_Price_Curve'!Q50</f>
        <v>2.1999999999999999E-2</v>
      </c>
      <c r="G36" s="18">
        <v>7565.5520513074043</v>
      </c>
      <c r="I36" s="28">
        <v>7.0927055010248319</v>
      </c>
      <c r="K36" s="28">
        <v>1.9813944492776565</v>
      </c>
      <c r="M36" s="28">
        <f t="shared" si="10"/>
        <v>0</v>
      </c>
      <c r="O36" s="270">
        <f>'(2.2)_Forward_Price_Curve'!AH50</f>
        <v>1.9967483523053939</v>
      </c>
      <c r="Q36" s="28">
        <v>-0.97320415224913481</v>
      </c>
      <c r="S36" s="18">
        <f t="shared" si="5"/>
        <v>35.500889664365808</v>
      </c>
      <c r="U36" s="18">
        <f t="shared" si="0"/>
        <v>441.66921635373842</v>
      </c>
      <c r="W36" s="18">
        <f t="shared" si="1"/>
        <v>-406.16832668937263</v>
      </c>
      <c r="Y36" s="271">
        <f t="shared" si="6"/>
        <v>-53.686541832619156</v>
      </c>
      <c r="Z36" s="235"/>
      <c r="AB36" s="146">
        <f>+IF(AB35&gt;$G$13+$G$14,XX,AB35+1)</f>
        <v>2032</v>
      </c>
      <c r="AC36" s="117"/>
      <c r="AD36" s="151">
        <f t="shared" si="2"/>
        <v>7565.5520513074043</v>
      </c>
      <c r="AF36" s="154">
        <f t="shared" si="11"/>
        <v>108.81625973363903</v>
      </c>
      <c r="AH36" s="154">
        <f t="shared" si="12"/>
        <v>29.323189304380548</v>
      </c>
      <c r="AJ36" s="154">
        <f t="shared" si="13"/>
        <v>2.2058499806477947</v>
      </c>
      <c r="AL36" s="153">
        <f t="shared" si="7"/>
        <v>188.844012593748</v>
      </c>
      <c r="AN36" s="154">
        <f>INDEX('(2.2)_Forward_Price_Curve'!$N:$N,MATCH($AB36,'(2.2)_Forward_Price_Curve'!$C:$C,0),1)</f>
        <v>5.6205333333333334</v>
      </c>
      <c r="AP36" s="154">
        <f t="shared" si="14"/>
        <v>36.851424671032426</v>
      </c>
      <c r="AR36" s="154">
        <f t="shared" si="15"/>
        <v>2.7724845977761614</v>
      </c>
      <c r="AS36" s="154"/>
      <c r="AT36" s="153">
        <f t="shared" si="3"/>
        <v>141.89246830428507</v>
      </c>
      <c r="AV36" s="153">
        <f t="shared" si="4"/>
        <v>299.77674804945332</v>
      </c>
      <c r="AW36" s="273"/>
      <c r="AX36" s="155">
        <f t="shared" si="8"/>
        <v>441.66921635373842</v>
      </c>
      <c r="AZ36" s="146">
        <f>+IF(AZ35&gt;$G$13+$G$14,XX,AZ35+1)</f>
        <v>2032</v>
      </c>
      <c r="BA36" s="117"/>
      <c r="BB36" s="154">
        <f t="shared" si="16"/>
        <v>66.136807069600977</v>
      </c>
      <c r="BD36" s="154">
        <f t="shared" si="17"/>
        <v>3.3731948303691244</v>
      </c>
      <c r="BF36" s="153">
        <f t="shared" si="9"/>
        <v>46.95154428946293</v>
      </c>
      <c r="BH36" s="157"/>
    </row>
    <row r="37" spans="2:60" ht="12">
      <c r="B37" s="2"/>
      <c r="C37">
        <f>+IF(C36&gt;$G$13+$G$14,XX,C36+1)</f>
        <v>2033</v>
      </c>
      <c r="E37" s="169">
        <f>'(2.2)_Forward_Price_Curve'!Q51</f>
        <v>2.1999999999999999E-2</v>
      </c>
      <c r="G37" s="18">
        <v>7565.5520513074043</v>
      </c>
      <c r="I37" s="28">
        <v>7.0927055010248319</v>
      </c>
      <c r="K37" s="28">
        <v>2.0263721032762589</v>
      </c>
      <c r="M37" s="28">
        <f t="shared" si="10"/>
        <v>0</v>
      </c>
      <c r="O37" s="270">
        <f>'(2.2)_Forward_Price_Curve'!AH51</f>
        <v>2.0406768160561128</v>
      </c>
      <c r="Q37" s="28">
        <v>-0.9704636678200691</v>
      </c>
      <c r="S37" s="18">
        <f t="shared" si="5"/>
        <v>36.194246803471856</v>
      </c>
      <c r="U37" s="18">
        <f t="shared" si="0"/>
        <v>458.59745927877736</v>
      </c>
      <c r="W37" s="18">
        <f t="shared" si="1"/>
        <v>-422.40321247530551</v>
      </c>
      <c r="Y37" s="271">
        <f t="shared" si="6"/>
        <v>-55.832437555209196</v>
      </c>
      <c r="Z37" s="235"/>
      <c r="AB37" s="146">
        <f>+IF(AB36&gt;$G$13+$G$14,XX,AB36+1)</f>
        <v>2033</v>
      </c>
      <c r="AC37" s="117"/>
      <c r="AD37" s="151">
        <f t="shared" si="2"/>
        <v>7565.5520513074043</v>
      </c>
      <c r="AF37" s="154">
        <f t="shared" si="11"/>
        <v>111.21021744777909</v>
      </c>
      <c r="AH37" s="154">
        <f t="shared" si="12"/>
        <v>29.968299469076921</v>
      </c>
      <c r="AJ37" s="154">
        <f t="shared" si="13"/>
        <v>2.2543786802220462</v>
      </c>
      <c r="AL37" s="153">
        <f t="shared" si="7"/>
        <v>192.99858087081049</v>
      </c>
      <c r="AN37" s="154">
        <f>INDEX('(2.2)_Forward_Price_Curve'!$N:$N,MATCH($AB37,'(2.2)_Forward_Price_Curve'!$C:$C,0),1)</f>
        <v>5.8895666666666662</v>
      </c>
      <c r="AP37" s="154">
        <f t="shared" si="14"/>
        <v>38.615360765589891</v>
      </c>
      <c r="AR37" s="154">
        <f t="shared" si="15"/>
        <v>2.8334792589272371</v>
      </c>
      <c r="AS37" s="154"/>
      <c r="AT37" s="153">
        <f t="shared" si="3"/>
        <v>145.01410260697938</v>
      </c>
      <c r="AV37" s="153">
        <f t="shared" si="4"/>
        <v>313.58335667179796</v>
      </c>
      <c r="AW37" s="273"/>
      <c r="AX37" s="155">
        <f t="shared" si="8"/>
        <v>458.59745927877736</v>
      </c>
      <c r="AZ37" s="146">
        <f>+IF(AZ36&gt;$G$13+$G$14,XX,AZ36+1)</f>
        <v>2033</v>
      </c>
      <c r="BA37" s="117"/>
      <c r="BB37" s="154">
        <f t="shared" si="16"/>
        <v>67.591816825132199</v>
      </c>
      <c r="BD37" s="154">
        <f t="shared" si="17"/>
        <v>3.447405116637245</v>
      </c>
      <c r="BF37" s="153">
        <f t="shared" si="9"/>
        <v>47.984478263831107</v>
      </c>
      <c r="BH37" s="157"/>
    </row>
    <row r="38" spans="2:60" ht="12">
      <c r="B38" s="2"/>
      <c r="C38">
        <f>+IF(C37&gt;$G$13+$G$14,XX,C37+1)</f>
        <v>2034</v>
      </c>
      <c r="E38" s="169">
        <f>'(2.2)_Forward_Price_Curve'!Q52</f>
        <v>2.1000000000000001E-2</v>
      </c>
      <c r="G38" s="18">
        <v>7565.5520513074043</v>
      </c>
      <c r="I38" s="28">
        <v>7.0927055010248319</v>
      </c>
      <c r="K38" s="28">
        <v>2.0723707500206299</v>
      </c>
      <c r="M38" s="28">
        <f t="shared" si="10"/>
        <v>0</v>
      </c>
      <c r="O38" s="270">
        <f>'(2.2)_Forward_Price_Curve'!AH52</f>
        <v>2.0835310291932911</v>
      </c>
      <c r="Q38" s="28">
        <v>8.9439446366781999E-2</v>
      </c>
      <c r="S38" s="18">
        <f t="shared" si="5"/>
        <v>44.885219919536681</v>
      </c>
      <c r="U38" s="18">
        <f t="shared" si="0"/>
        <v>466.30989561009676</v>
      </c>
      <c r="W38" s="18">
        <f t="shared" si="1"/>
        <v>-421.42467569056009</v>
      </c>
      <c r="Y38" s="271">
        <f t="shared" si="6"/>
        <v>-55.70309646045375</v>
      </c>
      <c r="Z38" s="235"/>
      <c r="AB38" s="146">
        <f>+IF(AB37&gt;$G$13+$G$14,XX,AB37+1)</f>
        <v>2034</v>
      </c>
      <c r="AC38" s="117"/>
      <c r="AD38" s="151">
        <f t="shared" si="2"/>
        <v>7565.5520513074043</v>
      </c>
      <c r="AF38" s="154">
        <f t="shared" si="11"/>
        <v>113.54563201418243</v>
      </c>
      <c r="AH38" s="154">
        <f t="shared" si="12"/>
        <v>30.597633757927532</v>
      </c>
      <c r="AJ38" s="154">
        <f t="shared" si="13"/>
        <v>2.3017206325067092</v>
      </c>
      <c r="AL38" s="153">
        <f t="shared" si="7"/>
        <v>197.05155106909754</v>
      </c>
      <c r="AN38" s="154">
        <f>INDEX('(2.2)_Forward_Price_Curve'!$N:$N,MATCH($AB38,'(2.2)_Forward_Price_Curve'!$C:$C,0),1)</f>
        <v>5.9745791666666674</v>
      </c>
      <c r="AP38" s="154">
        <f t="shared" si="14"/>
        <v>39.172751239776126</v>
      </c>
      <c r="AR38" s="154">
        <f t="shared" si="15"/>
        <v>2.8929823233647087</v>
      </c>
      <c r="AS38" s="154"/>
      <c r="AT38" s="153">
        <f t="shared" si="3"/>
        <v>148.05939876172599</v>
      </c>
      <c r="AV38" s="153">
        <f t="shared" si="4"/>
        <v>318.2504968483708</v>
      </c>
      <c r="AW38" s="273"/>
      <c r="AX38" s="155">
        <f t="shared" si="8"/>
        <v>466.30989561009676</v>
      </c>
      <c r="AZ38" s="146">
        <f>+IF(AZ37&gt;$G$13+$G$14,XX,AZ37+1)</f>
        <v>2034</v>
      </c>
      <c r="BA38" s="117"/>
      <c r="BB38" s="154">
        <f t="shared" si="16"/>
        <v>69.01124497845997</v>
      </c>
      <c r="BD38" s="154">
        <f t="shared" si="17"/>
        <v>3.5198006240866269</v>
      </c>
      <c r="BF38" s="153">
        <f t="shared" si="9"/>
        <v>48.992152307371562</v>
      </c>
      <c r="BH38" s="157"/>
    </row>
    <row r="39" spans="2:60" ht="12">
      <c r="B39" s="2"/>
      <c r="C39">
        <f>+IF(C38&gt;$G$13+$G$14,XX,C38+1)</f>
        <v>2035</v>
      </c>
      <c r="E39" s="169">
        <f>'(2.2)_Forward_Price_Curve'!Q53</f>
        <v>2.1000000000000001E-2</v>
      </c>
      <c r="G39" s="18">
        <v>7565.5520513074043</v>
      </c>
      <c r="I39" s="28">
        <v>7.0927055010248319</v>
      </c>
      <c r="K39" s="28">
        <v>2.1194135660460982</v>
      </c>
      <c r="M39" s="28">
        <f t="shared" si="10"/>
        <v>0</v>
      </c>
      <c r="O39" s="270">
        <f>'(2.2)_Forward_Price_Curve'!AH53</f>
        <v>2.12728518080635</v>
      </c>
      <c r="Q39" s="28">
        <v>9.226297577854671E-2</v>
      </c>
      <c r="S39" s="18">
        <f t="shared" si="5"/>
        <v>45.593510663039936</v>
      </c>
      <c r="U39" s="18">
        <f t="shared" si="0"/>
        <v>474.29353306417568</v>
      </c>
      <c r="W39" s="18">
        <f t="shared" si="1"/>
        <v>-428.70002240113575</v>
      </c>
      <c r="Y39" s="271">
        <f t="shared" si="6"/>
        <v>-56.66473768124456</v>
      </c>
      <c r="Z39" s="235"/>
      <c r="AB39" s="146">
        <f>+IF(AB38&gt;$G$13+$G$14,XX,AB38+1)</f>
        <v>2035</v>
      </c>
      <c r="AC39" s="117"/>
      <c r="AD39" s="151">
        <f t="shared" si="2"/>
        <v>7565.5520513074043</v>
      </c>
      <c r="AF39" s="154">
        <f t="shared" si="11"/>
        <v>115.93009028648025</v>
      </c>
      <c r="AH39" s="154">
        <f t="shared" si="12"/>
        <v>31.240184066844009</v>
      </c>
      <c r="AJ39" s="154">
        <f t="shared" si="13"/>
        <v>2.3500567657893501</v>
      </c>
      <c r="AL39" s="153">
        <f t="shared" si="7"/>
        <v>201.18963364154854</v>
      </c>
      <c r="AN39" s="154">
        <f>INDEX('(2.2)_Forward_Price_Curve'!$N:$N,MATCH($AB39,'(2.2)_Forward_Price_Curve'!$C:$C,0),1)</f>
        <v>6.063579166666667</v>
      </c>
      <c r="AP39" s="154">
        <f t="shared" si="14"/>
        <v>39.756286039982839</v>
      </c>
      <c r="AR39" s="154">
        <f t="shared" si="15"/>
        <v>2.9537349521553673</v>
      </c>
      <c r="AS39" s="154"/>
      <c r="AT39" s="153">
        <f t="shared" si="3"/>
        <v>151.16864613572218</v>
      </c>
      <c r="AV39" s="153">
        <f t="shared" si="4"/>
        <v>323.12488692845352</v>
      </c>
      <c r="AW39" s="273"/>
      <c r="AX39" s="155">
        <f t="shared" si="8"/>
        <v>474.29353306417568</v>
      </c>
      <c r="AZ39" s="146">
        <f>+IF(AZ38&gt;$G$13+$G$14,XX,AZ38+1)</f>
        <v>2035</v>
      </c>
      <c r="BA39" s="117"/>
      <c r="BB39" s="154">
        <f t="shared" si="16"/>
        <v>70.460481123007625</v>
      </c>
      <c r="BD39" s="154">
        <f t="shared" si="17"/>
        <v>3.5937164371924455</v>
      </c>
      <c r="BF39" s="153">
        <f t="shared" si="9"/>
        <v>50.020987505826355</v>
      </c>
      <c r="BH39" s="157"/>
    </row>
    <row r="40" spans="2:60" ht="12">
      <c r="B40" s="2"/>
      <c r="C40">
        <f>+IF(C39&gt;$G$13+$G$14,XX,C39+1)</f>
        <v>2036</v>
      </c>
      <c r="E40" s="169">
        <f>'(2.2)_Forward_Price_Curve'!Q54</f>
        <v>2.1999999999999999E-2</v>
      </c>
      <c r="G40" s="18">
        <v>7565.5520513074043</v>
      </c>
      <c r="I40" s="28">
        <v>7.0927055010248319</v>
      </c>
      <c r="K40" s="28">
        <v>2.1675242539953445</v>
      </c>
      <c r="M40" s="28">
        <f t="shared" si="10"/>
        <v>0</v>
      </c>
      <c r="O40" s="270">
        <f>'(2.2)_Forward_Price_Curve'!AH54</f>
        <v>2.1740854547840898</v>
      </c>
      <c r="Q40" s="28">
        <v>9.5128027681660898E-2</v>
      </c>
      <c r="S40" s="18">
        <f t="shared" si="5"/>
        <v>46.333240185040914</v>
      </c>
      <c r="U40" s="18">
        <f t="shared" si="0"/>
        <v>476.07296840678549</v>
      </c>
      <c r="W40" s="18">
        <f t="shared" si="1"/>
        <v>-429.7397282217446</v>
      </c>
      <c r="Y40" s="271">
        <f t="shared" si="6"/>
        <v>-56.802163980549338</v>
      </c>
      <c r="Z40" s="235"/>
      <c r="AB40" s="146">
        <f>+IF(AB39&gt;$G$13+$G$14,XX,AB39+1)</f>
        <v>2036</v>
      </c>
      <c r="AC40" s="117"/>
      <c r="AD40" s="151">
        <f t="shared" si="2"/>
        <v>7565.5520513074043</v>
      </c>
      <c r="AF40" s="154">
        <f t="shared" si="11"/>
        <v>118.48055227278282</v>
      </c>
      <c r="AH40" s="154">
        <f t="shared" si="12"/>
        <v>31.927468116314579</v>
      </c>
      <c r="AJ40" s="154">
        <f t="shared" si="13"/>
        <v>2.4017580146367159</v>
      </c>
      <c r="AL40" s="153">
        <f t="shared" si="7"/>
        <v>205.61580558166261</v>
      </c>
      <c r="AN40" s="154">
        <f>INDEX('(2.2)_Forward_Price_Curve'!$N:$N,MATCH($AB40,'(2.2)_Forward_Price_Curve'!$C:$C,0),1)</f>
        <v>6.022495833333334</v>
      </c>
      <c r="AP40" s="154">
        <f t="shared" si="14"/>
        <v>39.48692025674135</v>
      </c>
      <c r="AR40" s="154">
        <f t="shared" si="15"/>
        <v>3.0187171211027852</v>
      </c>
      <c r="AS40" s="154"/>
      <c r="AT40" s="153">
        <f t="shared" si="3"/>
        <v>154.49435635070807</v>
      </c>
      <c r="AV40" s="153">
        <f t="shared" si="4"/>
        <v>321.57861205607742</v>
      </c>
      <c r="AW40" s="273"/>
      <c r="AX40" s="155">
        <f t="shared" si="8"/>
        <v>476.07296840678549</v>
      </c>
      <c r="AZ40" s="146">
        <f>+IF(AZ39&gt;$G$13+$G$14,XX,AZ39+1)</f>
        <v>2036</v>
      </c>
      <c r="BA40" s="117"/>
      <c r="BB40" s="154">
        <f t="shared" si="16"/>
        <v>72.010611707713792</v>
      </c>
      <c r="BD40" s="154">
        <f t="shared" si="17"/>
        <v>3.6727781988106796</v>
      </c>
      <c r="BF40" s="153">
        <f t="shared" si="9"/>
        <v>51.121449230954539</v>
      </c>
      <c r="BH40" s="157"/>
    </row>
    <row r="41" spans="2:60" ht="12">
      <c r="B41" s="2"/>
      <c r="C41">
        <f>+IF(C40&gt;$G$13+$G$14,XX,C40+1)</f>
        <v>2037</v>
      </c>
      <c r="E41" s="169">
        <f>'(2.2)_Forward_Price_Curve'!Q55</f>
        <v>2.1999999999999999E-2</v>
      </c>
      <c r="G41" s="18">
        <v>7565.5520513074043</v>
      </c>
      <c r="I41" s="28">
        <v>7.0927055010248319</v>
      </c>
      <c r="K41" s="28">
        <v>2.2167270545610389</v>
      </c>
      <c r="M41" s="28">
        <f t="shared" si="10"/>
        <v>0</v>
      </c>
      <c r="O41" s="270">
        <f>'(2.2)_Forward_Price_Curve'!AH55</f>
        <v>2.2219153347893399</v>
      </c>
      <c r="Q41" s="28">
        <v>9.8076124567474041E-2</v>
      </c>
      <c r="S41" s="18">
        <f t="shared" si="5"/>
        <v>47.089649961020193</v>
      </c>
      <c r="U41" s="18">
        <f t="shared" si="0"/>
        <v>491.73003901906935</v>
      </c>
      <c r="W41" s="18">
        <f t="shared" si="1"/>
        <v>-444.64038905804915</v>
      </c>
      <c r="Y41" s="271">
        <f t="shared" si="6"/>
        <v>-58.771704436454279</v>
      </c>
      <c r="Z41" s="235"/>
      <c r="AB41" s="146">
        <f>+IF(AB40&gt;$G$13+$G$14,XX,AB40+1)</f>
        <v>2037</v>
      </c>
      <c r="AC41" s="117"/>
      <c r="AD41" s="151">
        <f t="shared" si="2"/>
        <v>7565.5520513074043</v>
      </c>
      <c r="AF41" s="154">
        <f t="shared" si="11"/>
        <v>121.08712442278404</v>
      </c>
      <c r="AH41" s="154">
        <f t="shared" si="12"/>
        <v>32.629872414873503</v>
      </c>
      <c r="AJ41" s="154">
        <f t="shared" si="13"/>
        <v>2.4545966909587236</v>
      </c>
      <c r="AL41" s="153">
        <f t="shared" si="7"/>
        <v>210.13935330445918</v>
      </c>
      <c r="AN41" s="154">
        <f>INDEX('(2.2)_Forward_Price_Curve'!$N:$N,MATCH($AB41,'(2.2)_Forward_Price_Curve'!$C:$C,0),1)</f>
        <v>6.2594874999999996</v>
      </c>
      <c r="AP41" s="154">
        <f t="shared" si="14"/>
        <v>41.040772895606416</v>
      </c>
      <c r="AR41" s="154">
        <f t="shared" si="15"/>
        <v>3.0851288977670466</v>
      </c>
      <c r="AS41" s="154"/>
      <c r="AT41" s="153">
        <f t="shared" si="3"/>
        <v>157.89323219042365</v>
      </c>
      <c r="AV41" s="153">
        <f t="shared" si="4"/>
        <v>333.83680682864571</v>
      </c>
      <c r="AW41" s="273"/>
      <c r="AX41" s="155">
        <f t="shared" si="8"/>
        <v>491.73003901906935</v>
      </c>
      <c r="AZ41" s="146">
        <f>+IF(AZ40&gt;$G$13+$G$14,XX,AZ40+1)</f>
        <v>2037</v>
      </c>
      <c r="BA41" s="117"/>
      <c r="BB41" s="154">
        <f t="shared" si="16"/>
        <v>73.594845165283502</v>
      </c>
      <c r="BD41" s="154">
        <f t="shared" si="17"/>
        <v>3.7535793191845146</v>
      </c>
      <c r="BF41" s="153">
        <f t="shared" si="9"/>
        <v>52.246121114035539</v>
      </c>
      <c r="BH41" s="157"/>
    </row>
    <row r="42" spans="2:60" ht="12">
      <c r="B42" s="2"/>
      <c r="C42">
        <f>+IF(C41&gt;$G$13+$G$14,XX,C41+1)</f>
        <v>2038</v>
      </c>
      <c r="E42" s="169">
        <f>'(2.2)_Forward_Price_Curve'!Q56</f>
        <v>2.1999999999999999E-2</v>
      </c>
      <c r="G42" s="18">
        <v>7565.5520513074043</v>
      </c>
      <c r="I42" s="28">
        <v>7.0927055010248319</v>
      </c>
      <c r="K42" s="28">
        <v>2.2670467586995744</v>
      </c>
      <c r="M42" s="28">
        <f t="shared" si="10"/>
        <v>0</v>
      </c>
      <c r="O42" s="270">
        <f>'(2.2)_Forward_Price_Curve'!AH56</f>
        <v>2.2707974721547055</v>
      </c>
      <c r="Q42" s="28">
        <v>0.10110726643598615</v>
      </c>
      <c r="S42" s="18">
        <f t="shared" si="5"/>
        <v>47.863098918084624</v>
      </c>
      <c r="U42" s="18">
        <f t="shared" si="0"/>
        <v>509.29857535703599</v>
      </c>
      <c r="W42" s="18">
        <f t="shared" si="1"/>
        <v>-461.43547643895135</v>
      </c>
      <c r="Y42" s="271">
        <f t="shared" si="6"/>
        <v>-60.991646519596756</v>
      </c>
      <c r="Z42" s="235"/>
      <c r="AB42" s="146">
        <f>+IF(AB41&gt;$G$13+$G$14,XX,AB41+1)</f>
        <v>2038</v>
      </c>
      <c r="AC42" s="117"/>
      <c r="AD42" s="151">
        <f t="shared" si="2"/>
        <v>7565.5520513074043</v>
      </c>
      <c r="AF42" s="154">
        <f t="shared" si="11"/>
        <v>123.75104116008529</v>
      </c>
      <c r="AH42" s="154">
        <f t="shared" si="12"/>
        <v>33.347729608000719</v>
      </c>
      <c r="AJ42" s="154">
        <f t="shared" si="13"/>
        <v>2.5085978181598154</v>
      </c>
      <c r="AL42" s="153">
        <f t="shared" si="7"/>
        <v>214.76241907715732</v>
      </c>
      <c r="AN42" s="154">
        <f>INDEX('(2.2)_Forward_Price_Curve'!$N:$N,MATCH($AB42,'(2.2)_Forward_Price_Curve'!$C:$C,0),1)</f>
        <v>6.5332833333333333</v>
      </c>
      <c r="AP42" s="154">
        <f t="shared" si="14"/>
        <v>42.835934658545739</v>
      </c>
      <c r="AR42" s="154">
        <f t="shared" si="15"/>
        <v>3.1530017335179217</v>
      </c>
      <c r="AS42" s="154"/>
      <c r="AT42" s="153">
        <f t="shared" si="3"/>
        <v>161.366883298613</v>
      </c>
      <c r="AV42" s="153">
        <f t="shared" si="4"/>
        <v>347.93169205842298</v>
      </c>
      <c r="AW42" s="273"/>
      <c r="AX42" s="155">
        <f t="shared" si="8"/>
        <v>509.29857535703599</v>
      </c>
      <c r="AZ42" s="146">
        <f>+IF(AZ41&gt;$G$13+$G$14,XX,AZ41+1)</f>
        <v>2038</v>
      </c>
      <c r="BA42" s="117"/>
      <c r="BB42" s="154">
        <f t="shared" si="16"/>
        <v>75.213931758919742</v>
      </c>
      <c r="BD42" s="154">
        <f t="shared" si="17"/>
        <v>3.836158064206574</v>
      </c>
      <c r="BF42" s="153">
        <f t="shared" si="9"/>
        <v>53.395535778544328</v>
      </c>
      <c r="BH42" s="157"/>
    </row>
    <row r="43" spans="2:60" ht="12">
      <c r="B43" s="2"/>
      <c r="C43">
        <f>+IF(C42&gt;$G$13+$G$14,XX,C42+1)</f>
        <v>2039</v>
      </c>
      <c r="E43" s="169">
        <f>'(2.2)_Forward_Price_Curve'!Q57</f>
        <v>2.1000000000000001E-2</v>
      </c>
      <c r="G43" s="18">
        <v>7565.5520513074043</v>
      </c>
      <c r="I43" s="28">
        <v>7.0927055010248319</v>
      </c>
      <c r="K43" s="28">
        <v>2.3185087201220544</v>
      </c>
      <c r="M43" s="28">
        <f t="shared" si="10"/>
        <v>0</v>
      </c>
      <c r="O43" s="270">
        <f>'(2.2)_Forward_Price_Curve'!AH57</f>
        <v>2.3184842190699539</v>
      </c>
      <c r="Q43" s="28">
        <v>0.10417993079584774</v>
      </c>
      <c r="S43" s="18">
        <f t="shared" si="5"/>
        <v>48.636460033984342</v>
      </c>
      <c r="U43" s="18">
        <f t="shared" si="0"/>
        <v>527.68418301813006</v>
      </c>
      <c r="W43" s="18">
        <f t="shared" si="1"/>
        <v>-479.04772298414571</v>
      </c>
      <c r="Y43" s="271">
        <f t="shared" si="6"/>
        <v>-63.319599116545817</v>
      </c>
      <c r="Z43" s="235"/>
      <c r="AB43" s="146">
        <f>+IF(AB42&gt;$G$13+$G$14,XX,AB42+1)</f>
        <v>2039</v>
      </c>
      <c r="AC43" s="117"/>
      <c r="AD43" s="151">
        <f t="shared" si="2"/>
        <v>7565.5520513074043</v>
      </c>
      <c r="AF43" s="154">
        <f t="shared" si="11"/>
        <v>126.34981302444707</v>
      </c>
      <c r="AH43" s="154">
        <f t="shared" si="12"/>
        <v>34.048031929768733</v>
      </c>
      <c r="AJ43" s="154">
        <f t="shared" si="13"/>
        <v>2.5612783723411714</v>
      </c>
      <c r="AL43" s="153">
        <f t="shared" si="7"/>
        <v>219.2724298777776</v>
      </c>
      <c r="AN43" s="154">
        <f>INDEX('(2.2)_Forward_Price_Curve'!$N:$N,MATCH($AB43,'(2.2)_Forward_Price_Curve'!$C:$C,0),1)</f>
        <v>6.8255166666666662</v>
      </c>
      <c r="AP43" s="154">
        <f t="shared" si="14"/>
        <v>44.751983195404279</v>
      </c>
      <c r="AR43" s="154">
        <f t="shared" si="15"/>
        <v>3.2192147699217979</v>
      </c>
      <c r="AS43" s="154"/>
      <c r="AT43" s="153">
        <f t="shared" si="3"/>
        <v>164.75558784788385</v>
      </c>
      <c r="AV43" s="153">
        <f t="shared" si="4"/>
        <v>362.92859517024624</v>
      </c>
      <c r="AW43" s="273"/>
      <c r="AX43" s="155">
        <f t="shared" si="8"/>
        <v>527.68418301813006</v>
      </c>
      <c r="AZ43" s="146">
        <f>+IF(AZ42&gt;$G$13+$G$14,XX,AZ42+1)</f>
        <v>2039</v>
      </c>
      <c r="BA43" s="117"/>
      <c r="BB43" s="154">
        <f t="shared" si="16"/>
        <v>76.793424325857046</v>
      </c>
      <c r="BD43" s="154">
        <f t="shared" si="17"/>
        <v>3.9167173835549116</v>
      </c>
      <c r="BF43" s="153">
        <f t="shared" si="9"/>
        <v>54.516842029893752</v>
      </c>
      <c r="BH43" s="157"/>
    </row>
    <row r="44" spans="2:60" ht="12">
      <c r="B44" s="2"/>
      <c r="C44">
        <f>+IF(C43&gt;$G$13+$G$14,XX,C43+1)</f>
        <v>2040</v>
      </c>
      <c r="E44" s="169">
        <f>'(2.2)_Forward_Price_Curve'!Q58</f>
        <v>2.1999999999999999E-2</v>
      </c>
      <c r="G44" s="18">
        <v>7565.5520513074043</v>
      </c>
      <c r="I44" s="28">
        <v>7.0927055010248319</v>
      </c>
      <c r="K44" s="28">
        <v>2.371138868068825</v>
      </c>
      <c r="M44" s="28">
        <f t="shared" si="10"/>
        <v>0</v>
      </c>
      <c r="O44" s="270">
        <f>'(2.2)_Forward_Price_Curve'!AH58</f>
        <v>2.3694908718894929</v>
      </c>
      <c r="Q44" s="28">
        <v>0.10654481522491348</v>
      </c>
      <c r="S44" s="18">
        <f t="shared" si="5"/>
        <v>49.438421300856248</v>
      </c>
      <c r="U44" s="18">
        <f t="shared" si="0"/>
        <v>539.32822080044696</v>
      </c>
      <c r="W44" s="18">
        <f t="shared" si="1"/>
        <v>-489.88979949959071</v>
      </c>
      <c r="Y44" s="271">
        <f t="shared" si="6"/>
        <v>-64.752683766802292</v>
      </c>
      <c r="Z44" s="235"/>
      <c r="AB44" s="146">
        <f>+IF(AB43&gt;$G$13+$G$14,XX,AB43+1)</f>
        <v>2040</v>
      </c>
      <c r="AC44" s="117"/>
      <c r="AD44" s="151">
        <f t="shared" si="2"/>
        <v>7565.5520513074043</v>
      </c>
      <c r="AF44" s="154">
        <f t="shared" si="11"/>
        <v>129.12950891098492</v>
      </c>
      <c r="AH44" s="154">
        <f t="shared" si="12"/>
        <v>34.797088632223648</v>
      </c>
      <c r="AJ44" s="154">
        <f t="shared" si="13"/>
        <v>2.6176264965326772</v>
      </c>
      <c r="AL44" s="153">
        <f t="shared" si="7"/>
        <v>224.0964233350887</v>
      </c>
      <c r="AN44" s="154">
        <f>INDEX('(2.2)_Forward_Price_Curve'!$N:$N,MATCH($AB44,'(2.2)_Forward_Price_Curve'!$C:$C,0),1)</f>
        <v>6.9763833333333336</v>
      </c>
      <c r="AP44" s="154">
        <f t="shared" si="14"/>
        <v>45.741151175080553</v>
      </c>
      <c r="AR44" s="154">
        <f t="shared" si="15"/>
        <v>3.2900374948600777</v>
      </c>
      <c r="AS44" s="154"/>
      <c r="AT44" s="153">
        <f t="shared" si="3"/>
        <v>168.38021078053728</v>
      </c>
      <c r="AV44" s="153">
        <f t="shared" si="4"/>
        <v>370.9480100199097</v>
      </c>
      <c r="AW44" s="273"/>
      <c r="AX44" s="155">
        <f t="shared" si="8"/>
        <v>539.32822080044696</v>
      </c>
      <c r="AZ44" s="146">
        <f>+IF(AZ43&gt;$G$13+$G$14,XX,AZ43+1)</f>
        <v>2040</v>
      </c>
      <c r="BA44" s="117"/>
      <c r="BB44" s="154">
        <f t="shared" si="16"/>
        <v>78.482879661025905</v>
      </c>
      <c r="BD44" s="154">
        <f t="shared" si="17"/>
        <v>4.0028851659931197</v>
      </c>
      <c r="BF44" s="153">
        <f t="shared" si="9"/>
        <v>55.716212554551419</v>
      </c>
      <c r="BH44" s="157"/>
    </row>
    <row r="45" spans="2:60" ht="12">
      <c r="B45" s="2"/>
      <c r="C45">
        <f>+IF(C44&gt;$G$13+$G$14,XX,C44+1)</f>
        <v>2041</v>
      </c>
      <c r="E45" s="169">
        <f>'(2.2)_Forward_Price_Curve'!Q59</f>
        <v>2.1999999999999999E-2</v>
      </c>
      <c r="G45" s="18">
        <v>7565.5520513074043</v>
      </c>
      <c r="I45" s="28">
        <v>7.0927055010248319</v>
      </c>
      <c r="K45" s="28">
        <v>2.4249637203739871</v>
      </c>
      <c r="M45" s="28">
        <f t="shared" si="10"/>
        <v>0</v>
      </c>
      <c r="O45" s="270">
        <f>'(2.2)_Forward_Price_Curve'!AH59</f>
        <v>2.421619671071062</v>
      </c>
      <c r="Q45" s="28">
        <v>0.108963382530519</v>
      </c>
      <c r="S45" s="18">
        <f t="shared" si="5"/>
        <v>50.258316963045353</v>
      </c>
      <c r="U45" s="18">
        <f t="shared" si="0"/>
        <v>560.66507075666971</v>
      </c>
      <c r="W45" s="18">
        <f t="shared" si="1"/>
        <v>-510.40675379362438</v>
      </c>
      <c r="Y45" s="271">
        <f t="shared" si="6"/>
        <v>-67.464575001558657</v>
      </c>
      <c r="Z45" s="235"/>
      <c r="AB45" s="146">
        <f>+IF(AB44&gt;$G$13+$G$14,XX,AB44+1)</f>
        <v>2041</v>
      </c>
      <c r="AC45" s="117"/>
      <c r="AD45" s="151">
        <f t="shared" si="2"/>
        <v>7565.5520513074043</v>
      </c>
      <c r="AF45" s="154">
        <f t="shared" si="11"/>
        <v>131.97035810702658</v>
      </c>
      <c r="AH45" s="154">
        <f t="shared" si="12"/>
        <v>35.562624582132571</v>
      </c>
      <c r="AJ45" s="154">
        <f t="shared" si="13"/>
        <v>2.6752142794563962</v>
      </c>
      <c r="AL45" s="153">
        <f t="shared" si="7"/>
        <v>229.02654464846069</v>
      </c>
      <c r="AN45" s="154">
        <f>INDEX('(2.2)_Forward_Price_Curve'!$N:$N,MATCH($AB45,'(2.2)_Forward_Price_Curve'!$C:$C,0),1)</f>
        <v>7.3208083333333347</v>
      </c>
      <c r="AP45" s="154">
        <f t="shared" si="14"/>
        <v>47.999398069026626</v>
      </c>
      <c r="AR45" s="154">
        <f t="shared" si="15"/>
        <v>3.3624183197469995</v>
      </c>
      <c r="AS45" s="154"/>
      <c r="AT45" s="153">
        <f t="shared" si="3"/>
        <v>172.08457541770915</v>
      </c>
      <c r="AV45" s="153">
        <f t="shared" si="4"/>
        <v>388.58049533896053</v>
      </c>
      <c r="AW45" s="273"/>
      <c r="AX45" s="155">
        <f t="shared" si="8"/>
        <v>560.66507075666971</v>
      </c>
      <c r="AZ45" s="146">
        <f>+IF(AZ44&gt;$G$13+$G$14,XX,AZ44+1)</f>
        <v>2041</v>
      </c>
      <c r="BA45" s="117"/>
      <c r="BB45" s="154">
        <f t="shared" si="16"/>
        <v>80.209503013568479</v>
      </c>
      <c r="BD45" s="154">
        <f t="shared" si="17"/>
        <v>4.0909486396449681</v>
      </c>
      <c r="BF45" s="153">
        <f t="shared" si="9"/>
        <v>56.941969230751546</v>
      </c>
      <c r="BH45" s="157"/>
    </row>
    <row r="46" spans="2:60" ht="12">
      <c r="B46" s="2"/>
      <c r="C46">
        <f>+IF(C45&gt;$G$13+$G$14,XX,C45+1)</f>
        <v>2042</v>
      </c>
      <c r="E46" s="169">
        <f>'(2.2)_Forward_Price_Curve'!Q60</f>
        <v>2.1999999999999999E-2</v>
      </c>
      <c r="G46" s="18">
        <v>7565.5520513074043</v>
      </c>
      <c r="I46" s="28">
        <v>7.0927055010248319</v>
      </c>
      <c r="K46" s="28">
        <v>2.4800103968264766</v>
      </c>
      <c r="M46" s="28">
        <f t="shared" si="10"/>
        <v>0</v>
      </c>
      <c r="O46" s="270">
        <f>'(2.2)_Forward_Price_Curve'!AH60</f>
        <v>2.4748953038346255</v>
      </c>
      <c r="Q46" s="28">
        <v>0.11143685131396178</v>
      </c>
      <c r="S46" s="18">
        <f t="shared" si="5"/>
        <v>51.096548188565642</v>
      </c>
      <c r="U46" s="18">
        <f t="shared" si="0"/>
        <v>580.57571902778113</v>
      </c>
      <c r="W46" s="18">
        <f t="shared" si="1"/>
        <v>-529.4791708392155</v>
      </c>
      <c r="Y46" s="271">
        <f t="shared" si="6"/>
        <v>-69.985530103876044</v>
      </c>
      <c r="Z46" s="235"/>
      <c r="AB46" s="146">
        <f>+IF(AB45&gt;$G$13+$G$14,XX,AB45+1)</f>
        <v>2042</v>
      </c>
      <c r="AC46" s="117"/>
      <c r="AD46" s="151">
        <f t="shared" si="2"/>
        <v>7565.5520513074043</v>
      </c>
      <c r="AF46" s="154">
        <f t="shared" si="11"/>
        <v>134.87370598538118</v>
      </c>
      <c r="AH46" s="154">
        <f t="shared" si="12"/>
        <v>36.345002322939486</v>
      </c>
      <c r="AJ46" s="154">
        <f t="shared" si="13"/>
        <v>2.7340689936044371</v>
      </c>
      <c r="AL46" s="153">
        <f t="shared" si="7"/>
        <v>234.0651286307268</v>
      </c>
      <c r="AN46" s="154">
        <f>INDEX('(2.2)_Forward_Price_Curve'!$N:$N,MATCH($AB46,'(2.2)_Forward_Price_Curve'!$C:$C,0),1)</f>
        <v>7.634595833333333</v>
      </c>
      <c r="AP46" s="154">
        <f t="shared" si="14"/>
        <v>50.056768025429612</v>
      </c>
      <c r="AR46" s="154">
        <f t="shared" si="15"/>
        <v>3.4363915227814337</v>
      </c>
      <c r="AS46" s="154"/>
      <c r="AT46" s="153">
        <f t="shared" si="3"/>
        <v>175.87043607689873</v>
      </c>
      <c r="AV46" s="153">
        <f t="shared" si="4"/>
        <v>404.70528295088235</v>
      </c>
      <c r="AW46" s="273"/>
      <c r="AX46" s="155">
        <f t="shared" si="8"/>
        <v>580.57571902778113</v>
      </c>
      <c r="AZ46" s="146">
        <f>+IF(AZ45&gt;$G$13+$G$14,XX,AZ45+1)</f>
        <v>2042</v>
      </c>
      <c r="BA46" s="117"/>
      <c r="BB46" s="154">
        <f t="shared" si="16"/>
        <v>81.974112079866984</v>
      </c>
      <c r="BD46" s="154">
        <f t="shared" si="17"/>
        <v>4.1809495097171574</v>
      </c>
      <c r="BF46" s="153">
        <f t="shared" si="9"/>
        <v>58.194692553828077</v>
      </c>
      <c r="BH46" s="157"/>
    </row>
    <row r="47" spans="2:60" ht="12">
      <c r="B47" s="2"/>
      <c r="C47">
        <f>+IF(C46&gt;$G$13+$G$14,XX,C46+1)</f>
        <v>2043</v>
      </c>
      <c r="E47" s="169">
        <f>'(2.2)_Forward_Price_Curve'!Q61</f>
        <v>2.1999999999999999E-2</v>
      </c>
      <c r="G47" s="18">
        <v>7565.5520513074043</v>
      </c>
      <c r="I47" s="28">
        <v>7.0927055010248319</v>
      </c>
      <c r="K47" s="28">
        <v>2.5363066328344375</v>
      </c>
      <c r="M47" s="28">
        <f t="shared" si="10"/>
        <v>0</v>
      </c>
      <c r="O47" s="270">
        <f>'(2.2)_Forward_Price_Curve'!AH61</f>
        <v>2.5293430005189874</v>
      </c>
      <c r="Q47" s="28">
        <v>0.11396646783878871</v>
      </c>
      <c r="S47" s="18">
        <f t="shared" si="5"/>
        <v>51.953525121204315</v>
      </c>
      <c r="U47" s="18">
        <f t="shared" si="0"/>
        <v>603.91784270931521</v>
      </c>
      <c r="W47" s="18">
        <f t="shared" si="1"/>
        <v>-551.96431758811093</v>
      </c>
      <c r="Y47" s="271">
        <f t="shared" si="6"/>
        <v>-72.957573200851328</v>
      </c>
      <c r="Z47" s="235"/>
      <c r="AB47" s="146">
        <f>+IF(AB46&gt;$G$13+$G$14,XX,AB46+1)</f>
        <v>2043</v>
      </c>
      <c r="AC47" s="117"/>
      <c r="AD47" s="151">
        <f t="shared" si="2"/>
        <v>7565.5520513074043</v>
      </c>
      <c r="AF47" s="154">
        <f t="shared" si="11"/>
        <v>137.84092751705955</v>
      </c>
      <c r="AH47" s="154">
        <f t="shared" si="12"/>
        <v>37.144592374044159</v>
      </c>
      <c r="AJ47" s="154">
        <f t="shared" si="13"/>
        <v>2.7942185114637348</v>
      </c>
      <c r="AL47" s="153">
        <f t="shared" si="7"/>
        <v>239.21456146060277</v>
      </c>
      <c r="AN47" s="154">
        <f>INDEX('(2.2)_Forward_Price_Curve'!$N:$N,MATCH($AB47,'(2.2)_Forward_Price_Curve'!$C:$C,0),1)</f>
        <v>8.0156333333333336</v>
      </c>
      <c r="AP47" s="154">
        <f t="shared" si="14"/>
        <v>52.555067367382073</v>
      </c>
      <c r="AR47" s="154">
        <f t="shared" si="15"/>
        <v>3.5119921362826254</v>
      </c>
      <c r="AS47" s="154"/>
      <c r="AT47" s="153">
        <f t="shared" si="3"/>
        <v>179.73958567059046</v>
      </c>
      <c r="AV47" s="153">
        <f t="shared" si="4"/>
        <v>424.17825703872472</v>
      </c>
      <c r="AW47" s="273"/>
      <c r="AX47" s="155">
        <f t="shared" si="8"/>
        <v>603.91784270931521</v>
      </c>
      <c r="AZ47" s="146">
        <f>+IF(AZ46&gt;$G$13+$G$14,XX,AZ46+1)</f>
        <v>2043</v>
      </c>
      <c r="BA47" s="117"/>
      <c r="BB47" s="154">
        <f t="shared" si="16"/>
        <v>83.777542545624058</v>
      </c>
      <c r="BD47" s="154">
        <f t="shared" si="17"/>
        <v>4.2729303989309351</v>
      </c>
      <c r="BF47" s="153">
        <f t="shared" si="9"/>
        <v>59.474975790012302</v>
      </c>
      <c r="BH47" s="157"/>
    </row>
    <row r="48" spans="2:60" ht="12">
      <c r="B48" s="2"/>
      <c r="C48">
        <f>+IF(C47&gt;$G$13+$G$14,XX,C47+1)</f>
        <v>2044</v>
      </c>
      <c r="E48" s="169">
        <f>'(2.2)_Forward_Price_Curve'!Q62</f>
        <v>2.1999999999999999E-2</v>
      </c>
      <c r="G48" s="18">
        <v>7565.5520513074043</v>
      </c>
      <c r="I48" s="28">
        <v>7.0927055010248319</v>
      </c>
      <c r="K48" s="28">
        <v>2.5938807933997787</v>
      </c>
      <c r="M48" s="28">
        <f t="shared" si="10"/>
        <v>0</v>
      </c>
      <c r="O48" s="270">
        <f>'(2.2)_Forward_Price_Curve'!AH62</f>
        <v>2.584988546530405</v>
      </c>
      <c r="Q48" s="28">
        <v>0.1165535066587292</v>
      </c>
      <c r="S48" s="18">
        <f t="shared" si="5"/>
        <v>52.829667081395542</v>
      </c>
      <c r="U48" s="18">
        <f t="shared" si="0"/>
        <v>628.7149623830062</v>
      </c>
      <c r="W48" s="18">
        <f t="shared" si="1"/>
        <v>-575.88529530161065</v>
      </c>
      <c r="Y48" s="271">
        <f t="shared" si="6"/>
        <v>-76.119401650549975</v>
      </c>
      <c r="Z48" s="235"/>
      <c r="AB48" s="146">
        <f>+IF(AB47&gt;$G$13+$G$14,XX,AB47+1)</f>
        <v>2044</v>
      </c>
      <c r="AC48" s="117"/>
      <c r="AD48" s="151">
        <f t="shared" si="2"/>
        <v>7565.5520513074043</v>
      </c>
      <c r="AF48" s="154">
        <f t="shared" si="11"/>
        <v>140.87342792243487</v>
      </c>
      <c r="AH48" s="154">
        <f t="shared" si="12"/>
        <v>37.961773406273132</v>
      </c>
      <c r="AJ48" s="154">
        <f t="shared" si="13"/>
        <v>2.855691318715937</v>
      </c>
      <c r="AL48" s="153">
        <f t="shared" si="7"/>
        <v>244.47728181273607</v>
      </c>
      <c r="AN48" s="154">
        <f>INDEX('(2.2)_Forward_Price_Curve'!$N:$N,MATCH($AB48,'(2.2)_Forward_Price_Curve'!$C:$C,0),1)</f>
        <v>8.4240333333333339</v>
      </c>
      <c r="AP48" s="154">
        <f t="shared" si="14"/>
        <v>55.232770877544155</v>
      </c>
      <c r="AR48" s="154">
        <f t="shared" si="15"/>
        <v>3.5892559632808432</v>
      </c>
      <c r="AS48" s="154"/>
      <c r="AT48" s="153">
        <f t="shared" si="3"/>
        <v>183.6938565553435</v>
      </c>
      <c r="AV48" s="153">
        <f t="shared" si="4"/>
        <v>445.02110582766272</v>
      </c>
      <c r="AW48" s="273"/>
      <c r="AX48" s="155">
        <f t="shared" si="8"/>
        <v>628.7149623830062</v>
      </c>
      <c r="AZ48" s="146">
        <f>+IF(AZ47&gt;$G$13+$G$14,XX,AZ47+1)</f>
        <v>2044</v>
      </c>
      <c r="BA48" s="117"/>
      <c r="BB48" s="154">
        <f t="shared" si="16"/>
        <v>85.620648481627782</v>
      </c>
      <c r="BD48" s="154">
        <f t="shared" si="17"/>
        <v>4.3669348677074158</v>
      </c>
      <c r="BF48" s="153">
        <f t="shared" si="9"/>
        <v>60.783425257392565</v>
      </c>
      <c r="BH48" s="157"/>
    </row>
    <row r="49" spans="2:60" ht="12">
      <c r="B49" s="2"/>
      <c r="C49">
        <f>+IF(C48&gt;$G$13+$G$14,XX,C48+1)</f>
        <v>2045</v>
      </c>
      <c r="E49" s="169">
        <f>'(2.2)_Forward_Price_Curve'!Q63</f>
        <v>2.1999999999999999E-2</v>
      </c>
      <c r="G49" s="18">
        <v>7565.5520513074043</v>
      </c>
      <c r="I49" s="28">
        <v>7.0927055010248319</v>
      </c>
      <c r="K49" s="28">
        <v>2.6527618874099534</v>
      </c>
      <c r="M49" s="28">
        <f t="shared" si="10"/>
        <v>0</v>
      </c>
      <c r="O49" s="270">
        <f>'(2.2)_Forward_Price_Curve'!AH63</f>
        <v>2.6418582945540741</v>
      </c>
      <c r="Q49" s="28">
        <v>0.11919927125988235</v>
      </c>
      <c r="S49" s="18">
        <f t="shared" si="5"/>
        <v>53.725402771590787</v>
      </c>
      <c r="U49" s="18">
        <f t="shared" si="0"/>
        <v>653.2651207975141</v>
      </c>
      <c r="W49" s="18">
        <f t="shared" si="1"/>
        <v>-599.53971802592332</v>
      </c>
      <c r="Y49" s="271">
        <f t="shared" si="6"/>
        <v>-79.245997378646919</v>
      </c>
      <c r="Z49" s="235"/>
      <c r="AB49" s="146">
        <f>+IF(AB48&gt;$G$13+$G$14,XX,AB48+1)</f>
        <v>2045</v>
      </c>
      <c r="AC49" s="117"/>
      <c r="AD49" s="151">
        <f t="shared" si="2"/>
        <v>7565.5520513074043</v>
      </c>
      <c r="AF49" s="154">
        <f t="shared" si="11"/>
        <v>143.97264333672845</v>
      </c>
      <c r="AH49" s="154">
        <f t="shared" si="12"/>
        <v>38.796932421211139</v>
      </c>
      <c r="AJ49" s="154">
        <f t="shared" si="13"/>
        <v>2.9185165277276877</v>
      </c>
      <c r="AL49" s="153">
        <f t="shared" si="7"/>
        <v>249.85578201261629</v>
      </c>
      <c r="AN49" s="154">
        <f>INDEX('(2.2)_Forward_Price_Curve'!$N:$N,MATCH($AB49,'(2.2)_Forward_Price_Curve'!$C:$C,0),1)</f>
        <v>8.8254416666666682</v>
      </c>
      <c r="AP49" s="154">
        <f t="shared" si="14"/>
        <v>57.86463303027427</v>
      </c>
      <c r="AR49" s="154">
        <f t="shared" si="15"/>
        <v>3.6682195944730216</v>
      </c>
      <c r="AS49" s="154"/>
      <c r="AT49" s="153">
        <f t="shared" si="3"/>
        <v>187.73512139956108</v>
      </c>
      <c r="AV49" s="153">
        <f t="shared" si="4"/>
        <v>465.52999939795308</v>
      </c>
      <c r="AW49" s="273"/>
      <c r="AX49" s="155">
        <f t="shared" si="8"/>
        <v>653.2651207975141</v>
      </c>
      <c r="AZ49" s="146">
        <f>+IF(AZ48&gt;$G$13+$G$14,XX,AZ48+1)</f>
        <v>2045</v>
      </c>
      <c r="BA49" s="117"/>
      <c r="BB49" s="154">
        <f t="shared" si="16"/>
        <v>87.504302748223594</v>
      </c>
      <c r="BD49" s="154">
        <f t="shared" si="17"/>
        <v>4.463007434796979</v>
      </c>
      <c r="BF49" s="153">
        <f t="shared" si="9"/>
        <v>62.120660613055207</v>
      </c>
      <c r="BH49" s="157"/>
    </row>
    <row r="50" spans="2:60" ht="12">
      <c r="B50" s="2"/>
      <c r="C50">
        <f>+IF(C49&gt;$G$13+$G$14,XX,C49+1)</f>
        <v>2046</v>
      </c>
      <c r="E50" s="169">
        <f>'(2.2)_Forward_Price_Curve'!Q64</f>
        <v>2.1999999999999999E-2</v>
      </c>
      <c r="G50" s="18">
        <v>7565.5520513074043</v>
      </c>
      <c r="I50" s="28">
        <v>7.0927055010248319</v>
      </c>
      <c r="K50" s="28">
        <v>2.7129795822541594</v>
      </c>
      <c r="M50" s="28">
        <f t="shared" si="10"/>
        <v>0</v>
      </c>
      <c r="O50" s="270">
        <f>'(2.2)_Forward_Price_Curve'!AH64</f>
        <v>2.6999791770342636</v>
      </c>
      <c r="Q50" s="28">
        <v>0.12190509471748168</v>
      </c>
      <c r="S50" s="18">
        <f t="shared" si="5"/>
        <v>54.641170486226279</v>
      </c>
      <c r="U50" s="18">
        <f t="shared" si="0"/>
        <v>720.76119845613459</v>
      </c>
      <c r="W50" s="18">
        <f t="shared" si="1"/>
        <v>-666.12002796990828</v>
      </c>
      <c r="Y50" s="271">
        <f t="shared" si="6"/>
        <v>-88.04645364310143</v>
      </c>
      <c r="Z50" s="235"/>
      <c r="AB50" s="146">
        <f>+IF(AB49&gt;$G$13+$G$14,XX,AB49+1)</f>
        <v>2046</v>
      </c>
      <c r="AC50" s="117"/>
      <c r="AD50" s="151">
        <f t="shared" si="2"/>
        <v>7565.5520513074043</v>
      </c>
      <c r="AF50" s="154">
        <f t="shared" si="11"/>
        <v>147.14004149013647</v>
      </c>
      <c r="AH50" s="154">
        <f t="shared" si="12"/>
        <v>39.650464934477782</v>
      </c>
      <c r="AJ50" s="154">
        <f t="shared" si="13"/>
        <v>2.982723891337697</v>
      </c>
      <c r="AL50" s="153">
        <f t="shared" si="7"/>
        <v>255.35260921689382</v>
      </c>
      <c r="AN50" s="154">
        <f>INDEX('(2.2)_Forward_Price_Curve'!$N:$N,MATCH($AB50,'(2.2)_Forward_Price_Curve'!$C:$C,0),1)</f>
        <v>10.090566666666668</v>
      </c>
      <c r="AP50" s="154">
        <f t="shared" si="14"/>
        <v>66.159514649504928</v>
      </c>
      <c r="AR50" s="154">
        <f t="shared" si="15"/>
        <v>3.7489204255514283</v>
      </c>
      <c r="AS50" s="154"/>
      <c r="AT50" s="153">
        <f t="shared" si="3"/>
        <v>191.86529407035141</v>
      </c>
      <c r="AV50" s="153">
        <f t="shared" si="4"/>
        <v>528.89590438578318</v>
      </c>
      <c r="AW50" s="273"/>
      <c r="AX50" s="155">
        <f t="shared" si="8"/>
        <v>720.76119845613459</v>
      </c>
      <c r="AZ50" s="146">
        <f>+IF(AZ49&gt;$G$13+$G$14,XX,AZ49+1)</f>
        <v>2046</v>
      </c>
      <c r="BA50" s="117"/>
      <c r="BB50" s="154">
        <f t="shared" si="16"/>
        <v>89.429397408684508</v>
      </c>
      <c r="BD50" s="154">
        <f t="shared" si="17"/>
        <v>4.5611935983625127</v>
      </c>
      <c r="BF50" s="153">
        <f t="shared" si="9"/>
        <v>63.487315146542414</v>
      </c>
      <c r="BH50" s="157"/>
    </row>
    <row r="51" spans="2:60" ht="12">
      <c r="B51" s="2"/>
      <c r="C51">
        <f>+IF(C50&gt;$G$13+$G$14,XX,C50+1)</f>
        <v>2047</v>
      </c>
      <c r="E51" s="169">
        <f>'(2.2)_Forward_Price_Curve'!Q65</f>
        <v>2.1999999999999999E-2</v>
      </c>
      <c r="G51" s="18">
        <v>7565.5520513074043</v>
      </c>
      <c r="I51" s="28">
        <v>7.0927055010248319</v>
      </c>
      <c r="K51" s="28">
        <v>2.7745642187713289</v>
      </c>
      <c r="M51" s="28">
        <f t="shared" si="10"/>
        <v>0</v>
      </c>
      <c r="O51" s="270">
        <f>'(2.2)_Forward_Price_Curve'!AH65</f>
        <v>2.7593787189290175</v>
      </c>
      <c r="Q51" s="28">
        <v>0.1246723403675685</v>
      </c>
      <c r="S51" s="18">
        <f t="shared" si="5"/>
        <v>55.577418326390827</v>
      </c>
      <c r="U51" s="18">
        <f t="shared" si="0"/>
        <v>749.45461368225608</v>
      </c>
      <c r="W51" s="18">
        <f t="shared" si="1"/>
        <v>-693.8771953558653</v>
      </c>
      <c r="Y51" s="271">
        <f t="shared" si="6"/>
        <v>-91.715342205061731</v>
      </c>
      <c r="Z51" s="235"/>
      <c r="AB51" s="146">
        <f>+IF(AB50&gt;$G$13+$G$14,XX,AB50+1)</f>
        <v>2047</v>
      </c>
      <c r="AC51" s="117"/>
      <c r="AD51" s="151">
        <f t="shared" si="2"/>
        <v>7565.5520513074043</v>
      </c>
      <c r="AF51" s="154">
        <f t="shared" si="11"/>
        <v>150.37712240291947</v>
      </c>
      <c r="AH51" s="154">
        <f t="shared" si="12"/>
        <v>40.522775163036293</v>
      </c>
      <c r="AJ51" s="154">
        <f t="shared" si="13"/>
        <v>3.0483438169471264</v>
      </c>
      <c r="AL51" s="153">
        <f t="shared" si="7"/>
        <v>260.97036661966547</v>
      </c>
      <c r="AN51" s="154">
        <f>INDEX('(2.2)_Forward_Price_Curve'!$N:$N,MATCH($AB51,'(2.2)_Forward_Price_Curve'!$C:$C,0),1)</f>
        <v>10.571341666666667</v>
      </c>
      <c r="AP51" s="154">
        <f t="shared" si="14"/>
        <v>69.311749970509268</v>
      </c>
      <c r="AR51" s="154">
        <f t="shared" si="15"/>
        <v>3.83139667491356</v>
      </c>
      <c r="AS51" s="154"/>
      <c r="AT51" s="153">
        <f t="shared" si="3"/>
        <v>196.08633053989911</v>
      </c>
      <c r="AV51" s="153">
        <f t="shared" si="4"/>
        <v>553.36828314235697</v>
      </c>
      <c r="AW51" s="273"/>
      <c r="AX51" s="155">
        <f t="shared" si="8"/>
        <v>749.45461368225608</v>
      </c>
      <c r="AZ51" s="146">
        <f>+IF(AZ50&gt;$G$13+$G$14,XX,AZ50+1)</f>
        <v>2047</v>
      </c>
      <c r="BA51" s="117"/>
      <c r="BB51" s="154">
        <f t="shared" si="16"/>
        <v>91.396844151675566</v>
      </c>
      <c r="BD51" s="154">
        <f t="shared" si="17"/>
        <v>4.6615398575264884</v>
      </c>
      <c r="BF51" s="153">
        <f t="shared" si="9"/>
        <v>64.884036079766346</v>
      </c>
      <c r="BH51" s="157"/>
    </row>
    <row r="52" spans="2:60" ht="12">
      <c r="B52" s="2"/>
      <c r="C52">
        <f>+IF(C51&gt;$G$13+$G$14,XX,C51+1)</f>
        <v>2048</v>
      </c>
      <c r="E52" s="169">
        <f>'(2.2)_Forward_Price_Curve'!Q66</f>
        <v>2.1999999999999999E-2</v>
      </c>
      <c r="G52" s="18">
        <v>7565.5520513074043</v>
      </c>
      <c r="I52" s="28">
        <v>7.0927055010248319</v>
      </c>
      <c r="K52" s="28">
        <v>2.8375468265374382</v>
      </c>
      <c r="M52" s="28">
        <f t="shared" si="10"/>
        <v>0</v>
      </c>
      <c r="O52" s="270">
        <f>'(2.2)_Forward_Price_Curve'!AH66</f>
        <v>2.820085050745456</v>
      </c>
      <c r="Q52" s="28">
        <v>0.12750240249391231</v>
      </c>
      <c r="S52" s="18">
        <f t="shared" si="5"/>
        <v>56.534604419298901</v>
      </c>
      <c r="U52" s="18">
        <f t="shared" si="0"/>
        <v>777.86708737847175</v>
      </c>
      <c r="W52" s="18">
        <f t="shared" si="1"/>
        <v>-721.33248295917281</v>
      </c>
      <c r="Y52" s="271">
        <f t="shared" si="6"/>
        <v>-95.344328882717718</v>
      </c>
      <c r="Z52" s="235"/>
      <c r="AB52" s="146">
        <f>+IF(AB51&gt;$G$13+$G$14,XX,AB51+1)</f>
        <v>2048</v>
      </c>
      <c r="AC52" s="117"/>
      <c r="AD52" s="151">
        <f t="shared" si="2"/>
        <v>7565.5520513074043</v>
      </c>
      <c r="AF52" s="154">
        <f t="shared" si="11"/>
        <v>153.68541909578369</v>
      </c>
      <c r="AH52" s="154">
        <f t="shared" si="12"/>
        <v>41.414276216623094</v>
      </c>
      <c r="AJ52" s="154">
        <f t="shared" si="13"/>
        <v>3.1154073809199634</v>
      </c>
      <c r="AL52" s="153">
        <f t="shared" si="7"/>
        <v>266.71171468529809</v>
      </c>
      <c r="AN52" s="154">
        <f>INDEX('(2.2)_Forward_Price_Curve'!$N:$N,MATCH($AB52,'(2.2)_Forward_Price_Curve'!$C:$C,0),1)</f>
        <v>11.044304166666668</v>
      </c>
      <c r="AP52" s="154">
        <f t="shared" si="14"/>
        <v>72.412762082225797</v>
      </c>
      <c r="AR52" s="154">
        <f t="shared" si="15"/>
        <v>3.9156874017616583</v>
      </c>
      <c r="AS52" s="154"/>
      <c r="AT52" s="153">
        <f t="shared" si="3"/>
        <v>200.40022981177688</v>
      </c>
      <c r="AV52" s="153">
        <f t="shared" si="4"/>
        <v>577.4668575666949</v>
      </c>
      <c r="AW52" s="273"/>
      <c r="AX52" s="155">
        <f t="shared" si="8"/>
        <v>777.86708737847175</v>
      </c>
      <c r="AZ52" s="146">
        <f>+IF(AZ51&gt;$G$13+$G$14,XX,AZ51+1)</f>
        <v>2048</v>
      </c>
      <c r="BA52" s="117"/>
      <c r="BB52" s="154">
        <f t="shared" si="16"/>
        <v>93.407574723012431</v>
      </c>
      <c r="BD52" s="154">
        <f t="shared" si="17"/>
        <v>4.7640937343920715</v>
      </c>
      <c r="BF52" s="153">
        <f t="shared" si="9"/>
        <v>66.311484873521209</v>
      </c>
      <c r="BH52" s="157"/>
    </row>
    <row r="53" spans="2:60" ht="12">
      <c r="B53" s="2"/>
      <c r="C53">
        <f>+IF(C52&gt;$G$13+$G$14,XX,C52+1)</f>
        <v>2049</v>
      </c>
      <c r="E53" s="169">
        <f>'(2.2)_Forward_Price_Curve'!Q67</f>
        <v>2.1999999999999999E-2</v>
      </c>
      <c r="G53" s="18">
        <v>7565.5520513074043</v>
      </c>
      <c r="I53" s="28">
        <v>7.0927055010248319</v>
      </c>
      <c r="K53" s="28">
        <v>2.9019591394998376</v>
      </c>
      <c r="M53" s="28">
        <f t="shared" si="10"/>
        <v>0</v>
      </c>
      <c r="O53" s="270">
        <f>'(2.2)_Forward_Price_Curve'!AH67</f>
        <v>2.8821269218618562</v>
      </c>
      <c r="Q53" s="28">
        <v>0.13039670703052411</v>
      </c>
      <c r="S53" s="18">
        <f t="shared" si="5"/>
        <v>57.513197142676738</v>
      </c>
      <c r="U53" s="18">
        <f t="shared" si="0"/>
        <v>808.32078189349829</v>
      </c>
      <c r="W53" s="18">
        <f t="shared" si="1"/>
        <v>-750.80758475082155</v>
      </c>
      <c r="Y53" s="271">
        <f t="shared" si="6"/>
        <v>-99.240290683225737</v>
      </c>
      <c r="Z53" s="235"/>
      <c r="AB53" s="146">
        <f>+IF(AB52&gt;$G$13+$G$14,XX,AB52+1)</f>
        <v>2049</v>
      </c>
      <c r="AC53" s="117"/>
      <c r="AD53" s="151">
        <f t="shared" si="2"/>
        <v>7565.5520513074043</v>
      </c>
      <c r="AF53" s="154">
        <f t="shared" si="11"/>
        <v>157.06649831589093</v>
      </c>
      <c r="AH53" s="154">
        <f t="shared" si="12"/>
        <v>42.3253902933888</v>
      </c>
      <c r="AJ53" s="154">
        <f t="shared" si="13"/>
        <v>3.1839463433002027</v>
      </c>
      <c r="AL53" s="153">
        <f t="shared" si="7"/>
        <v>272.5793724083747</v>
      </c>
      <c r="AN53" s="154">
        <f>INDEX('(2.2)_Forward_Price_Curve'!$N:$N,MATCH($AB53,'(2.2)_Forward_Price_Curve'!$C:$C,0),1)</f>
        <v>11.556220833333333</v>
      </c>
      <c r="AP53" s="154">
        <f t="shared" si="14"/>
        <v>75.769179945212585</v>
      </c>
      <c r="AR53" s="154">
        <f t="shared" si="15"/>
        <v>4.0018325246004149</v>
      </c>
      <c r="AS53" s="154"/>
      <c r="AT53" s="153">
        <f t="shared" si="3"/>
        <v>204.80903486763603</v>
      </c>
      <c r="AV53" s="153">
        <f t="shared" si="4"/>
        <v>603.51174702586229</v>
      </c>
      <c r="AW53" s="273"/>
      <c r="AX53" s="155">
        <f t="shared" si="8"/>
        <v>808.32078189349829</v>
      </c>
      <c r="AZ53" s="146">
        <f>+IF(AZ52&gt;$G$13+$G$14,XX,AZ52+1)</f>
        <v>2049</v>
      </c>
      <c r="BA53" s="117"/>
      <c r="BB53" s="154">
        <f t="shared" si="16"/>
        <v>95.4625413669187</v>
      </c>
      <c r="BD53" s="154">
        <f t="shared" si="17"/>
        <v>4.8689037965486968</v>
      </c>
      <c r="BF53" s="153">
        <f t="shared" si="9"/>
        <v>67.770337540738666</v>
      </c>
      <c r="BH53" s="157"/>
    </row>
    <row r="54" spans="2:60" ht="12">
      <c r="B54" s="2"/>
      <c r="C54">
        <f>+IF(C53&gt;$G$13+$G$14,XX,C53+1)</f>
        <v>2050</v>
      </c>
      <c r="E54" s="169">
        <f>'(2.2)_Forward_Price_Curve'!Q68</f>
        <v>2.1999999999999999E-2</v>
      </c>
      <c r="G54" s="18">
        <v>7565.5520513074043</v>
      </c>
      <c r="I54" s="28">
        <v>7.0927055010248319</v>
      </c>
      <c r="K54" s="28">
        <v>2.9678336119664839</v>
      </c>
      <c r="M54" s="28">
        <f t="shared" si="10"/>
        <v>0</v>
      </c>
      <c r="O54" s="270">
        <f>'(2.2)_Forward_Price_Curve'!AH68</f>
        <v>2.9455337141428171</v>
      </c>
      <c r="Q54" s="28">
        <v>0.13335671228011697</v>
      </c>
      <c r="S54" s="18">
        <f t="shared" si="5"/>
        <v>58.513675354171546</v>
      </c>
      <c r="U54" s="18">
        <f t="shared" si="0"/>
        <v>839.94671550805606</v>
      </c>
      <c r="W54" s="18">
        <f t="shared" si="1"/>
        <v>-781.43304015388446</v>
      </c>
      <c r="Y54" s="271">
        <f t="shared" si="6"/>
        <v>-103.28830399347326</v>
      </c>
      <c r="Z54" s="235"/>
      <c r="AB54" s="146">
        <f>+IF(AB53&gt;$G$13+$G$14,XX,AB53+1)</f>
        <v>2050</v>
      </c>
      <c r="AC54" s="117"/>
      <c r="AD54" s="151">
        <f t="shared" si="2"/>
        <v>7565.5520513074043</v>
      </c>
      <c r="AF54" s="154">
        <f t="shared" si="11"/>
        <v>160.52196127884054</v>
      </c>
      <c r="AH54" s="154">
        <f t="shared" si="12"/>
        <v>43.256548879843358</v>
      </c>
      <c r="AJ54" s="154">
        <f t="shared" si="13"/>
        <v>3.2539931628528072</v>
      </c>
      <c r="AL54" s="153">
        <f t="shared" si="7"/>
        <v>278.57611860135898</v>
      </c>
      <c r="AN54" s="154">
        <f>INDEX('(2.2)_Forward_Price_Curve'!$N:$N,MATCH($AB54,'(2.2)_Forward_Price_Curve'!$C:$C,0),1)</f>
        <v>12.089525</v>
      </c>
      <c r="AP54" s="154">
        <f t="shared" si="14"/>
        <v>79.265826465945679</v>
      </c>
      <c r="AR54" s="154">
        <f t="shared" si="15"/>
        <v>4.0898728401416244</v>
      </c>
      <c r="AS54" s="154"/>
      <c r="AT54" s="153">
        <f t="shared" si="3"/>
        <v>209.31483363472407</v>
      </c>
      <c r="AV54" s="153">
        <f t="shared" si="4"/>
        <v>630.63188187333196</v>
      </c>
      <c r="AW54" s="273"/>
      <c r="AX54" s="155">
        <f t="shared" si="8"/>
        <v>839.94671550805606</v>
      </c>
      <c r="AZ54" s="146">
        <f>+IF(AZ53&gt;$G$13+$G$14,XX,AZ53+1)</f>
        <v>2050</v>
      </c>
      <c r="BA54" s="117"/>
      <c r="BB54" s="154">
        <f t="shared" si="16"/>
        <v>97.562717276990909</v>
      </c>
      <c r="BD54" s="154">
        <f t="shared" si="17"/>
        <v>4.9760196800727678</v>
      </c>
      <c r="BF54" s="153">
        <f t="shared" si="9"/>
        <v>69.261284966634918</v>
      </c>
      <c r="BH54" s="157"/>
    </row>
    <row r="55" spans="2:60" ht="12">
      <c r="B55" s="2"/>
      <c r="C55">
        <f>+IF(C54&gt;$G$13+$G$14,XX,C54+1)</f>
        <v>2051</v>
      </c>
      <c r="E55" s="169">
        <f>'(2.2)_Forward_Price_Curve'!Q69</f>
        <v>2.1999999999999999E-2</v>
      </c>
      <c r="G55" s="18">
        <v>7565.5520513074043</v>
      </c>
      <c r="I55" s="28">
        <v>7.0927055010248319</v>
      </c>
      <c r="K55" s="28">
        <v>3.0352034349581229</v>
      </c>
      <c r="M55" s="28">
        <f t="shared" si="10"/>
        <v>0</v>
      </c>
      <c r="O55" s="270">
        <f>'(2.2)_Forward_Price_Curve'!AH69</f>
        <v>3.010335455853959</v>
      </c>
      <c r="Q55" s="28">
        <v>0.13638390964887562</v>
      </c>
      <c r="S55" s="18">
        <f t="shared" si="5"/>
        <v>59.536528625896111</v>
      </c>
      <c r="U55" s="18">
        <f t="shared" si="0"/>
        <v>858.42478017317308</v>
      </c>
      <c r="W55" s="18">
        <f t="shared" si="1"/>
        <v>-798.88825154727692</v>
      </c>
      <c r="Y55" s="271">
        <f t="shared" si="6"/>
        <v>-105.59549998855945</v>
      </c>
      <c r="Z55" s="235"/>
      <c r="AB55" s="146">
        <f>+IF(AB54&gt;$G$13+$G$14,XX,AB54+1)</f>
        <v>2051</v>
      </c>
      <c r="AC55" s="117"/>
      <c r="AD55" s="151">
        <f t="shared" si="2"/>
        <v>7565.5520513074043</v>
      </c>
      <c r="AF55" s="154">
        <f t="shared" si="11"/>
        <v>164.05344442697503</v>
      </c>
      <c r="AH55" s="154">
        <f t="shared" si="12"/>
        <v>44.208192955199912</v>
      </c>
      <c r="AJ55" s="154">
        <f t="shared" si="13"/>
        <v>3.3255810124355691</v>
      </c>
      <c r="AL55" s="153">
        <f t="shared" si="7"/>
        <v>284.70479321058878</v>
      </c>
      <c r="AN55" s="154">
        <f>INDEX('(2.2)_Forward_Price_Curve'!$N:$N,MATCH($AB55,'(2.2)_Forward_Price_Curve'!$C:$C,0),1)</f>
        <v>12.355479166666667</v>
      </c>
      <c r="AP55" s="154">
        <f t="shared" si="14"/>
        <v>81.009573786282516</v>
      </c>
      <c r="AR55" s="154">
        <f t="shared" si="15"/>
        <v>4.1798500426247402</v>
      </c>
      <c r="AS55" s="154"/>
      <c r="AT55" s="153">
        <f t="shared" si="3"/>
        <v>213.91975997468791</v>
      </c>
      <c r="AV55" s="153">
        <f t="shared" si="4"/>
        <v>644.50502019848511</v>
      </c>
      <c r="AW55" s="273"/>
      <c r="AX55" s="155">
        <f t="shared" si="8"/>
        <v>858.42478017317308</v>
      </c>
      <c r="AZ55" s="146">
        <f>+IF(AZ54&gt;$G$13+$G$14,XX,AZ54+1)</f>
        <v>2051</v>
      </c>
      <c r="BA55" s="117"/>
      <c r="BB55" s="154">
        <f t="shared" si="16"/>
        <v>99.709097057084705</v>
      </c>
      <c r="BD55" s="154">
        <f t="shared" si="17"/>
        <v>5.0854921130343689</v>
      </c>
      <c r="BF55" s="153">
        <f t="shared" si="9"/>
        <v>70.785033235900883</v>
      </c>
      <c r="BH55" s="157"/>
    </row>
    <row r="56" spans="2:60" ht="12">
      <c r="B56" s="2"/>
      <c r="C56">
        <f>+IF(C55&gt;$G$13+$G$14,XX,C55+1)</f>
        <v>2052</v>
      </c>
      <c r="E56" s="169">
        <f>'(2.2)_Forward_Price_Curve'!Q70</f>
        <v>2.1999999999999999E-2</v>
      </c>
      <c r="G56" s="18">
        <v>7565.5520513074043</v>
      </c>
      <c r="I56" s="28">
        <v>7.0927055010248319</v>
      </c>
      <c r="K56" s="28">
        <v>3.1041025529316717</v>
      </c>
      <c r="M56" s="28">
        <f t="shared" si="10"/>
        <v>0</v>
      </c>
      <c r="O56" s="270">
        <f>'(2.2)_Forward_Price_Curve'!AH70</f>
        <v>3.0765628358827461</v>
      </c>
      <c r="Q56" s="28">
        <v>0.1394798243979051</v>
      </c>
      <c r="S56" s="18">
        <f t="shared" si="5"/>
        <v>60.582257484223867</v>
      </c>
      <c r="U56" s="18">
        <f t="shared" si="0"/>
        <v>920.89972297918428</v>
      </c>
      <c r="W56" s="18">
        <f t="shared" si="1"/>
        <v>-860.3174654949604</v>
      </c>
      <c r="Y56" s="271">
        <f t="shared" si="6"/>
        <v>-113.71509437256319</v>
      </c>
      <c r="Z56" s="235"/>
      <c r="AB56" s="146">
        <f>+IF(AB55&gt;$G$13+$G$14,XX,AB55+1)</f>
        <v>2052</v>
      </c>
      <c r="AC56" s="117"/>
      <c r="AD56" s="151">
        <f t="shared" si="2"/>
        <v>7565.5520513074043</v>
      </c>
      <c r="AF56" s="154">
        <f t="shared" si="11"/>
        <v>167.66262020436849</v>
      </c>
      <c r="AH56" s="154">
        <f t="shared" si="12"/>
        <v>45.180773200214311</v>
      </c>
      <c r="AJ56" s="154">
        <f t="shared" si="13"/>
        <v>3.3987437947091519</v>
      </c>
      <c r="AL56" s="153">
        <f t="shared" si="7"/>
        <v>290.96829866122181</v>
      </c>
      <c r="AN56" s="154">
        <f>INDEX('(2.2)_Forward_Price_Curve'!$N:$N,MATCH($AB56,'(2.2)_Forward_Price_Curve'!$C:$C,0),1)</f>
        <v>13.50605</v>
      </c>
      <c r="AP56" s="154">
        <f t="shared" si="14"/>
        <v>88.553372902606654</v>
      </c>
      <c r="AR56" s="154">
        <f t="shared" si="15"/>
        <v>4.2718067435624842</v>
      </c>
      <c r="AS56" s="154"/>
      <c r="AT56" s="153">
        <f t="shared" si="3"/>
        <v>218.62599469413109</v>
      </c>
      <c r="AV56" s="153">
        <f t="shared" si="4"/>
        <v>702.27372828505315</v>
      </c>
      <c r="AW56" s="273"/>
      <c r="AX56" s="155">
        <f t="shared" si="8"/>
        <v>920.89972297918428</v>
      </c>
      <c r="AZ56" s="146">
        <f>+IF(AZ55&gt;$G$13+$G$14,XX,AZ55+1)</f>
        <v>2052</v>
      </c>
      <c r="BA56" s="117"/>
      <c r="BB56" s="154">
        <f t="shared" si="16"/>
        <v>101.90269719234057</v>
      </c>
      <c r="BD56" s="154">
        <f t="shared" si="17"/>
        <v>5.1973729395211254</v>
      </c>
      <c r="BF56" s="153">
        <f t="shared" si="9"/>
        <v>72.342303967090714</v>
      </c>
      <c r="BH56" s="157"/>
    </row>
    <row r="57" spans="2:60" ht="12">
      <c r="B57" s="2"/>
      <c r="C57">
        <f>+IF(C56&gt;$G$13+$G$14,XX,C56+1)</f>
        <v>2053</v>
      </c>
      <c r="E57" s="169">
        <f>'(2.2)_Forward_Price_Curve'!Q71</f>
        <v>2.1999999999999999E-2</v>
      </c>
      <c r="G57" s="18">
        <v>7565.5520513074043</v>
      </c>
      <c r="I57" s="28">
        <v>7.0927055010248319</v>
      </c>
      <c r="K57" s="28">
        <v>3.1745656808832203</v>
      </c>
      <c r="M57" s="28">
        <f t="shared" si="10"/>
        <v>0</v>
      </c>
      <c r="O57" s="270">
        <f>'(2.2)_Forward_Price_Curve'!AH71</f>
        <v>3.1442472182721666</v>
      </c>
      <c r="Q57" s="28">
        <v>0.14264601641173755</v>
      </c>
      <c r="S57" s="18">
        <f t="shared" si="5"/>
        <v>61.651373654952074</v>
      </c>
      <c r="U57" s="18">
        <f t="shared" si="0"/>
        <v>941.15951688472649</v>
      </c>
      <c r="W57" s="18">
        <f t="shared" si="1"/>
        <v>-879.50814322977442</v>
      </c>
      <c r="Y57" s="271">
        <f t="shared" si="6"/>
        <v>-116.25168094346618</v>
      </c>
      <c r="Z57" s="235"/>
      <c r="AB57" s="146">
        <f>+IF(AB56&gt;$G$13+$G$14,XX,AB56+1)</f>
        <v>2053</v>
      </c>
      <c r="AC57" s="117"/>
      <c r="AD57" s="151">
        <f t="shared" si="2"/>
        <v>7565.5520513074043</v>
      </c>
      <c r="AF57" s="154">
        <f t="shared" si="11"/>
        <v>171.35119784886462</v>
      </c>
      <c r="AH57" s="154">
        <f t="shared" si="12"/>
        <v>46.174750210619024</v>
      </c>
      <c r="AJ57" s="154">
        <f t="shared" si="13"/>
        <v>3.4735161581927532</v>
      </c>
      <c r="AL57" s="153">
        <f t="shared" si="7"/>
        <v>297.36960123176868</v>
      </c>
      <c r="AN57" s="154">
        <f>INDEX('(2.2)_Forward_Price_Curve'!$N:$N,MATCH($AB57,'(2.2)_Forward_Price_Curve'!$C:$C,0),1)</f>
        <v>13.8031831</v>
      </c>
      <c r="AP57" s="154">
        <f t="shared" si="14"/>
        <v>90.501547106464002</v>
      </c>
      <c r="AR57" s="154">
        <f t="shared" si="15"/>
        <v>4.3657864919208587</v>
      </c>
      <c r="AS57" s="154"/>
      <c r="AT57" s="153">
        <f t="shared" si="3"/>
        <v>223.43576657740198</v>
      </c>
      <c r="AV57" s="153">
        <f t="shared" si="4"/>
        <v>717.72375030732451</v>
      </c>
      <c r="AW57" s="273"/>
      <c r="AX57" s="155">
        <f t="shared" si="8"/>
        <v>941.15951688472649</v>
      </c>
      <c r="AZ57" s="146">
        <f>+IF(AZ56&gt;$G$13+$G$14,XX,AZ56+1)</f>
        <v>2053</v>
      </c>
      <c r="BA57" s="117"/>
      <c r="BB57" s="154">
        <f t="shared" si="16"/>
        <v>104.14455653057206</v>
      </c>
      <c r="BD57" s="154">
        <f t="shared" si="17"/>
        <v>5.3117151441905905</v>
      </c>
      <c r="BF57" s="153">
        <f t="shared" si="9"/>
        <v>73.933834654366706</v>
      </c>
      <c r="BH57" s="157"/>
    </row>
    <row r="58" spans="2:60" ht="12">
      <c r="B58" s="2"/>
      <c r="E58" s="169"/>
      <c r="G58" s="18"/>
      <c r="I58" s="28"/>
      <c r="K58" s="28"/>
      <c r="M58" s="28"/>
      <c r="O58" s="270"/>
      <c r="Q58" s="28"/>
      <c r="S58" s="18"/>
      <c r="U58" s="18"/>
      <c r="W58" s="18"/>
      <c r="Y58" s="271"/>
      <c r="Z58" s="235"/>
      <c r="AB58" s="146"/>
      <c r="AC58" s="117"/>
      <c r="AD58" s="151"/>
      <c r="AF58" s="154"/>
      <c r="AH58" s="154"/>
      <c r="AJ58" s="154"/>
      <c r="AL58" s="153"/>
      <c r="AN58" s="154"/>
      <c r="AP58" s="154"/>
      <c r="AR58" s="154"/>
      <c r="AS58" s="154"/>
      <c r="AT58" s="153"/>
      <c r="AV58" s="153"/>
      <c r="AW58" s="273"/>
      <c r="AX58" s="155"/>
      <c r="AZ58" s="146"/>
      <c r="BA58" s="117"/>
      <c r="BB58" s="154"/>
      <c r="BD58" s="154"/>
      <c r="BF58" s="153"/>
      <c r="BH58" s="157"/>
    </row>
    <row r="59" spans="2:60">
      <c r="B59" s="2"/>
      <c r="E59" s="169"/>
      <c r="G59" s="267"/>
      <c r="I59" s="267"/>
      <c r="K59" s="267"/>
      <c r="M59" s="267"/>
      <c r="O59" s="267"/>
      <c r="Q59" s="267"/>
      <c r="S59" s="267"/>
      <c r="U59" s="267"/>
      <c r="W59" s="267"/>
      <c r="Y59" s="267"/>
      <c r="Z59" s="235"/>
      <c r="AB59" s="2"/>
      <c r="AF59" s="274"/>
      <c r="AH59" s="274"/>
      <c r="AJ59" s="274"/>
      <c r="AL59" s="273"/>
      <c r="AN59" s="274"/>
      <c r="AP59" s="274"/>
      <c r="AR59" s="274"/>
      <c r="AS59" s="274"/>
      <c r="AT59" s="274"/>
      <c r="AV59" s="273"/>
      <c r="AW59" s="273"/>
      <c r="AX59" s="275"/>
      <c r="AZ59" s="2"/>
      <c r="BB59" s="274"/>
      <c r="BF59" s="273"/>
      <c r="BH59" s="235"/>
    </row>
    <row r="60" spans="2:60" ht="12">
      <c r="B60" s="2"/>
      <c r="C60" s="276" t="str">
        <f>G14&amp;"-year Nominal Levelized at "&amp;TEXT($G$18,"#.00%")</f>
        <v>30-year Nominal Levelized at 6.77%</v>
      </c>
      <c r="E60" s="169"/>
      <c r="G60" s="285">
        <f>+-PMT($G$18,$G$14,NPV($G$18,G28:G57))</f>
        <v>7565.5520513073989</v>
      </c>
      <c r="I60" s="28">
        <f>+-PMT($G$18,$G$14,NPV($G$18,I28:I57))</f>
        <v>7.0927055010248248</v>
      </c>
      <c r="J60" s="28"/>
      <c r="K60" s="28">
        <f>+-PMT($G$18,$G$14,NPV($G$18,K28:K57))</f>
        <v>2.1008847726808355</v>
      </c>
      <c r="M60" s="28">
        <f>+-PMT($G$18,$G$14,NPV($G$18,M28:M57))</f>
        <v>0</v>
      </c>
      <c r="O60" s="28">
        <f>+-PMT($G$18,$G$14,NPV($G$18,O28:O57))</f>
        <v>2.1096990904308393</v>
      </c>
      <c r="Q60" s="28">
        <f>+-PMT($G$18,$G$14,NPV($G$18,Q28:Q57))</f>
        <v>-0.44433273209628077</v>
      </c>
      <c r="S60" s="285">
        <f>+-PMT($G$18,$G$14,NPV($G$18,S28:S57))</f>
        <v>41.26063887183706</v>
      </c>
      <c r="U60" s="285">
        <f>+-PMT($G$18,$G$14,NPV($G$18,U28:U57))</f>
        <v>481.10540963954435</v>
      </c>
      <c r="W60" s="285">
        <f>+-PMT($G$18,$G$14,NPV($G$18,W28:W57))</f>
        <v>-439.84477076770742</v>
      </c>
      <c r="Y60" s="285">
        <f>+-PMT($G$18,$G$14,NPV($G$18,Y28:Y57))</f>
        <v>-58.137828909880781</v>
      </c>
      <c r="Z60" s="235"/>
      <c r="AB60" s="2"/>
      <c r="AD60" s="412">
        <f>+-PMT($G$18,$G$14,NPV($G$18,AD28:AD57))</f>
        <v>7565.5520513073989</v>
      </c>
      <c r="AF60" s="154">
        <f>+-PMT($G$18,$G$14,NPV($G$18,AF28:AF57))</f>
        <v>114.97170583318079</v>
      </c>
      <c r="AH60" s="154">
        <f>+-PMT($G$18,$G$14,NPV($G$18,AH28:AH57))</f>
        <v>30.981924052952106</v>
      </c>
      <c r="AJ60" s="154">
        <f>+-PMT($G$18,$G$14,NPV($G$18,AJ28:AJ57))</f>
        <v>2.3306290411741255</v>
      </c>
      <c r="AL60" s="153">
        <f>+-PMT($G$18,$G$14,NPV($G$18,AL28:AL57))</f>
        <v>199.5264156058289</v>
      </c>
      <c r="AN60" s="154">
        <f>+-PMT($G$18,$G$14,NPV($G$18,AN28:AN57))</f>
        <v>6.2298218111793453</v>
      </c>
      <c r="AP60" s="154">
        <f>+-PMT($G$18,$G$14,NPV($G$18,AP28:AP57))</f>
        <v>40.846267706854121</v>
      </c>
      <c r="AR60" s="154">
        <f>+-PMT($G$18,$G$14,NPV($G$18,AR28:AR57))</f>
        <v>2.9293166699792939</v>
      </c>
      <c r="AS60" s="154"/>
      <c r="AT60" s="153">
        <f>+-PMT($G$18,$G$14,NPV($G$18,AT28:AT57))</f>
        <v>149.91894746021191</v>
      </c>
      <c r="AV60" s="153">
        <f>+-PMT($G$18,$G$14,NPV($G$18,AV28:AV57))</f>
        <v>331.18646217933247</v>
      </c>
      <c r="AW60" s="273"/>
      <c r="AX60" s="155">
        <f>+-PMT($G$18,$G$14,NPV($G$18,AX28:AX57))</f>
        <v>481.10540963954435</v>
      </c>
      <c r="AZ60" s="2"/>
      <c r="BB60" s="154">
        <f>+-PMT($G$18,$G$14,NPV($G$18,BB28:BB57))</f>
        <v>69.87799016217582</v>
      </c>
      <c r="BD60" s="154">
        <f>+-PMT($G$18,$G$14,NPV($G$18,BD28:BD57))</f>
        <v>3.5640074810926028</v>
      </c>
      <c r="BF60" s="153">
        <f>+-PMT($G$18,$G$14,NPV($G$18,BF28:BF57))</f>
        <v>49.607468145617062</v>
      </c>
      <c r="BH60" s="157"/>
    </row>
    <row r="61" spans="2:60">
      <c r="B61" s="2"/>
      <c r="E61" s="169"/>
      <c r="W61" s="18"/>
      <c r="Y61" s="271"/>
      <c r="Z61" s="235"/>
      <c r="AB61" s="2"/>
      <c r="AT61" s="273"/>
      <c r="AX61" s="235"/>
      <c r="AZ61" s="2"/>
      <c r="BH61" s="235"/>
    </row>
    <row r="62" spans="2:60">
      <c r="B62" s="238"/>
      <c r="C62" s="277"/>
      <c r="D62" s="277"/>
      <c r="E62" s="278"/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39"/>
      <c r="AB62" s="238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39"/>
      <c r="AZ62" s="238"/>
      <c r="BA62" s="277"/>
      <c r="BB62" s="277"/>
      <c r="BC62" s="277"/>
      <c r="BD62" s="277"/>
      <c r="BE62" s="277"/>
      <c r="BF62" s="277"/>
      <c r="BG62" s="277"/>
      <c r="BH62" s="239"/>
    </row>
    <row r="63" spans="2:60">
      <c r="E63" s="169"/>
    </row>
    <row r="64" spans="2:60">
      <c r="E64" s="169"/>
      <c r="G64" s="18"/>
      <c r="I64" s="18"/>
      <c r="K64" s="18"/>
      <c r="O64" s="18"/>
      <c r="Q64" s="18"/>
      <c r="S64" s="18"/>
      <c r="U64" s="18"/>
      <c r="W64" s="18"/>
    </row>
    <row r="65" spans="5:48">
      <c r="E65" s="169"/>
    </row>
    <row r="66" spans="5:48">
      <c r="E66" s="169"/>
    </row>
    <row r="67" spans="5:48">
      <c r="E67" s="169"/>
    </row>
    <row r="68" spans="5:48">
      <c r="E68" s="169"/>
    </row>
    <row r="69" spans="5:48">
      <c r="E69" s="169"/>
      <c r="AV69" s="285"/>
    </row>
    <row r="70" spans="5:48">
      <c r="E70" s="169"/>
    </row>
    <row r="71" spans="5:48">
      <c r="E71" s="169"/>
    </row>
    <row r="72" spans="5:48">
      <c r="E72" s="169"/>
    </row>
    <row r="73" spans="5:48">
      <c r="E73" s="169"/>
    </row>
    <row r="74" spans="5:48">
      <c r="E74" s="169"/>
    </row>
    <row r="75" spans="5:48">
      <c r="E75" s="169"/>
    </row>
    <row r="76" spans="5:48">
      <c r="E76" s="169"/>
    </row>
    <row r="77" spans="5:48">
      <c r="E77" s="169"/>
    </row>
    <row r="78" spans="5:48">
      <c r="E78" s="169"/>
    </row>
    <row r="79" spans="5:48">
      <c r="E79" s="169"/>
    </row>
    <row r="80" spans="5:48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</sheetData>
  <pageMargins left="0.25" right="0.25" top="0.25" bottom="0.75" header="0.3" footer="0.3"/>
  <pageSetup paperSize="5" scale="46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7A03A-0AD2-4E4A-AA8B-0C0A635F56DE}">
  <sheetPr>
    <tabColor theme="8" tint="0.79998168889431442"/>
    <pageSetUpPr fitToPage="1"/>
  </sheetPr>
  <dimension ref="A1:BH86"/>
  <sheetViews>
    <sheetView zoomScaleNormal="100"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409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380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24.75</v>
      </c>
      <c r="H11" s="252"/>
      <c r="AB11" s="122" t="s">
        <v>99</v>
      </c>
      <c r="AC11" s="123"/>
      <c r="AD11" s="123"/>
      <c r="AE11" s="123"/>
      <c r="AF11" s="281">
        <f>+G11*(G12/AJ16)</f>
        <v>17.135862984950091</v>
      </c>
      <c r="AG11" s="127"/>
      <c r="AH11" s="123" t="s">
        <v>100</v>
      </c>
      <c r="AI11" s="124"/>
      <c r="AJ11" s="166">
        <f>'(2.1)_Proxy Resources'!N14</f>
        <v>24.131165356579</v>
      </c>
      <c r="AK11" s="235"/>
      <c r="AZ11" s="122" t="s">
        <v>99</v>
      </c>
      <c r="BA11" s="123"/>
      <c r="BB11" s="123"/>
      <c r="BC11" s="123"/>
      <c r="BD11" s="134">
        <f>(AF11*AF13-G11*G19)</f>
        <v>9.2876379849500914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0.4798041635786025</v>
      </c>
      <c r="H12" s="252"/>
      <c r="AB12" s="122" t="s">
        <v>32</v>
      </c>
      <c r="AC12" s="123"/>
      <c r="AD12" s="123"/>
      <c r="AE12" s="123"/>
      <c r="AF12" s="131">
        <f>+AD60/8760/AF11</f>
        <v>0.69299999999999917</v>
      </c>
      <c r="AG12" s="127"/>
      <c r="AH12" s="117" t="s">
        <v>101</v>
      </c>
      <c r="AI12" s="118"/>
      <c r="AJ12" s="117">
        <v>2022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2024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Resources'!O14</f>
        <v>1.8152776658187928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30</v>
      </c>
      <c r="H14" s="252"/>
      <c r="AB14" s="122" t="s">
        <v>104</v>
      </c>
      <c r="AC14" s="123"/>
      <c r="AD14" s="123"/>
      <c r="AE14" s="123"/>
      <c r="AF14" s="134">
        <f>'(2.1)_Proxy Resources'!H14</f>
        <v>6556.5707888395682</v>
      </c>
      <c r="AG14" s="127"/>
      <c r="AH14" s="117" t="s">
        <v>148</v>
      </c>
      <c r="AI14" s="118"/>
      <c r="AJ14" s="166">
        <v>0</v>
      </c>
      <c r="AK14" s="235"/>
      <c r="AZ14" s="122" t="s">
        <v>406</v>
      </c>
      <c r="BA14" s="123"/>
      <c r="BB14" s="123"/>
      <c r="BC14" s="123"/>
      <c r="BD14" s="167">
        <f>'(2.1)_Proxy Resources'!J15</f>
        <v>843</v>
      </c>
      <c r="BE14" s="132"/>
    </row>
    <row r="15" spans="1:57" ht="12">
      <c r="A15" t="s">
        <v>405</v>
      </c>
      <c r="B15" s="250"/>
      <c r="C15" s="231" t="s">
        <v>107</v>
      </c>
      <c r="D15" s="231"/>
      <c r="E15" s="231"/>
      <c r="F15" s="231"/>
      <c r="G15" s="283">
        <v>1116.9757785467127</v>
      </c>
      <c r="H15" s="252"/>
      <c r="AB15" s="122" t="s">
        <v>406</v>
      </c>
      <c r="AC15" s="123"/>
      <c r="AD15" s="123"/>
      <c r="AE15" s="123"/>
      <c r="AF15" s="167">
        <f>'(2.1)_Proxy Resources'!J14</f>
        <v>1355.0378286709158</v>
      </c>
      <c r="AG15" s="127"/>
      <c r="AH15" s="117" t="s">
        <v>145</v>
      </c>
      <c r="AI15" s="118"/>
      <c r="AJ15" s="166">
        <f>'(2.1)_Proxy Resources'!P14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Resources'!K15</f>
        <v>6.4562857142857144E-2</v>
      </c>
      <c r="BE15" s="132"/>
    </row>
    <row r="16" spans="1:57" ht="12">
      <c r="A16" t="s">
        <v>405</v>
      </c>
      <c r="B16" s="250"/>
      <c r="C16" s="231" t="s">
        <v>109</v>
      </c>
      <c r="D16" s="231"/>
      <c r="E16" s="231"/>
      <c r="F16" s="231"/>
      <c r="G16" s="283">
        <f>AVERAGE(K28:K57)</f>
        <v>32.122018042410737</v>
      </c>
      <c r="H16" s="252"/>
      <c r="AB16" s="122" t="s">
        <v>108</v>
      </c>
      <c r="AC16" s="123"/>
      <c r="AD16" s="123"/>
      <c r="AE16" s="123"/>
      <c r="AF16" s="136">
        <f>'(2.1)_Proxy Resources'!K13</f>
        <v>6.6086000000000006E-2</v>
      </c>
      <c r="AG16" s="127"/>
      <c r="AH16" s="117" t="s">
        <v>110</v>
      </c>
      <c r="AI16" s="124"/>
      <c r="AJ16" s="137">
        <f>'(2.1)_Proxy Resources'!D14</f>
        <v>0.69299999999999995</v>
      </c>
      <c r="AK16" s="235"/>
      <c r="AZ16" s="122" t="s">
        <v>100</v>
      </c>
      <c r="BA16" s="124"/>
      <c r="BB16" s="166">
        <f>'(2.1)_Proxy Resources'!O15</f>
        <v>2.7759300458983387</v>
      </c>
      <c r="BE16" s="130"/>
    </row>
    <row r="17" spans="1:60" ht="12">
      <c r="A17" t="s">
        <v>405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2022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'(2.2)_Forward_Price_Curve'!AA11</f>
        <v>6.7699999999999996E-2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'(2.2)_Forward_Price_Curve'!M103</f>
        <v>0.31709999999999999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2024</v>
      </c>
      <c r="E28" s="169">
        <f>'(2.2)_Forward_Price_Curve'!Q42</f>
        <v>2.1999999999999999E-2</v>
      </c>
      <c r="G28" s="18">
        <v>104026.34070547682</v>
      </c>
      <c r="I28" s="28">
        <v>97.524700639091435</v>
      </c>
      <c r="K28" s="28">
        <v>22.766045138408305</v>
      </c>
      <c r="L28" s="269"/>
      <c r="M28" s="268">
        <f>$G$17</f>
        <v>0</v>
      </c>
      <c r="O28" s="270">
        <f>'(2.2)_Forward_Price_Curve'!AH42</f>
        <v>1.6793504000000004</v>
      </c>
      <c r="Q28" s="28">
        <v>-10.809498269896194</v>
      </c>
      <c r="S28" s="18">
        <f>(I28*$G$11*1000+(K28+M28+O28+Q28)*G28)/1000</f>
        <v>3832.2288358966343</v>
      </c>
      <c r="U28" s="18">
        <f t="shared" ref="U28:U57" si="0">AX28</f>
        <v>4485.6728203380208</v>
      </c>
      <c r="W28" s="18">
        <f t="shared" ref="W28:W57" si="1">S28-U28</f>
        <v>-653.44398444138642</v>
      </c>
      <c r="Y28" s="271">
        <f>+W28*1000/G28</f>
        <v>-6.2815242755817104</v>
      </c>
      <c r="Z28" s="235"/>
      <c r="AB28" s="146">
        <f>$C$28</f>
        <v>2024</v>
      </c>
      <c r="AC28" s="117"/>
      <c r="AD28" s="151">
        <f t="shared" ref="AD28:AD57" si="2">G28</f>
        <v>104026.34070547682</v>
      </c>
      <c r="AF28" s="152">
        <f>$AF$15*$AF$16*(1+E28)</f>
        <v>91.519108604348176</v>
      </c>
      <c r="AG28" s="272"/>
      <c r="AH28" s="152">
        <f>$AJ$11*(1+E28)</f>
        <v>24.66205099442374</v>
      </c>
      <c r="AI28" s="272"/>
      <c r="AJ28" s="152">
        <f>$AJ$13*(1+E28)</f>
        <v>1.8552137744668062</v>
      </c>
      <c r="AK28" s="272"/>
      <c r="AL28" s="153">
        <f>((AF28+AH28)*$AF$11*1000+AJ28*AD28)/1000</f>
        <v>2183.8555325013522</v>
      </c>
      <c r="AN28" s="154">
        <f>INDEX('(2.2)_Forward_Price_Curve'!$N:$N,MATCH($AB28,'(2.2)_Forward_Price_Curve'!$C:$C,0),1)</f>
        <v>3.8152500000000003</v>
      </c>
      <c r="AO28" s="279"/>
      <c r="AP28" s="154">
        <f>AN28*$AF$14/1000+$AJ$14/(1+E29)</f>
        <v>25.014956702120166</v>
      </c>
      <c r="AQ28" s="272"/>
      <c r="AR28" s="152">
        <f>$AJ$15*(1+E28)</f>
        <v>2.3317776187938599</v>
      </c>
      <c r="AS28" s="152"/>
      <c r="AT28" s="153">
        <f t="shared" ref="AT28:AT57" si="3">AL28-BF28</f>
        <v>1640.8921186884618</v>
      </c>
      <c r="AU28" s="272"/>
      <c r="AV28" s="153">
        <f t="shared" ref="AV28:AV57" si="4">(AP28+AR28)*AD28/1000</f>
        <v>2844.7807016495585</v>
      </c>
      <c r="AW28" s="273"/>
      <c r="AX28" s="155">
        <f>AT28+AV28</f>
        <v>4485.6728203380208</v>
      </c>
      <c r="AZ28" s="146">
        <f>$C$28</f>
        <v>2024</v>
      </c>
      <c r="BA28" s="117"/>
      <c r="BB28" s="152">
        <f>$BD$14*$BD$15*(1+E28)</f>
        <v>55.623871319999999</v>
      </c>
      <c r="BD28" s="152">
        <f>$BB$16*(1+E28)</f>
        <v>2.8370005069081023</v>
      </c>
      <c r="BE28" s="272"/>
      <c r="BF28" s="153">
        <f>(BB28+BD28)*$BD$11</f>
        <v>542.96341381289039</v>
      </c>
      <c r="BG28" s="272"/>
      <c r="BH28" s="156"/>
    </row>
    <row r="29" spans="1:60" ht="12">
      <c r="B29" s="2"/>
      <c r="C29">
        <f>+IF(C28&gt;$G$13+$G$14,XX,C28+1)</f>
        <v>2025</v>
      </c>
      <c r="E29" s="169">
        <f>'(2.2)_Forward_Price_Curve'!Q43</f>
        <v>2.1000000000000001E-2</v>
      </c>
      <c r="G29" s="18">
        <v>104026.34070547682</v>
      </c>
      <c r="I29" s="28">
        <v>97.524700639091435</v>
      </c>
      <c r="K29" s="28">
        <v>23.282834363050171</v>
      </c>
      <c r="M29" s="28">
        <f>M28*(1+$E29)</f>
        <v>0</v>
      </c>
      <c r="O29" s="270">
        <f>'(2.2)_Forward_Price_Curve'!AH43</f>
        <v>1.7146167584000003</v>
      </c>
      <c r="Q29" s="28">
        <v>-11.232560553633217</v>
      </c>
      <c r="S29" s="18">
        <f t="shared" ref="S29:S57" si="5">(I29*$G$11*1000+(K29+M29+O29+Q29)*G29)/1000</f>
        <v>3845.6475367988442</v>
      </c>
      <c r="U29" s="18">
        <f t="shared" si="0"/>
        <v>4515.7107648529272</v>
      </c>
      <c r="W29" s="18">
        <f t="shared" si="1"/>
        <v>-670.06322805408308</v>
      </c>
      <c r="Y29" s="271">
        <f t="shared" ref="Y29:Y57" si="6">+W29*1000/G29</f>
        <v>-6.4412842315696812</v>
      </c>
      <c r="Z29" s="235"/>
      <c r="AB29" s="146">
        <f>+IF(AB28&gt;$G$13+$G$14,XX,AB28+1)</f>
        <v>2025</v>
      </c>
      <c r="AC29" s="117"/>
      <c r="AD29" s="151">
        <f t="shared" si="2"/>
        <v>104026.34070547682</v>
      </c>
      <c r="AF29" s="154">
        <f>AF28*(1+$E29)</f>
        <v>93.441009885039477</v>
      </c>
      <c r="AH29" s="154">
        <f>AH28*(1+$E29)</f>
        <v>25.179954065306635</v>
      </c>
      <c r="AJ29" s="154">
        <f>AJ28*(1+$E29)</f>
        <v>1.894173263730609</v>
      </c>
      <c r="AL29" s="153">
        <f t="shared" ref="AL29:AL57" si="7">((AF29+AH29)*$AF$11*1000+AJ29*AD29)/1000</f>
        <v>2229.7164986838807</v>
      </c>
      <c r="AN29" s="154">
        <f>INDEX('(2.2)_Forward_Price_Curve'!$N:$N,MATCH($AB29,'(2.2)_Forward_Price_Curve'!$C:$C,0),1)</f>
        <v>3.8012999999999999</v>
      </c>
      <c r="AP29" s="154">
        <f>AN29*$AF$14/1000+$AJ$14</f>
        <v>24.92349253961585</v>
      </c>
      <c r="AR29" s="154">
        <f>AR28*(1+$E29)</f>
        <v>2.3807449487885308</v>
      </c>
      <c r="AS29" s="154"/>
      <c r="AT29" s="153">
        <f t="shared" si="3"/>
        <v>1675.3508531809198</v>
      </c>
      <c r="AV29" s="153">
        <f t="shared" si="4"/>
        <v>2840.359911672007</v>
      </c>
      <c r="AW29" s="273"/>
      <c r="AX29" s="155">
        <f t="shared" ref="AX29:AX57" si="8">AT29+AV29</f>
        <v>4515.7107648529272</v>
      </c>
      <c r="AZ29" s="146">
        <f>+IF(AZ28&gt;$G$13+$G$14,XX,AZ28+1)</f>
        <v>2025</v>
      </c>
      <c r="BA29" s="117"/>
      <c r="BB29" s="154">
        <f>BB28*(1+$E29)</f>
        <v>56.791972617719992</v>
      </c>
      <c r="BD29" s="154">
        <f>BD28*(1+$E29)</f>
        <v>2.8965775175531721</v>
      </c>
      <c r="BF29" s="153">
        <f t="shared" ref="BF29:BF57" si="9">(BB29+BD29)*$BD$11</f>
        <v>554.36564550296089</v>
      </c>
      <c r="BH29" s="157"/>
    </row>
    <row r="30" spans="1:60" ht="12">
      <c r="B30" s="2"/>
      <c r="C30">
        <f>+IF(C29&gt;$G$13+$G$14,XX,C29+1)</f>
        <v>2026</v>
      </c>
      <c r="E30" s="169">
        <f>'(2.2)_Forward_Price_Curve'!Q44</f>
        <v>2.1999999999999999E-2</v>
      </c>
      <c r="G30" s="18">
        <v>104026.34070547682</v>
      </c>
      <c r="I30" s="28">
        <v>97.524700639091435</v>
      </c>
      <c r="K30" s="28">
        <v>23.811354703091407</v>
      </c>
      <c r="M30" s="28">
        <f t="shared" ref="M30:M57" si="10">M29*(1+$E30)</f>
        <v>0</v>
      </c>
      <c r="O30" s="270">
        <f>'(2.2)_Forward_Price_Curve'!AH44</f>
        <v>1.7523383270848003</v>
      </c>
      <c r="Q30" s="28">
        <v>-11.200588235294116</v>
      </c>
      <c r="S30" s="18">
        <f t="shared" si="5"/>
        <v>3907.8775737983851</v>
      </c>
      <c r="U30" s="18">
        <f t="shared" si="0"/>
        <v>4972.9003454932345</v>
      </c>
      <c r="W30" s="18">
        <f t="shared" si="1"/>
        <v>-1065.0227716948493</v>
      </c>
      <c r="Y30" s="271">
        <f t="shared" si="6"/>
        <v>-10.238010531488181</v>
      </c>
      <c r="Z30" s="235"/>
      <c r="AB30" s="146">
        <f>+IF(AB29&gt;$G$13+$G$14,XX,AB29+1)</f>
        <v>2026</v>
      </c>
      <c r="AC30" s="117"/>
      <c r="AD30" s="151">
        <f t="shared" si="2"/>
        <v>104026.34070547682</v>
      </c>
      <c r="AF30" s="154">
        <f t="shared" ref="AF30:AF57" si="11">AF29*(1+$E30)</f>
        <v>95.496712102510344</v>
      </c>
      <c r="AH30" s="154">
        <f t="shared" ref="AH30:AH57" si="12">AH29*(1+$E30)</f>
        <v>25.733913054743383</v>
      </c>
      <c r="AJ30" s="154">
        <f t="shared" ref="AJ30:AJ57" si="13">AJ29*(1+$E30)</f>
        <v>1.9358450755326824</v>
      </c>
      <c r="AL30" s="153">
        <f t="shared" si="7"/>
        <v>2278.7702616549254</v>
      </c>
      <c r="AN30" s="154">
        <f>INDEX('(2.2)_Forward_Price_Curve'!$N:$N,MATCH($AB30,'(2.2)_Forward_Price_Curve'!$C:$C,0),1)</f>
        <v>4.4095833333333339</v>
      </c>
      <c r="AP30" s="154">
        <f t="shared" ref="AP30:AP57" si="14">AN30*$AF$14/1000+$AJ$14</f>
        <v>28.911745274287149</v>
      </c>
      <c r="AR30" s="154">
        <f t="shared" ref="AR30:AR57" si="15">AR29*(1+$E30)</f>
        <v>2.4331213376618788</v>
      </c>
      <c r="AS30" s="154"/>
      <c r="AT30" s="153">
        <f t="shared" si="3"/>
        <v>1712.2085719508993</v>
      </c>
      <c r="AV30" s="153">
        <f t="shared" si="4"/>
        <v>3260.6917735423349</v>
      </c>
      <c r="AW30" s="273"/>
      <c r="AX30" s="155">
        <f t="shared" si="8"/>
        <v>4972.9003454932345</v>
      </c>
      <c r="AZ30" s="146">
        <f>+IF(AZ29&gt;$G$13+$G$14,XX,AZ29+1)</f>
        <v>2026</v>
      </c>
      <c r="BA30" s="117"/>
      <c r="BB30" s="154">
        <f t="shared" ref="BB30:BB57" si="16">BB29*(1+$E30)</f>
        <v>58.041396015309836</v>
      </c>
      <c r="BD30" s="154">
        <f t="shared" ref="BD30:BD57" si="17">BD29*(1+$E30)</f>
        <v>2.9603022229393421</v>
      </c>
      <c r="BF30" s="153">
        <f t="shared" si="9"/>
        <v>566.56168970402609</v>
      </c>
      <c r="BH30" s="157"/>
    </row>
    <row r="31" spans="1:60" ht="12">
      <c r="B31" s="2"/>
      <c r="C31">
        <f>+IF(C30&gt;$G$13+$G$14,XX,C30+1)</f>
        <v>2027</v>
      </c>
      <c r="E31" s="169">
        <f>'(2.2)_Forward_Price_Curve'!Q45</f>
        <v>2.1999999999999999E-2</v>
      </c>
      <c r="G31" s="18">
        <v>104026.34070547682</v>
      </c>
      <c r="I31" s="28">
        <v>97.524700639091435</v>
      </c>
      <c r="K31" s="28">
        <v>24.351872454851581</v>
      </c>
      <c r="M31" s="28">
        <f t="shared" si="10"/>
        <v>0</v>
      </c>
      <c r="O31" s="270">
        <f>'(2.2)_Forward_Price_Curve'!AH45</f>
        <v>1.7908897702806659</v>
      </c>
      <c r="Q31" s="28">
        <v>-12.19287197231834</v>
      </c>
      <c r="S31" s="18">
        <f t="shared" si="5"/>
        <v>3864.8923770607421</v>
      </c>
      <c r="U31" s="18">
        <f t="shared" si="0"/>
        <v>5347.3522773891273</v>
      </c>
      <c r="W31" s="18">
        <f t="shared" si="1"/>
        <v>-1482.4599003283852</v>
      </c>
      <c r="Y31" s="271">
        <f t="shared" si="6"/>
        <v>-14.250812729494927</v>
      </c>
      <c r="Z31" s="235"/>
      <c r="AB31" s="146">
        <f>+IF(AB30&gt;$G$13+$G$14,XX,AB30+1)</f>
        <v>2027</v>
      </c>
      <c r="AC31" s="117"/>
      <c r="AD31" s="151">
        <f t="shared" si="2"/>
        <v>104026.34070547682</v>
      </c>
      <c r="AF31" s="154">
        <f t="shared" si="11"/>
        <v>97.597639768765575</v>
      </c>
      <c r="AH31" s="154">
        <f t="shared" si="12"/>
        <v>26.300059141947738</v>
      </c>
      <c r="AJ31" s="154">
        <f t="shared" si="13"/>
        <v>1.9784336671944014</v>
      </c>
      <c r="AL31" s="153">
        <f t="shared" si="7"/>
        <v>2328.9032074113343</v>
      </c>
      <c r="AN31" s="154">
        <f>INDEX('(2.2)_Forward_Price_Curve'!$N:$N,MATCH($AB31,'(2.2)_Forward_Price_Curve'!$C:$C,0),1)</f>
        <v>4.8951958333333341</v>
      </c>
      <c r="AP31" s="154">
        <f t="shared" si="14"/>
        <v>32.0956980064825</v>
      </c>
      <c r="AR31" s="154">
        <f t="shared" si="15"/>
        <v>2.4866500070904403</v>
      </c>
      <c r="AS31" s="154"/>
      <c r="AT31" s="153">
        <f t="shared" si="3"/>
        <v>1749.8771605338197</v>
      </c>
      <c r="AV31" s="153">
        <f t="shared" si="4"/>
        <v>3597.475116855308</v>
      </c>
      <c r="AW31" s="273"/>
      <c r="AX31" s="155">
        <f t="shared" si="8"/>
        <v>5347.3522773891273</v>
      </c>
      <c r="AZ31" s="146">
        <f>+IF(AZ30&gt;$G$13+$G$14,XX,AZ30+1)</f>
        <v>2027</v>
      </c>
      <c r="BA31" s="117"/>
      <c r="BB31" s="154">
        <f t="shared" si="16"/>
        <v>59.31830672764665</v>
      </c>
      <c r="BD31" s="154">
        <f t="shared" si="17"/>
        <v>3.0254288718440079</v>
      </c>
      <c r="BF31" s="153">
        <f t="shared" si="9"/>
        <v>579.02604687751466</v>
      </c>
      <c r="BH31" s="157"/>
    </row>
    <row r="32" spans="1:60" ht="12">
      <c r="B32" s="2"/>
      <c r="C32">
        <f>+IF(C31&gt;$G$13+$G$14,XX,C31+1)</f>
        <v>2028</v>
      </c>
      <c r="E32" s="169">
        <f>'(2.2)_Forward_Price_Curve'!Q46</f>
        <v>2.1999999999999999E-2</v>
      </c>
      <c r="G32" s="18">
        <v>104026.34070547682</v>
      </c>
      <c r="I32" s="28">
        <v>97.524700639091435</v>
      </c>
      <c r="K32" s="28">
        <v>24.904659959576708</v>
      </c>
      <c r="M32" s="28">
        <f t="shared" si="10"/>
        <v>0</v>
      </c>
      <c r="O32" s="270">
        <f>'(2.2)_Forward_Price_Curve'!AH46</f>
        <v>1.8302893452268405</v>
      </c>
      <c r="Q32" s="28">
        <v>-12.159757785467127</v>
      </c>
      <c r="S32" s="18">
        <f t="shared" si="5"/>
        <v>3929.9401796555799</v>
      </c>
      <c r="U32" s="18">
        <f t="shared" si="0"/>
        <v>5398.2814585992428</v>
      </c>
      <c r="W32" s="18">
        <f t="shared" si="1"/>
        <v>-1468.3412789436629</v>
      </c>
      <c r="Y32" s="271">
        <f t="shared" si="6"/>
        <v>-14.115091129667674</v>
      </c>
      <c r="Z32" s="235"/>
      <c r="AB32" s="146">
        <f>+IF(AB31&gt;$G$13+$G$14,XX,AB31+1)</f>
        <v>2028</v>
      </c>
      <c r="AC32" s="117"/>
      <c r="AD32" s="151">
        <f t="shared" si="2"/>
        <v>104026.34070547682</v>
      </c>
      <c r="AF32" s="154">
        <f t="shared" si="11"/>
        <v>99.744787843678424</v>
      </c>
      <c r="AH32" s="154">
        <f t="shared" si="12"/>
        <v>26.87866044307059</v>
      </c>
      <c r="AJ32" s="154">
        <f t="shared" si="13"/>
        <v>2.0219592078726785</v>
      </c>
      <c r="AL32" s="153">
        <f t="shared" si="7"/>
        <v>2380.1390779743833</v>
      </c>
      <c r="AN32" s="154">
        <f>INDEX('(2.2)_Forward_Price_Curve'!$N:$N,MATCH($AB32,'(2.2)_Forward_Price_Curve'!$C:$C,0),1)</f>
        <v>4.9050791666666669</v>
      </c>
      <c r="AP32" s="154">
        <f t="shared" si="14"/>
        <v>32.160498781112203</v>
      </c>
      <c r="AR32" s="154">
        <f t="shared" si="15"/>
        <v>2.54135630724643</v>
      </c>
      <c r="AS32" s="154"/>
      <c r="AT32" s="153">
        <f t="shared" si="3"/>
        <v>1788.3744580655634</v>
      </c>
      <c r="AV32" s="153">
        <f t="shared" si="4"/>
        <v>3609.9070005336794</v>
      </c>
      <c r="AW32" s="273"/>
      <c r="AX32" s="155">
        <f t="shared" si="8"/>
        <v>5398.2814585992428</v>
      </c>
      <c r="AZ32" s="146">
        <f>+IF(AZ31&gt;$G$13+$G$14,XX,AZ31+1)</f>
        <v>2028</v>
      </c>
      <c r="BA32" s="117"/>
      <c r="BB32" s="154">
        <f t="shared" si="16"/>
        <v>60.623309475654878</v>
      </c>
      <c r="BD32" s="154">
        <f t="shared" si="17"/>
        <v>3.0919883070245762</v>
      </c>
      <c r="BF32" s="153">
        <f t="shared" si="9"/>
        <v>591.76461990882001</v>
      </c>
      <c r="BH32" s="157"/>
    </row>
    <row r="33" spans="2:60" ht="12">
      <c r="B33" s="2"/>
      <c r="C33">
        <f>+IF(C32&gt;$G$13+$G$14,XX,C32+1)</f>
        <v>2029</v>
      </c>
      <c r="E33" s="169">
        <f>'(2.2)_Forward_Price_Curve'!Q47</f>
        <v>2.1999999999999999E-2</v>
      </c>
      <c r="G33" s="18">
        <v>104026.34070547682</v>
      </c>
      <c r="I33" s="28">
        <v>97.524700639091435</v>
      </c>
      <c r="K33" s="28">
        <v>25.469995740659098</v>
      </c>
      <c r="M33" s="28">
        <f t="shared" si="10"/>
        <v>0</v>
      </c>
      <c r="O33" s="270">
        <f>'(2.2)_Forward_Price_Curve'!AH47</f>
        <v>1.8705557108218309</v>
      </c>
      <c r="Q33" s="28">
        <v>-12.579965397923875</v>
      </c>
      <c r="S33" s="18">
        <f t="shared" si="5"/>
        <v>3949.2260946373485</v>
      </c>
      <c r="U33" s="18">
        <f t="shared" si="0"/>
        <v>5500.3849484841658</v>
      </c>
      <c r="W33" s="18">
        <f t="shared" si="1"/>
        <v>-1551.1588538468172</v>
      </c>
      <c r="Y33" s="271">
        <f t="shared" si="6"/>
        <v>-14.911212326871278</v>
      </c>
      <c r="Z33" s="235"/>
      <c r="AB33" s="146">
        <f>+IF(AB32&gt;$G$13+$G$14,XX,AB32+1)</f>
        <v>2029</v>
      </c>
      <c r="AC33" s="117"/>
      <c r="AD33" s="151">
        <f t="shared" si="2"/>
        <v>104026.34070547682</v>
      </c>
      <c r="AF33" s="154">
        <f t="shared" si="11"/>
        <v>101.93917317623935</v>
      </c>
      <c r="AH33" s="154">
        <f t="shared" si="12"/>
        <v>27.469990972818142</v>
      </c>
      <c r="AJ33" s="154">
        <f t="shared" si="13"/>
        <v>2.0664423104458773</v>
      </c>
      <c r="AL33" s="153">
        <f t="shared" si="7"/>
        <v>2432.5021376898194</v>
      </c>
      <c r="AN33" s="154">
        <f>INDEX('(2.2)_Forward_Price_Curve'!$N:$N,MATCH($AB33,'(2.2)_Forward_Price_Curve'!$C:$C,0),1)</f>
        <v>4.9885666666666664</v>
      </c>
      <c r="AP33" s="154">
        <f t="shared" si="14"/>
        <v>32.707890484845443</v>
      </c>
      <c r="AR33" s="154">
        <f t="shared" si="15"/>
        <v>2.5972661460058517</v>
      </c>
      <c r="AS33" s="154"/>
      <c r="AT33" s="153">
        <f t="shared" si="3"/>
        <v>1827.7186961430052</v>
      </c>
      <c r="AV33" s="153">
        <f t="shared" si="4"/>
        <v>3672.6662523411605</v>
      </c>
      <c r="AW33" s="273"/>
      <c r="AX33" s="155">
        <f t="shared" si="8"/>
        <v>5500.3849484841658</v>
      </c>
      <c r="AZ33" s="146">
        <f>+IF(AZ32&gt;$G$13+$G$14,XX,AZ32+1)</f>
        <v>2029</v>
      </c>
      <c r="BA33" s="117"/>
      <c r="BB33" s="154">
        <f t="shared" si="16"/>
        <v>61.957022284119283</v>
      </c>
      <c r="BD33" s="154">
        <f t="shared" si="17"/>
        <v>3.1600120497791169</v>
      </c>
      <c r="BF33" s="153">
        <f t="shared" si="9"/>
        <v>604.78344154681406</v>
      </c>
      <c r="BH33" s="157"/>
    </row>
    <row r="34" spans="2:60" ht="12">
      <c r="B34" s="2"/>
      <c r="C34">
        <f>+IF(C33&gt;$G$13+$G$14,XX,C33+1)</f>
        <v>2030</v>
      </c>
      <c r="E34" s="169">
        <f>'(2.2)_Forward_Price_Curve'!Q48</f>
        <v>2.1999999999999999E-2</v>
      </c>
      <c r="G34" s="18">
        <v>104026.34070547682</v>
      </c>
      <c r="I34" s="28">
        <v>97.524700639091435</v>
      </c>
      <c r="K34" s="28">
        <v>26.048164643972058</v>
      </c>
      <c r="M34" s="28">
        <f t="shared" si="10"/>
        <v>0</v>
      </c>
      <c r="O34" s="270">
        <f>'(2.2)_Forward_Price_Curve'!AH48</f>
        <v>1.9117079364599112</v>
      </c>
      <c r="Q34" s="28">
        <v>-12.999031141868512</v>
      </c>
      <c r="S34" s="18">
        <f t="shared" si="5"/>
        <v>3970.0579295461307</v>
      </c>
      <c r="U34" s="18">
        <f t="shared" si="0"/>
        <v>5654.1047353708309</v>
      </c>
      <c r="W34" s="18">
        <f t="shared" si="1"/>
        <v>-1684.0468058247002</v>
      </c>
      <c r="Y34" s="271">
        <f t="shared" si="6"/>
        <v>-16.188657549654998</v>
      </c>
      <c r="Z34" s="235"/>
      <c r="AB34" s="146">
        <f>+IF(AB33&gt;$G$13+$G$14,XX,AB33+1)</f>
        <v>2030</v>
      </c>
      <c r="AC34" s="117"/>
      <c r="AD34" s="151">
        <f t="shared" si="2"/>
        <v>104026.34070547682</v>
      </c>
      <c r="AF34" s="154">
        <f t="shared" si="11"/>
        <v>104.18183498611661</v>
      </c>
      <c r="AH34" s="154">
        <f t="shared" si="12"/>
        <v>28.07433077422014</v>
      </c>
      <c r="AJ34" s="154">
        <f t="shared" si="13"/>
        <v>2.1119040412756869</v>
      </c>
      <c r="AL34" s="153">
        <f t="shared" si="7"/>
        <v>2486.0171847189963</v>
      </c>
      <c r="AN34" s="154">
        <f>INDEX('(2.2)_Forward_Price_Curve'!$N:$N,MATCH($AB34,'(2.2)_Forward_Price_Curve'!$C:$C,0),1)</f>
        <v>5.1462750000000002</v>
      </c>
      <c r="AP34" s="154">
        <f t="shared" si="14"/>
        <v>33.74191633633535</v>
      </c>
      <c r="AR34" s="154">
        <f t="shared" si="15"/>
        <v>2.6544060012179806</v>
      </c>
      <c r="AS34" s="154"/>
      <c r="AT34" s="153">
        <f t="shared" si="3"/>
        <v>1867.9285074581521</v>
      </c>
      <c r="AV34" s="153">
        <f t="shared" si="4"/>
        <v>3786.1762279126788</v>
      </c>
      <c r="AW34" s="273"/>
      <c r="AX34" s="155">
        <f t="shared" si="8"/>
        <v>5654.1047353708309</v>
      </c>
      <c r="AZ34" s="146">
        <f>+IF(AZ33&gt;$G$13+$G$14,XX,AZ33+1)</f>
        <v>2030</v>
      </c>
      <c r="BA34" s="117"/>
      <c r="BB34" s="154">
        <f t="shared" si="16"/>
        <v>63.320076774369909</v>
      </c>
      <c r="BD34" s="154">
        <f t="shared" si="17"/>
        <v>3.2295323148742576</v>
      </c>
      <c r="BF34" s="153">
        <f t="shared" si="9"/>
        <v>618.08867726084407</v>
      </c>
      <c r="BH34" s="157"/>
    </row>
    <row r="35" spans="2:60" ht="12">
      <c r="B35" s="2"/>
      <c r="C35">
        <f>+IF(C34&gt;$G$13+$G$14,XX,C34+1)</f>
        <v>2031</v>
      </c>
      <c r="E35" s="169">
        <f>'(2.2)_Forward_Price_Curve'!Q49</f>
        <v>2.1999999999999999E-2</v>
      </c>
      <c r="G35" s="18">
        <v>104026.34070547682</v>
      </c>
      <c r="I35" s="28">
        <v>97.524700639091435</v>
      </c>
      <c r="K35" s="28">
        <v>26.639457981390219</v>
      </c>
      <c r="M35" s="28">
        <f t="shared" si="10"/>
        <v>0</v>
      </c>
      <c r="O35" s="270">
        <f>'(2.2)_Forward_Price_Curve'!AH49</f>
        <v>1.9537655110620293</v>
      </c>
      <c r="Q35" s="28">
        <v>-12.963633217993079</v>
      </c>
      <c r="S35" s="18">
        <f t="shared" si="5"/>
        <v>4039.6254237954095</v>
      </c>
      <c r="U35" s="18">
        <f t="shared" si="0"/>
        <v>5788.2162368894114</v>
      </c>
      <c r="W35" s="18">
        <f t="shared" si="1"/>
        <v>-1748.590813094002</v>
      </c>
      <c r="Y35" s="271">
        <f t="shared" si="6"/>
        <v>-16.809115856960464</v>
      </c>
      <c r="Z35" s="235"/>
      <c r="AB35" s="146">
        <f>+IF(AB34&gt;$G$13+$G$14,XX,AB34+1)</f>
        <v>2031</v>
      </c>
      <c r="AC35" s="117"/>
      <c r="AD35" s="151">
        <f t="shared" si="2"/>
        <v>104026.34070547682</v>
      </c>
      <c r="AF35" s="154">
        <f t="shared" si="11"/>
        <v>106.47383535581118</v>
      </c>
      <c r="AH35" s="154">
        <f t="shared" si="12"/>
        <v>28.691966051252983</v>
      </c>
      <c r="AJ35" s="154">
        <f t="shared" si="13"/>
        <v>2.1583659301837521</v>
      </c>
      <c r="AL35" s="153">
        <f t="shared" si="7"/>
        <v>2540.7095627828139</v>
      </c>
      <c r="AN35" s="154">
        <f>INDEX('(2.2)_Forward_Price_Curve'!$N:$N,MATCH($AB35,'(2.2)_Forward_Price_Curve'!$C:$C,0),1)</f>
        <v>5.2737458333333338</v>
      </c>
      <c r="AP35" s="154">
        <f t="shared" si="14"/>
        <v>34.577687878597722</v>
      </c>
      <c r="AR35" s="154">
        <f t="shared" si="15"/>
        <v>2.7128029332447761</v>
      </c>
      <c r="AS35" s="154"/>
      <c r="AT35" s="153">
        <f t="shared" si="3"/>
        <v>1909.0229346222313</v>
      </c>
      <c r="AV35" s="153">
        <f t="shared" si="4"/>
        <v>3879.1933022671801</v>
      </c>
      <c r="AW35" s="273"/>
      <c r="AX35" s="155">
        <f t="shared" si="8"/>
        <v>5788.2162368894114</v>
      </c>
      <c r="AZ35" s="146">
        <f>+IF(AZ34&gt;$G$13+$G$14,XX,AZ34+1)</f>
        <v>2031</v>
      </c>
      <c r="BA35" s="117"/>
      <c r="BB35" s="154">
        <f t="shared" si="16"/>
        <v>64.713118463406047</v>
      </c>
      <c r="BD35" s="154">
        <f t="shared" si="17"/>
        <v>3.3005820258014915</v>
      </c>
      <c r="BF35" s="153">
        <f t="shared" si="9"/>
        <v>631.68662816058259</v>
      </c>
      <c r="BH35" s="157"/>
    </row>
    <row r="36" spans="2:60" ht="12">
      <c r="B36" s="2"/>
      <c r="C36">
        <f>+IF(C35&gt;$G$13+$G$14,XX,C35+1)</f>
        <v>2032</v>
      </c>
      <c r="E36" s="169">
        <f>'(2.2)_Forward_Price_Curve'!Q50</f>
        <v>2.1999999999999999E-2</v>
      </c>
      <c r="G36" s="18">
        <v>104026.34070547682</v>
      </c>
      <c r="I36" s="28">
        <v>97.524700639091435</v>
      </c>
      <c r="K36" s="28">
        <v>27.244173677567776</v>
      </c>
      <c r="M36" s="28">
        <f t="shared" si="10"/>
        <v>0</v>
      </c>
      <c r="O36" s="270">
        <f>'(2.2)_Forward_Price_Curve'!AH50</f>
        <v>1.9967483523053939</v>
      </c>
      <c r="Q36" s="28">
        <v>-13.381557093425604</v>
      </c>
      <c r="S36" s="18">
        <f t="shared" si="5"/>
        <v>4063.5280410688997</v>
      </c>
      <c r="U36" s="18">
        <f t="shared" si="0"/>
        <v>6072.951724863904</v>
      </c>
      <c r="W36" s="18">
        <f t="shared" si="1"/>
        <v>-2009.4236837950043</v>
      </c>
      <c r="Y36" s="271">
        <f t="shared" si="6"/>
        <v>-19.31648917156625</v>
      </c>
      <c r="Z36" s="235"/>
      <c r="AB36" s="146">
        <f>+IF(AB35&gt;$G$13+$G$14,XX,AB35+1)</f>
        <v>2032</v>
      </c>
      <c r="AC36" s="117"/>
      <c r="AD36" s="151">
        <f t="shared" si="2"/>
        <v>104026.34070547682</v>
      </c>
      <c r="AF36" s="154">
        <f t="shared" si="11"/>
        <v>108.81625973363903</v>
      </c>
      <c r="AH36" s="154">
        <f t="shared" si="12"/>
        <v>29.323189304380548</v>
      </c>
      <c r="AJ36" s="154">
        <f t="shared" si="13"/>
        <v>2.2058499806477947</v>
      </c>
      <c r="AL36" s="153">
        <f t="shared" si="7"/>
        <v>2596.6051731640359</v>
      </c>
      <c r="AN36" s="154">
        <f>INDEX('(2.2)_Forward_Price_Curve'!$N:$N,MATCH($AB36,'(2.2)_Forward_Price_Curve'!$C:$C,0),1)</f>
        <v>5.6205333333333334</v>
      </c>
      <c r="AP36" s="154">
        <f t="shared" si="14"/>
        <v>36.851424671032426</v>
      </c>
      <c r="AR36" s="154">
        <f t="shared" si="15"/>
        <v>2.7724845977761614</v>
      </c>
      <c r="AS36" s="154"/>
      <c r="AT36" s="153">
        <f t="shared" si="3"/>
        <v>1951.0214391839204</v>
      </c>
      <c r="AV36" s="153">
        <f t="shared" si="4"/>
        <v>4121.9302856799832</v>
      </c>
      <c r="AW36" s="273"/>
      <c r="AX36" s="155">
        <f t="shared" si="8"/>
        <v>6072.951724863904</v>
      </c>
      <c r="AZ36" s="146">
        <f>+IF(AZ35&gt;$G$13+$G$14,XX,AZ35+1)</f>
        <v>2032</v>
      </c>
      <c r="BA36" s="117"/>
      <c r="BB36" s="154">
        <f t="shared" si="16"/>
        <v>66.136807069600977</v>
      </c>
      <c r="BD36" s="154">
        <f t="shared" si="17"/>
        <v>3.3731948303691244</v>
      </c>
      <c r="BF36" s="153">
        <f t="shared" si="9"/>
        <v>645.58373398011543</v>
      </c>
      <c r="BH36" s="157"/>
    </row>
    <row r="37" spans="2:60" ht="12">
      <c r="B37" s="2"/>
      <c r="C37">
        <f>+IF(C36&gt;$G$13+$G$14,XX,C36+1)</f>
        <v>2033</v>
      </c>
      <c r="E37" s="169">
        <f>'(2.2)_Forward_Price_Curve'!Q51</f>
        <v>2.1999999999999999E-2</v>
      </c>
      <c r="G37" s="18">
        <v>104026.34070547682</v>
      </c>
      <c r="I37" s="28">
        <v>97.524700639091435</v>
      </c>
      <c r="K37" s="28">
        <v>27.862616420048564</v>
      </c>
      <c r="M37" s="28">
        <f t="shared" si="10"/>
        <v>0</v>
      </c>
      <c r="O37" s="270">
        <f>'(2.2)_Forward_Price_Curve'!AH51</f>
        <v>2.0406768160561128</v>
      </c>
      <c r="Q37" s="28">
        <v>-13.343875432525952</v>
      </c>
      <c r="S37" s="18">
        <f t="shared" si="5"/>
        <v>4136.3519791369317</v>
      </c>
      <c r="U37" s="18">
        <f t="shared" si="0"/>
        <v>6305.71506508319</v>
      </c>
      <c r="W37" s="18">
        <f t="shared" si="1"/>
        <v>-2169.3630859462583</v>
      </c>
      <c r="Y37" s="271">
        <f t="shared" si="6"/>
        <v>-20.853978629203525</v>
      </c>
      <c r="Z37" s="235"/>
      <c r="AB37" s="146">
        <f>+IF(AB36&gt;$G$13+$G$14,XX,AB36+1)</f>
        <v>2033</v>
      </c>
      <c r="AC37" s="117"/>
      <c r="AD37" s="151">
        <f t="shared" si="2"/>
        <v>104026.34070547682</v>
      </c>
      <c r="AF37" s="154">
        <f t="shared" si="11"/>
        <v>111.21021744777909</v>
      </c>
      <c r="AH37" s="154">
        <f t="shared" si="12"/>
        <v>29.968299469076921</v>
      </c>
      <c r="AJ37" s="154">
        <f t="shared" si="13"/>
        <v>2.2543786802220462</v>
      </c>
      <c r="AL37" s="153">
        <f t="shared" si="7"/>
        <v>2653.7304869736454</v>
      </c>
      <c r="AN37" s="154">
        <f>INDEX('(2.2)_Forward_Price_Curve'!$N:$N,MATCH($AB37,'(2.2)_Forward_Price_Curve'!$C:$C,0),1)</f>
        <v>5.8895666666666662</v>
      </c>
      <c r="AP37" s="154">
        <f t="shared" si="14"/>
        <v>38.615360765589891</v>
      </c>
      <c r="AR37" s="154">
        <f t="shared" si="15"/>
        <v>2.8334792589272371</v>
      </c>
      <c r="AS37" s="154"/>
      <c r="AT37" s="153">
        <f t="shared" si="3"/>
        <v>1993.9439108459676</v>
      </c>
      <c r="AV37" s="153">
        <f t="shared" si="4"/>
        <v>4311.7711542372226</v>
      </c>
      <c r="AW37" s="273"/>
      <c r="AX37" s="155">
        <f t="shared" si="8"/>
        <v>6305.71506508319</v>
      </c>
      <c r="AZ37" s="146">
        <f>+IF(AZ36&gt;$G$13+$G$14,XX,AZ36+1)</f>
        <v>2033</v>
      </c>
      <c r="BA37" s="117"/>
      <c r="BB37" s="154">
        <f t="shared" si="16"/>
        <v>67.591816825132199</v>
      </c>
      <c r="BD37" s="154">
        <f t="shared" si="17"/>
        <v>3.447405116637245</v>
      </c>
      <c r="BF37" s="153">
        <f t="shared" si="9"/>
        <v>659.78657612767779</v>
      </c>
      <c r="BH37" s="157"/>
    </row>
    <row r="38" spans="2:60" ht="12">
      <c r="B38" s="2"/>
      <c r="C38">
        <f>+IF(C37&gt;$G$13+$G$14,XX,C37+1)</f>
        <v>2034</v>
      </c>
      <c r="E38" s="169">
        <f>'(2.2)_Forward_Price_Curve'!Q52</f>
        <v>2.1000000000000001E-2</v>
      </c>
      <c r="G38" s="18">
        <v>104026.34070547682</v>
      </c>
      <c r="I38" s="28">
        <v>97.524700639091435</v>
      </c>
      <c r="K38" s="28">
        <v>28.495097812783662</v>
      </c>
      <c r="M38" s="28">
        <f t="shared" si="10"/>
        <v>0</v>
      </c>
      <c r="O38" s="270">
        <f>'(2.2)_Forward_Price_Curve'!AH52</f>
        <v>2.0835310291932911</v>
      </c>
      <c r="Q38" s="28">
        <v>1.2297923875432526</v>
      </c>
      <c r="S38" s="18">
        <f t="shared" si="5"/>
        <v>5722.6500049429033</v>
      </c>
      <c r="U38" s="18">
        <f t="shared" si="0"/>
        <v>6411.7610646388321</v>
      </c>
      <c r="W38" s="18">
        <f t="shared" si="1"/>
        <v>-689.11105969592882</v>
      </c>
      <c r="Y38" s="271">
        <f t="shared" si="6"/>
        <v>-6.6243900825750019</v>
      </c>
      <c r="Z38" s="235"/>
      <c r="AB38" s="146">
        <f>+IF(AB37&gt;$G$13+$G$14,XX,AB37+1)</f>
        <v>2034</v>
      </c>
      <c r="AC38" s="117"/>
      <c r="AD38" s="151">
        <f t="shared" si="2"/>
        <v>104026.34070547682</v>
      </c>
      <c r="AF38" s="154">
        <f t="shared" si="11"/>
        <v>113.54563201418243</v>
      </c>
      <c r="AH38" s="154">
        <f t="shared" si="12"/>
        <v>30.597633757927532</v>
      </c>
      <c r="AJ38" s="154">
        <f t="shared" si="13"/>
        <v>2.3017206325067092</v>
      </c>
      <c r="AL38" s="153">
        <f t="shared" si="7"/>
        <v>2709.4588272000915</v>
      </c>
      <c r="AN38" s="154">
        <f>INDEX('(2.2)_Forward_Price_Curve'!$N:$N,MATCH($AB38,'(2.2)_Forward_Price_Curve'!$C:$C,0),1)</f>
        <v>5.9745791666666674</v>
      </c>
      <c r="AP38" s="154">
        <f t="shared" si="14"/>
        <v>39.172751239776126</v>
      </c>
      <c r="AR38" s="154">
        <f t="shared" si="15"/>
        <v>2.8929823233647087</v>
      </c>
      <c r="AS38" s="154"/>
      <c r="AT38" s="153">
        <f t="shared" si="3"/>
        <v>2035.8167329737325</v>
      </c>
      <c r="AV38" s="153">
        <f t="shared" si="4"/>
        <v>4375.9443316650995</v>
      </c>
      <c r="AW38" s="273"/>
      <c r="AX38" s="155">
        <f t="shared" si="8"/>
        <v>6411.7610646388321</v>
      </c>
      <c r="AZ38" s="146">
        <f>+IF(AZ37&gt;$G$13+$G$14,XX,AZ37+1)</f>
        <v>2034</v>
      </c>
      <c r="BA38" s="117"/>
      <c r="BB38" s="154">
        <f t="shared" si="16"/>
        <v>69.01124497845997</v>
      </c>
      <c r="BD38" s="154">
        <f t="shared" si="17"/>
        <v>3.5198006240866269</v>
      </c>
      <c r="BF38" s="153">
        <f t="shared" si="9"/>
        <v>673.64209422635906</v>
      </c>
      <c r="BH38" s="157"/>
    </row>
    <row r="39" spans="2:60" ht="12">
      <c r="B39" s="2"/>
      <c r="C39">
        <f>+IF(C38&gt;$G$13+$G$14,XX,C38+1)</f>
        <v>2035</v>
      </c>
      <c r="E39" s="169">
        <f>'(2.2)_Forward_Price_Curve'!Q53</f>
        <v>2.1000000000000001E-2</v>
      </c>
      <c r="G39" s="18">
        <v>104026.34070547682</v>
      </c>
      <c r="I39" s="28">
        <v>97.524700639091435</v>
      </c>
      <c r="K39" s="28">
        <v>29.141936533133851</v>
      </c>
      <c r="M39" s="28">
        <f t="shared" si="10"/>
        <v>0</v>
      </c>
      <c r="O39" s="270">
        <f>'(2.2)_Forward_Price_Curve'!AH53</f>
        <v>2.12728518080635</v>
      </c>
      <c r="Q39" s="28">
        <v>1.2686159169550173</v>
      </c>
      <c r="S39" s="18">
        <f t="shared" si="5"/>
        <v>5798.5285240285039</v>
      </c>
      <c r="U39" s="18">
        <f t="shared" si="0"/>
        <v>6521.5360796324157</v>
      </c>
      <c r="W39" s="18">
        <f t="shared" si="1"/>
        <v>-723.0075556039119</v>
      </c>
      <c r="Y39" s="271">
        <f t="shared" si="6"/>
        <v>-6.9502353990410688</v>
      </c>
      <c r="Z39" s="235"/>
      <c r="AB39" s="146">
        <f>+IF(AB38&gt;$G$13+$G$14,XX,AB38+1)</f>
        <v>2035</v>
      </c>
      <c r="AC39" s="117"/>
      <c r="AD39" s="151">
        <f t="shared" si="2"/>
        <v>104026.34070547682</v>
      </c>
      <c r="AF39" s="154">
        <f t="shared" si="11"/>
        <v>115.93009028648025</v>
      </c>
      <c r="AH39" s="154">
        <f t="shared" si="12"/>
        <v>31.240184066844009</v>
      </c>
      <c r="AJ39" s="154">
        <f t="shared" si="13"/>
        <v>2.3500567657893501</v>
      </c>
      <c r="AL39" s="153">
        <f t="shared" si="7"/>
        <v>2766.3574625712927</v>
      </c>
      <c r="AN39" s="154">
        <f>INDEX('(2.2)_Forward_Price_Curve'!$N:$N,MATCH($AB39,'(2.2)_Forward_Price_Curve'!$C:$C,0),1)</f>
        <v>6.063579166666667</v>
      </c>
      <c r="AP39" s="154">
        <f t="shared" si="14"/>
        <v>39.756286039982839</v>
      </c>
      <c r="AR39" s="154">
        <f t="shared" si="15"/>
        <v>2.9537349521553673</v>
      </c>
      <c r="AS39" s="154"/>
      <c r="AT39" s="153">
        <f t="shared" si="3"/>
        <v>2078.5688843661801</v>
      </c>
      <c r="AV39" s="153">
        <f t="shared" si="4"/>
        <v>4442.9671952662356</v>
      </c>
      <c r="AW39" s="273"/>
      <c r="AX39" s="155">
        <f t="shared" si="8"/>
        <v>6521.5360796324157</v>
      </c>
      <c r="AZ39" s="146">
        <f>+IF(AZ38&gt;$G$13+$G$14,XX,AZ38+1)</f>
        <v>2035</v>
      </c>
      <c r="BA39" s="117"/>
      <c r="BB39" s="154">
        <f t="shared" si="16"/>
        <v>70.460481123007625</v>
      </c>
      <c r="BD39" s="154">
        <f t="shared" si="17"/>
        <v>3.5937164371924455</v>
      </c>
      <c r="BF39" s="153">
        <f t="shared" si="9"/>
        <v>687.78857820511257</v>
      </c>
      <c r="BH39" s="157"/>
    </row>
    <row r="40" spans="2:60" ht="12">
      <c r="B40" s="2"/>
      <c r="C40">
        <f>+IF(C39&gt;$G$13+$G$14,XX,C39+1)</f>
        <v>2036</v>
      </c>
      <c r="E40" s="169">
        <f>'(2.2)_Forward_Price_Curve'!Q54</f>
        <v>2.1999999999999999E-2</v>
      </c>
      <c r="G40" s="18">
        <v>104026.34070547682</v>
      </c>
      <c r="I40" s="28">
        <v>97.524700639091435</v>
      </c>
      <c r="K40" s="28">
        <v>29.80345849243599</v>
      </c>
      <c r="M40" s="28">
        <f t="shared" si="10"/>
        <v>0</v>
      </c>
      <c r="O40" s="270">
        <f>'(2.2)_Forward_Price_Curve'!AH54</f>
        <v>2.1740854547840898</v>
      </c>
      <c r="Q40" s="28">
        <v>1.3080103806228374</v>
      </c>
      <c r="S40" s="18">
        <f t="shared" si="5"/>
        <v>5876.3107558963584</v>
      </c>
      <c r="U40" s="18">
        <f t="shared" si="0"/>
        <v>6546.0033155933006</v>
      </c>
      <c r="W40" s="18">
        <f t="shared" si="1"/>
        <v>-669.69255969694223</v>
      </c>
      <c r="Y40" s="271">
        <f t="shared" si="6"/>
        <v>-6.4377210152282514</v>
      </c>
      <c r="Z40" s="235"/>
      <c r="AB40" s="146">
        <f>+IF(AB39&gt;$G$13+$G$14,XX,AB39+1)</f>
        <v>2036</v>
      </c>
      <c r="AC40" s="117"/>
      <c r="AD40" s="151">
        <f t="shared" si="2"/>
        <v>104026.34070547682</v>
      </c>
      <c r="AF40" s="154">
        <f t="shared" si="11"/>
        <v>118.48055227278282</v>
      </c>
      <c r="AH40" s="154">
        <f t="shared" si="12"/>
        <v>31.927468116314579</v>
      </c>
      <c r="AJ40" s="154">
        <f t="shared" si="13"/>
        <v>2.4017580146367159</v>
      </c>
      <c r="AL40" s="153">
        <f t="shared" si="7"/>
        <v>2827.2173267478611</v>
      </c>
      <c r="AN40" s="154">
        <f>INDEX('(2.2)_Forward_Price_Curve'!$N:$N,MATCH($AB40,'(2.2)_Forward_Price_Curve'!$C:$C,0),1)</f>
        <v>6.022495833333334</v>
      </c>
      <c r="AP40" s="154">
        <f t="shared" si="14"/>
        <v>39.48692025674135</v>
      </c>
      <c r="AR40" s="154">
        <f t="shared" si="15"/>
        <v>3.0187171211027852</v>
      </c>
      <c r="AS40" s="154"/>
      <c r="AT40" s="153">
        <f t="shared" si="3"/>
        <v>2124.297399822236</v>
      </c>
      <c r="AV40" s="153">
        <f t="shared" si="4"/>
        <v>4421.7059157710646</v>
      </c>
      <c r="AW40" s="273"/>
      <c r="AX40" s="155">
        <f t="shared" si="8"/>
        <v>6546.0033155933006</v>
      </c>
      <c r="AZ40" s="146">
        <f>+IF(AZ39&gt;$G$13+$G$14,XX,AZ39+1)</f>
        <v>2036</v>
      </c>
      <c r="BA40" s="117"/>
      <c r="BB40" s="154">
        <f t="shared" si="16"/>
        <v>72.010611707713792</v>
      </c>
      <c r="BD40" s="154">
        <f t="shared" si="17"/>
        <v>3.6727781988106796</v>
      </c>
      <c r="BF40" s="153">
        <f t="shared" si="9"/>
        <v>702.91992692562496</v>
      </c>
      <c r="BH40" s="157"/>
    </row>
    <row r="41" spans="2:60" ht="12">
      <c r="B41" s="2"/>
      <c r="C41">
        <f>+IF(C40&gt;$G$13+$G$14,XX,C40+1)</f>
        <v>2037</v>
      </c>
      <c r="E41" s="169">
        <f>'(2.2)_Forward_Price_Curve'!Q55</f>
        <v>2.1999999999999999E-2</v>
      </c>
      <c r="G41" s="18">
        <v>104026.34070547682</v>
      </c>
      <c r="I41" s="28">
        <v>97.524700639091435</v>
      </c>
      <c r="K41" s="28">
        <v>30.479997000214286</v>
      </c>
      <c r="M41" s="28">
        <f t="shared" si="10"/>
        <v>0</v>
      </c>
      <c r="O41" s="270">
        <f>'(2.2)_Forward_Price_Curve'!AH55</f>
        <v>2.2219153347893399</v>
      </c>
      <c r="Q41" s="28">
        <v>1.3485467128027682</v>
      </c>
      <c r="S41" s="18">
        <f t="shared" si="5"/>
        <v>5955.8809949025062</v>
      </c>
      <c r="U41" s="18">
        <f t="shared" si="0"/>
        <v>6761.2880365122037</v>
      </c>
      <c r="W41" s="18">
        <f t="shared" si="1"/>
        <v>-805.40704160969744</v>
      </c>
      <c r="Y41" s="271">
        <f t="shared" si="6"/>
        <v>-7.7423375286264786</v>
      </c>
      <c r="Z41" s="235"/>
      <c r="AB41" s="146">
        <f>+IF(AB40&gt;$G$13+$G$14,XX,AB40+1)</f>
        <v>2037</v>
      </c>
      <c r="AC41" s="117"/>
      <c r="AD41" s="151">
        <f t="shared" si="2"/>
        <v>104026.34070547682</v>
      </c>
      <c r="AF41" s="154">
        <f t="shared" si="11"/>
        <v>121.08712442278404</v>
      </c>
      <c r="AH41" s="154">
        <f t="shared" si="12"/>
        <v>32.629872414873503</v>
      </c>
      <c r="AJ41" s="154">
        <f t="shared" si="13"/>
        <v>2.4545966909587236</v>
      </c>
      <c r="AL41" s="153">
        <f t="shared" si="7"/>
        <v>2889.4161079363143</v>
      </c>
      <c r="AN41" s="154">
        <f>INDEX('(2.2)_Forward_Price_Curve'!$N:$N,MATCH($AB41,'(2.2)_Forward_Price_Curve'!$C:$C,0),1)</f>
        <v>6.2594874999999996</v>
      </c>
      <c r="AP41" s="154">
        <f t="shared" si="14"/>
        <v>41.040772895606416</v>
      </c>
      <c r="AR41" s="154">
        <f t="shared" si="15"/>
        <v>3.0851288977670466</v>
      </c>
      <c r="AS41" s="154"/>
      <c r="AT41" s="153">
        <f t="shared" si="3"/>
        <v>2171.0319426183255</v>
      </c>
      <c r="AV41" s="153">
        <f t="shared" si="4"/>
        <v>4590.2560938938786</v>
      </c>
      <c r="AW41" s="273"/>
      <c r="AX41" s="155">
        <f t="shared" si="8"/>
        <v>6761.2880365122037</v>
      </c>
      <c r="AZ41" s="146">
        <f>+IF(AZ40&gt;$G$13+$G$14,XX,AZ40+1)</f>
        <v>2037</v>
      </c>
      <c r="BA41" s="117"/>
      <c r="BB41" s="154">
        <f t="shared" si="16"/>
        <v>73.594845165283502</v>
      </c>
      <c r="BD41" s="154">
        <f t="shared" si="17"/>
        <v>3.7535793191845146</v>
      </c>
      <c r="BF41" s="153">
        <f t="shared" si="9"/>
        <v>718.38416531798885</v>
      </c>
      <c r="BH41" s="157"/>
    </row>
    <row r="42" spans="2:60" ht="12">
      <c r="B42" s="2"/>
      <c r="C42">
        <f>+IF(C41&gt;$G$13+$G$14,XX,C41+1)</f>
        <v>2038</v>
      </c>
      <c r="E42" s="169">
        <f>'(2.2)_Forward_Price_Curve'!Q56</f>
        <v>2.1999999999999999E-2</v>
      </c>
      <c r="G42" s="18">
        <v>104026.34070547682</v>
      </c>
      <c r="I42" s="28">
        <v>97.524700639091435</v>
      </c>
      <c r="K42" s="28">
        <v>31.171892932119146</v>
      </c>
      <c r="M42" s="28">
        <f t="shared" si="10"/>
        <v>0</v>
      </c>
      <c r="O42" s="270">
        <f>'(2.2)_Forward_Price_Curve'!AH56</f>
        <v>2.2707974721547055</v>
      </c>
      <c r="Q42" s="28">
        <v>1.3902249134948097</v>
      </c>
      <c r="S42" s="18">
        <f t="shared" si="5"/>
        <v>6037.2770574287379</v>
      </c>
      <c r="U42" s="18">
        <f t="shared" si="0"/>
        <v>7002.8554111592457</v>
      </c>
      <c r="W42" s="18">
        <f t="shared" si="1"/>
        <v>-965.57835373050784</v>
      </c>
      <c r="Y42" s="271">
        <f t="shared" si="6"/>
        <v>-9.2820563251791075</v>
      </c>
      <c r="Z42" s="235"/>
      <c r="AB42" s="146">
        <f>+IF(AB41&gt;$G$13+$G$14,XX,AB41+1)</f>
        <v>2038</v>
      </c>
      <c r="AC42" s="117"/>
      <c r="AD42" s="151">
        <f t="shared" si="2"/>
        <v>104026.34070547682</v>
      </c>
      <c r="AF42" s="154">
        <f t="shared" si="11"/>
        <v>123.75104116008529</v>
      </c>
      <c r="AH42" s="154">
        <f t="shared" si="12"/>
        <v>33.347729608000719</v>
      </c>
      <c r="AJ42" s="154">
        <f t="shared" si="13"/>
        <v>2.5085978181598154</v>
      </c>
      <c r="AL42" s="153">
        <f t="shared" si="7"/>
        <v>2952.9832623109132</v>
      </c>
      <c r="AN42" s="154">
        <f>INDEX('(2.2)_Forward_Price_Curve'!$N:$N,MATCH($AB42,'(2.2)_Forward_Price_Curve'!$C:$C,0),1)</f>
        <v>6.5332833333333333</v>
      </c>
      <c r="AP42" s="154">
        <f t="shared" si="14"/>
        <v>42.835934658545739</v>
      </c>
      <c r="AR42" s="154">
        <f t="shared" si="15"/>
        <v>3.1530017335179217</v>
      </c>
      <c r="AS42" s="154"/>
      <c r="AT42" s="153">
        <f t="shared" si="3"/>
        <v>2218.7946453559289</v>
      </c>
      <c r="AV42" s="153">
        <f t="shared" si="4"/>
        <v>4784.0607658033168</v>
      </c>
      <c r="AW42" s="273"/>
      <c r="AX42" s="155">
        <f t="shared" si="8"/>
        <v>7002.8554111592457</v>
      </c>
      <c r="AZ42" s="146">
        <f>+IF(AZ41&gt;$G$13+$G$14,XX,AZ41+1)</f>
        <v>2038</v>
      </c>
      <c r="BA42" s="117"/>
      <c r="BB42" s="154">
        <f t="shared" si="16"/>
        <v>75.213931758919742</v>
      </c>
      <c r="BD42" s="154">
        <f t="shared" si="17"/>
        <v>3.836158064206574</v>
      </c>
      <c r="BF42" s="153">
        <f t="shared" si="9"/>
        <v>734.18861695498458</v>
      </c>
      <c r="BH42" s="157"/>
    </row>
    <row r="43" spans="2:60" ht="12">
      <c r="B43" s="2"/>
      <c r="C43">
        <f>+IF(C42&gt;$G$13+$G$14,XX,C42+1)</f>
        <v>2039</v>
      </c>
      <c r="E43" s="169">
        <f>'(2.2)_Forward_Price_Curve'!Q57</f>
        <v>2.1000000000000001E-2</v>
      </c>
      <c r="G43" s="18">
        <v>104026.34070547682</v>
      </c>
      <c r="I43" s="28">
        <v>97.524700639091435</v>
      </c>
      <c r="K43" s="28">
        <v>31.87949490167825</v>
      </c>
      <c r="M43" s="28">
        <f t="shared" si="10"/>
        <v>0</v>
      </c>
      <c r="O43" s="270">
        <f>'(2.2)_Forward_Price_Curve'!AH57</f>
        <v>2.3184842190699539</v>
      </c>
      <c r="Q43" s="28">
        <v>1.4324740484429064</v>
      </c>
      <c r="S43" s="18">
        <f t="shared" si="5"/>
        <v>6120.2420016863234</v>
      </c>
      <c r="U43" s="18">
        <f t="shared" si="0"/>
        <v>7255.6575164992901</v>
      </c>
      <c r="W43" s="18">
        <f t="shared" si="1"/>
        <v>-1135.4155148129666</v>
      </c>
      <c r="Y43" s="271">
        <f t="shared" si="6"/>
        <v>-10.914692443403316</v>
      </c>
      <c r="Z43" s="235"/>
      <c r="AB43" s="146">
        <f>+IF(AB42&gt;$G$13+$G$14,XX,AB42+1)</f>
        <v>2039</v>
      </c>
      <c r="AC43" s="117"/>
      <c r="AD43" s="151">
        <f t="shared" si="2"/>
        <v>104026.34070547682</v>
      </c>
      <c r="AF43" s="154">
        <f t="shared" si="11"/>
        <v>126.34981302444707</v>
      </c>
      <c r="AH43" s="154">
        <f t="shared" si="12"/>
        <v>34.048031929768733</v>
      </c>
      <c r="AJ43" s="154">
        <f t="shared" si="13"/>
        <v>2.5612783723411714</v>
      </c>
      <c r="AL43" s="153">
        <f t="shared" si="7"/>
        <v>3014.9959108194416</v>
      </c>
      <c r="AN43" s="154">
        <f>INDEX('(2.2)_Forward_Price_Curve'!$N:$N,MATCH($AB43,'(2.2)_Forward_Price_Curve'!$C:$C,0),1)</f>
        <v>6.8255166666666662</v>
      </c>
      <c r="AP43" s="154">
        <f t="shared" si="14"/>
        <v>44.751983195404279</v>
      </c>
      <c r="AR43" s="154">
        <f t="shared" si="15"/>
        <v>3.2192147699217979</v>
      </c>
      <c r="AS43" s="154"/>
      <c r="AT43" s="153">
        <f t="shared" si="3"/>
        <v>2265.3893329084026</v>
      </c>
      <c r="AV43" s="153">
        <f t="shared" si="4"/>
        <v>4990.268183590887</v>
      </c>
      <c r="AW43" s="273"/>
      <c r="AX43" s="155">
        <f t="shared" si="8"/>
        <v>7255.6575164992901</v>
      </c>
      <c r="AZ43" s="146">
        <f>+IF(AZ42&gt;$G$13+$G$14,XX,AZ42+1)</f>
        <v>2039</v>
      </c>
      <c r="BA43" s="117"/>
      <c r="BB43" s="154">
        <f t="shared" si="16"/>
        <v>76.793424325857046</v>
      </c>
      <c r="BD43" s="154">
        <f t="shared" si="17"/>
        <v>3.9167173835549116</v>
      </c>
      <c r="BF43" s="153">
        <f t="shared" si="9"/>
        <v>749.60657791103915</v>
      </c>
      <c r="BH43" s="157"/>
    </row>
    <row r="44" spans="2:60" ht="12">
      <c r="B44" s="2"/>
      <c r="C44">
        <f>+IF(C43&gt;$G$13+$G$14,XX,C43+1)</f>
        <v>2040</v>
      </c>
      <c r="E44" s="169">
        <f>'(2.2)_Forward_Price_Curve'!Q58</f>
        <v>2.1999999999999999E-2</v>
      </c>
      <c r="G44" s="18">
        <v>104026.34070547682</v>
      </c>
      <c r="I44" s="28">
        <v>97.524700639091435</v>
      </c>
      <c r="K44" s="28">
        <v>32.603159435946345</v>
      </c>
      <c r="M44" s="28">
        <f t="shared" si="10"/>
        <v>0</v>
      </c>
      <c r="O44" s="270">
        <f>'(2.2)_Forward_Price_Curve'!AH58</f>
        <v>2.3694908718894929</v>
      </c>
      <c r="Q44" s="28">
        <v>1.4649912093425603</v>
      </c>
      <c r="S44" s="18">
        <f t="shared" si="5"/>
        <v>6204.2108517875395</v>
      </c>
      <c r="U44" s="18">
        <f t="shared" si="0"/>
        <v>7415.7630360061466</v>
      </c>
      <c r="W44" s="18">
        <f t="shared" si="1"/>
        <v>-1211.5521842186072</v>
      </c>
      <c r="Y44" s="271">
        <f t="shared" si="6"/>
        <v>-11.646590430867871</v>
      </c>
      <c r="Z44" s="235"/>
      <c r="AB44" s="146">
        <f>+IF(AB43&gt;$G$13+$G$14,XX,AB43+1)</f>
        <v>2040</v>
      </c>
      <c r="AC44" s="117"/>
      <c r="AD44" s="151">
        <f t="shared" si="2"/>
        <v>104026.34070547682</v>
      </c>
      <c r="AF44" s="154">
        <f t="shared" si="11"/>
        <v>129.12950891098492</v>
      </c>
      <c r="AH44" s="154">
        <f t="shared" si="12"/>
        <v>34.797088632223648</v>
      </c>
      <c r="AJ44" s="154">
        <f t="shared" si="13"/>
        <v>2.6176264965326772</v>
      </c>
      <c r="AL44" s="153">
        <f t="shared" si="7"/>
        <v>3081.3258208574698</v>
      </c>
      <c r="AN44" s="154">
        <f>INDEX('(2.2)_Forward_Price_Curve'!$N:$N,MATCH($AB44,'(2.2)_Forward_Price_Curve'!$C:$C,0),1)</f>
        <v>6.9763833333333336</v>
      </c>
      <c r="AP44" s="154">
        <f t="shared" si="14"/>
        <v>45.741151175080553</v>
      </c>
      <c r="AR44" s="154">
        <f t="shared" si="15"/>
        <v>3.2900374948600777</v>
      </c>
      <c r="AS44" s="154"/>
      <c r="AT44" s="153">
        <f t="shared" si="3"/>
        <v>2315.2278982323878</v>
      </c>
      <c r="AV44" s="153">
        <f t="shared" si="4"/>
        <v>5100.5351377737588</v>
      </c>
      <c r="AW44" s="273"/>
      <c r="AX44" s="155">
        <f t="shared" si="8"/>
        <v>7415.7630360061466</v>
      </c>
      <c r="AZ44" s="146">
        <f>+IF(AZ43&gt;$G$13+$G$14,XX,AZ43+1)</f>
        <v>2040</v>
      </c>
      <c r="BA44" s="117"/>
      <c r="BB44" s="154">
        <f t="shared" si="16"/>
        <v>78.482879661025905</v>
      </c>
      <c r="BD44" s="154">
        <f t="shared" si="17"/>
        <v>4.0028851659931197</v>
      </c>
      <c r="BF44" s="153">
        <f t="shared" si="9"/>
        <v>766.09792262508211</v>
      </c>
      <c r="BH44" s="157"/>
    </row>
    <row r="45" spans="2:60" ht="12">
      <c r="B45" s="2"/>
      <c r="C45">
        <f>+IF(C44&gt;$G$13+$G$14,XX,C44+1)</f>
        <v>2041</v>
      </c>
      <c r="E45" s="169">
        <f>'(2.2)_Forward_Price_Curve'!Q59</f>
        <v>2.1999999999999999E-2</v>
      </c>
      <c r="G45" s="18">
        <v>104026.34070547682</v>
      </c>
      <c r="I45" s="28">
        <v>97.524700639091435</v>
      </c>
      <c r="K45" s="28">
        <v>33.343251155142326</v>
      </c>
      <c r="M45" s="28">
        <f t="shared" si="10"/>
        <v>0</v>
      </c>
      <c r="O45" s="270">
        <f>'(2.2)_Forward_Price_Curve'!AH59</f>
        <v>2.421619671071062</v>
      </c>
      <c r="Q45" s="28">
        <v>1.4982465097946362</v>
      </c>
      <c r="S45" s="18">
        <f t="shared" si="5"/>
        <v>6290.0820805612429</v>
      </c>
      <c r="U45" s="18">
        <f t="shared" si="0"/>
        <v>7709.1447229042087</v>
      </c>
      <c r="W45" s="18">
        <f t="shared" si="1"/>
        <v>-1419.0626423429658</v>
      </c>
      <c r="Y45" s="271">
        <f t="shared" si="6"/>
        <v>-13.641378065586945</v>
      </c>
      <c r="Z45" s="235"/>
      <c r="AB45" s="146">
        <f>+IF(AB44&gt;$G$13+$G$14,XX,AB44+1)</f>
        <v>2041</v>
      </c>
      <c r="AC45" s="117"/>
      <c r="AD45" s="151">
        <f t="shared" si="2"/>
        <v>104026.34070547682</v>
      </c>
      <c r="AF45" s="154">
        <f t="shared" si="11"/>
        <v>131.97035810702658</v>
      </c>
      <c r="AH45" s="154">
        <f t="shared" si="12"/>
        <v>35.562624582132571</v>
      </c>
      <c r="AJ45" s="154">
        <f t="shared" si="13"/>
        <v>2.6752142794563962</v>
      </c>
      <c r="AL45" s="153">
        <f t="shared" si="7"/>
        <v>3149.1149889163344</v>
      </c>
      <c r="AN45" s="154">
        <f>INDEX('(2.2)_Forward_Price_Curve'!$N:$N,MATCH($AB45,'(2.2)_Forward_Price_Curve'!$C:$C,0),1)</f>
        <v>7.3208083333333347</v>
      </c>
      <c r="AP45" s="154">
        <f t="shared" si="14"/>
        <v>47.999398069026626</v>
      </c>
      <c r="AR45" s="154">
        <f t="shared" si="15"/>
        <v>3.3624183197469995</v>
      </c>
      <c r="AS45" s="154"/>
      <c r="AT45" s="153">
        <f t="shared" si="3"/>
        <v>2366.1629119935005</v>
      </c>
      <c r="AV45" s="153">
        <f t="shared" si="4"/>
        <v>5342.9818109107082</v>
      </c>
      <c r="AW45" s="273"/>
      <c r="AX45" s="155">
        <f t="shared" si="8"/>
        <v>7709.1447229042087</v>
      </c>
      <c r="AZ45" s="146">
        <f>+IF(AZ44&gt;$G$13+$G$14,XX,AZ44+1)</f>
        <v>2041</v>
      </c>
      <c r="BA45" s="117"/>
      <c r="BB45" s="154">
        <f t="shared" si="16"/>
        <v>80.209503013568479</v>
      </c>
      <c r="BD45" s="154">
        <f t="shared" si="17"/>
        <v>4.0909486396449681</v>
      </c>
      <c r="BF45" s="153">
        <f t="shared" si="9"/>
        <v>782.95207692283395</v>
      </c>
      <c r="BH45" s="157"/>
    </row>
    <row r="46" spans="2:60" ht="12">
      <c r="B46" s="2"/>
      <c r="C46">
        <f>+IF(C45&gt;$G$13+$G$14,XX,C45+1)</f>
        <v>2042</v>
      </c>
      <c r="E46" s="169">
        <f>'(2.2)_Forward_Price_Curve'!Q60</f>
        <v>2.1999999999999999E-2</v>
      </c>
      <c r="G46" s="18">
        <v>104026.34070547682</v>
      </c>
      <c r="I46" s="28">
        <v>97.524700639091435</v>
      </c>
      <c r="K46" s="28">
        <v>34.100142956364053</v>
      </c>
      <c r="M46" s="28">
        <f t="shared" si="10"/>
        <v>0</v>
      </c>
      <c r="O46" s="270">
        <f>'(2.2)_Forward_Price_Curve'!AH60</f>
        <v>2.4748953038346255</v>
      </c>
      <c r="Q46" s="28">
        <v>1.5322567055669745</v>
      </c>
      <c r="S46" s="18">
        <f t="shared" si="5"/>
        <v>6377.8987902903518</v>
      </c>
      <c r="U46" s="18">
        <f t="shared" si="0"/>
        <v>7982.9161366319904</v>
      </c>
      <c r="W46" s="18">
        <f t="shared" si="1"/>
        <v>-1605.0173463416386</v>
      </c>
      <c r="Y46" s="271">
        <f t="shared" si="6"/>
        <v>-15.428951316146192</v>
      </c>
      <c r="Z46" s="235"/>
      <c r="AB46" s="146">
        <f>+IF(AB45&gt;$G$13+$G$14,XX,AB45+1)</f>
        <v>2042</v>
      </c>
      <c r="AC46" s="117"/>
      <c r="AD46" s="151">
        <f t="shared" si="2"/>
        <v>104026.34070547682</v>
      </c>
      <c r="AF46" s="154">
        <f t="shared" si="11"/>
        <v>134.87370598538118</v>
      </c>
      <c r="AH46" s="154">
        <f t="shared" si="12"/>
        <v>36.345002322939486</v>
      </c>
      <c r="AJ46" s="154">
        <f t="shared" si="13"/>
        <v>2.7340689936044371</v>
      </c>
      <c r="AL46" s="153">
        <f t="shared" si="7"/>
        <v>3218.3955186724938</v>
      </c>
      <c r="AN46" s="154">
        <f>INDEX('(2.2)_Forward_Price_Curve'!$N:$N,MATCH($AB46,'(2.2)_Forward_Price_Curve'!$C:$C,0),1)</f>
        <v>7.634595833333333</v>
      </c>
      <c r="AP46" s="154">
        <f t="shared" si="14"/>
        <v>50.056768025429612</v>
      </c>
      <c r="AR46" s="154">
        <f t="shared" si="15"/>
        <v>3.4363915227814337</v>
      </c>
      <c r="AS46" s="154"/>
      <c r="AT46" s="153">
        <f t="shared" si="3"/>
        <v>2418.2184960573577</v>
      </c>
      <c r="AV46" s="153">
        <f t="shared" si="4"/>
        <v>5564.6976405746327</v>
      </c>
      <c r="AW46" s="273"/>
      <c r="AX46" s="155">
        <f t="shared" si="8"/>
        <v>7982.9161366319904</v>
      </c>
      <c r="AZ46" s="146">
        <f>+IF(AZ45&gt;$G$13+$G$14,XX,AZ45+1)</f>
        <v>2042</v>
      </c>
      <c r="BA46" s="117"/>
      <c r="BB46" s="154">
        <f t="shared" si="16"/>
        <v>81.974112079866984</v>
      </c>
      <c r="BD46" s="154">
        <f t="shared" si="17"/>
        <v>4.1809495097171574</v>
      </c>
      <c r="BF46" s="153">
        <f t="shared" si="9"/>
        <v>800.17702261513625</v>
      </c>
      <c r="BH46" s="157"/>
    </row>
    <row r="47" spans="2:60" ht="12">
      <c r="B47" s="2"/>
      <c r="C47">
        <f>+IF(C46&gt;$G$13+$G$14,XX,C46+1)</f>
        <v>2043</v>
      </c>
      <c r="E47" s="169">
        <f>'(2.2)_Forward_Price_Curve'!Q61</f>
        <v>2.1999999999999999E-2</v>
      </c>
      <c r="G47" s="18">
        <v>104026.34070547682</v>
      </c>
      <c r="I47" s="28">
        <v>97.524700639091435</v>
      </c>
      <c r="K47" s="28">
        <v>34.874216201473516</v>
      </c>
      <c r="M47" s="28">
        <f t="shared" si="10"/>
        <v>0</v>
      </c>
      <c r="O47" s="270">
        <f>'(2.2)_Forward_Price_Curve'!AH61</f>
        <v>2.5293430005189874</v>
      </c>
      <c r="Q47" s="28">
        <v>1.5670389327833447</v>
      </c>
      <c r="S47" s="18">
        <f t="shared" si="5"/>
        <v>6467.7050598819251</v>
      </c>
      <c r="U47" s="18">
        <f t="shared" si="0"/>
        <v>8303.8703372530854</v>
      </c>
      <c r="W47" s="18">
        <f t="shared" si="1"/>
        <v>-1836.1652773711603</v>
      </c>
      <c r="Y47" s="271">
        <f t="shared" si="6"/>
        <v>-17.650964793328438</v>
      </c>
      <c r="Z47" s="235"/>
      <c r="AB47" s="146">
        <f>+IF(AB46&gt;$G$13+$G$14,XX,AB46+1)</f>
        <v>2043</v>
      </c>
      <c r="AC47" s="117"/>
      <c r="AD47" s="151">
        <f t="shared" si="2"/>
        <v>104026.34070547682</v>
      </c>
      <c r="AF47" s="154">
        <f t="shared" si="11"/>
        <v>137.84092751705955</v>
      </c>
      <c r="AH47" s="154">
        <f t="shared" si="12"/>
        <v>37.144592374044159</v>
      </c>
      <c r="AJ47" s="154">
        <f t="shared" si="13"/>
        <v>2.7942185114637348</v>
      </c>
      <c r="AL47" s="153">
        <f t="shared" si="7"/>
        <v>3289.200220083289</v>
      </c>
      <c r="AN47" s="154">
        <f>INDEX('(2.2)_Forward_Price_Curve'!$N:$N,MATCH($AB47,'(2.2)_Forward_Price_Curve'!$C:$C,0),1)</f>
        <v>8.0156333333333336</v>
      </c>
      <c r="AP47" s="154">
        <f t="shared" si="14"/>
        <v>52.555067367382073</v>
      </c>
      <c r="AR47" s="154">
        <f t="shared" si="15"/>
        <v>3.5119921362826254</v>
      </c>
      <c r="AS47" s="154"/>
      <c r="AT47" s="153">
        <f t="shared" si="3"/>
        <v>2471.4193029706198</v>
      </c>
      <c r="AV47" s="153">
        <f t="shared" si="4"/>
        <v>5832.4510342824651</v>
      </c>
      <c r="AW47" s="273"/>
      <c r="AX47" s="155">
        <f t="shared" si="8"/>
        <v>8303.8703372530854</v>
      </c>
      <c r="AZ47" s="146">
        <f>+IF(AZ46&gt;$G$13+$G$14,XX,AZ46+1)</f>
        <v>2043</v>
      </c>
      <c r="BA47" s="117"/>
      <c r="BB47" s="154">
        <f t="shared" si="16"/>
        <v>83.777542545624058</v>
      </c>
      <c r="BD47" s="154">
        <f t="shared" si="17"/>
        <v>4.2729303989309351</v>
      </c>
      <c r="BF47" s="153">
        <f t="shared" si="9"/>
        <v>817.78091711266927</v>
      </c>
      <c r="BH47" s="157"/>
    </row>
    <row r="48" spans="2:60" ht="12">
      <c r="B48" s="2"/>
      <c r="C48">
        <f>+IF(C47&gt;$G$13+$G$14,XX,C47+1)</f>
        <v>2044</v>
      </c>
      <c r="E48" s="169">
        <f>'(2.2)_Forward_Price_Curve'!Q62</f>
        <v>2.1999999999999999E-2</v>
      </c>
      <c r="G48" s="18">
        <v>104026.34070547682</v>
      </c>
      <c r="I48" s="28">
        <v>97.524700639091435</v>
      </c>
      <c r="K48" s="28">
        <v>35.665860909246959</v>
      </c>
      <c r="M48" s="28">
        <f t="shared" si="10"/>
        <v>0</v>
      </c>
      <c r="O48" s="270">
        <f>'(2.2)_Forward_Price_Curve'!AH62</f>
        <v>2.584988546530405</v>
      </c>
      <c r="Q48" s="28">
        <v>1.6026107165575265</v>
      </c>
      <c r="S48" s="18">
        <f t="shared" si="5"/>
        <v>6559.5459669969732</v>
      </c>
      <c r="U48" s="18">
        <f t="shared" si="0"/>
        <v>8644.8307327663351</v>
      </c>
      <c r="W48" s="18">
        <f t="shared" si="1"/>
        <v>-2085.2847657693619</v>
      </c>
      <c r="Y48" s="271">
        <f t="shared" si="6"/>
        <v>-20.045737950864737</v>
      </c>
      <c r="Z48" s="235"/>
      <c r="AB48" s="146">
        <f>+IF(AB47&gt;$G$13+$G$14,XX,AB47+1)</f>
        <v>2044</v>
      </c>
      <c r="AC48" s="117"/>
      <c r="AD48" s="151">
        <f t="shared" si="2"/>
        <v>104026.34070547682</v>
      </c>
      <c r="AF48" s="154">
        <f t="shared" si="11"/>
        <v>140.87342792243487</v>
      </c>
      <c r="AH48" s="154">
        <f t="shared" si="12"/>
        <v>37.961773406273132</v>
      </c>
      <c r="AJ48" s="154">
        <f t="shared" si="13"/>
        <v>2.855691318715937</v>
      </c>
      <c r="AL48" s="153">
        <f t="shared" si="7"/>
        <v>3361.5626249251213</v>
      </c>
      <c r="AN48" s="154">
        <f>INDEX('(2.2)_Forward_Price_Curve'!$N:$N,MATCH($AB48,'(2.2)_Forward_Price_Curve'!$C:$C,0),1)</f>
        <v>8.4240333333333339</v>
      </c>
      <c r="AP48" s="154">
        <f t="shared" si="14"/>
        <v>55.232770877544155</v>
      </c>
      <c r="AR48" s="154">
        <f t="shared" si="15"/>
        <v>3.5892559632808432</v>
      </c>
      <c r="AS48" s="154"/>
      <c r="AT48" s="153">
        <f t="shared" si="3"/>
        <v>2525.7905276359734</v>
      </c>
      <c r="AV48" s="153">
        <f t="shared" si="4"/>
        <v>6119.0402051303627</v>
      </c>
      <c r="AW48" s="273"/>
      <c r="AX48" s="155">
        <f t="shared" si="8"/>
        <v>8644.8307327663351</v>
      </c>
      <c r="AZ48" s="146">
        <f>+IF(AZ47&gt;$G$13+$G$14,XX,AZ47+1)</f>
        <v>2044</v>
      </c>
      <c r="BA48" s="117"/>
      <c r="BB48" s="154">
        <f t="shared" si="16"/>
        <v>85.620648481627782</v>
      </c>
      <c r="BD48" s="154">
        <f t="shared" si="17"/>
        <v>4.3669348677074158</v>
      </c>
      <c r="BF48" s="153">
        <f t="shared" si="9"/>
        <v>835.77209728914795</v>
      </c>
      <c r="BH48" s="157"/>
    </row>
    <row r="49" spans="2:60" ht="12">
      <c r="B49" s="2"/>
      <c r="C49">
        <f>+IF(C48&gt;$G$13+$G$14,XX,C48+1)</f>
        <v>2045</v>
      </c>
      <c r="E49" s="169">
        <f>'(2.2)_Forward_Price_Curve'!Q63</f>
        <v>2.1999999999999999E-2</v>
      </c>
      <c r="G49" s="18">
        <v>104026.34070547682</v>
      </c>
      <c r="I49" s="28">
        <v>97.524700639091435</v>
      </c>
      <c r="K49" s="28">
        <v>36.475475951886864</v>
      </c>
      <c r="M49" s="28">
        <f t="shared" si="10"/>
        <v>0</v>
      </c>
      <c r="O49" s="270">
        <f>'(2.2)_Forward_Price_Curve'!AH63</f>
        <v>2.6418582945540741</v>
      </c>
      <c r="Q49" s="28">
        <v>1.6389899798233822</v>
      </c>
      <c r="S49" s="18">
        <f t="shared" si="5"/>
        <v>6653.4676106817651</v>
      </c>
      <c r="U49" s="18">
        <f t="shared" si="0"/>
        <v>8982.3954109658207</v>
      </c>
      <c r="W49" s="18">
        <f t="shared" si="1"/>
        <v>-2328.9278002840556</v>
      </c>
      <c r="Y49" s="271">
        <f t="shared" si="6"/>
        <v>-22.387866231667239</v>
      </c>
      <c r="Z49" s="235"/>
      <c r="AB49" s="146">
        <f>+IF(AB48&gt;$G$13+$G$14,XX,AB48+1)</f>
        <v>2045</v>
      </c>
      <c r="AC49" s="117"/>
      <c r="AD49" s="151">
        <f t="shared" si="2"/>
        <v>104026.34070547682</v>
      </c>
      <c r="AF49" s="154">
        <f t="shared" si="11"/>
        <v>143.97264333672845</v>
      </c>
      <c r="AH49" s="154">
        <f t="shared" si="12"/>
        <v>38.796932421211139</v>
      </c>
      <c r="AJ49" s="154">
        <f t="shared" si="13"/>
        <v>2.9185165277276877</v>
      </c>
      <c r="AL49" s="153">
        <f t="shared" si="7"/>
        <v>3435.5170026734745</v>
      </c>
      <c r="AN49" s="154">
        <f>INDEX('(2.2)_Forward_Price_Curve'!$N:$N,MATCH($AB49,'(2.2)_Forward_Price_Curve'!$C:$C,0),1)</f>
        <v>8.8254416666666682</v>
      </c>
      <c r="AP49" s="154">
        <f t="shared" si="14"/>
        <v>57.86463303027427</v>
      </c>
      <c r="AR49" s="154">
        <f t="shared" si="15"/>
        <v>3.6682195944730216</v>
      </c>
      <c r="AS49" s="154"/>
      <c r="AT49" s="153">
        <f t="shared" si="3"/>
        <v>2581.3579192439652</v>
      </c>
      <c r="AV49" s="153">
        <f t="shared" si="4"/>
        <v>6401.0374917218551</v>
      </c>
      <c r="AW49" s="273"/>
      <c r="AX49" s="155">
        <f t="shared" si="8"/>
        <v>8982.3954109658207</v>
      </c>
      <c r="AZ49" s="146">
        <f>+IF(AZ48&gt;$G$13+$G$14,XX,AZ48+1)</f>
        <v>2045</v>
      </c>
      <c r="BA49" s="117"/>
      <c r="BB49" s="154">
        <f t="shared" si="16"/>
        <v>87.504302748223594</v>
      </c>
      <c r="BD49" s="154">
        <f t="shared" si="17"/>
        <v>4.463007434796979</v>
      </c>
      <c r="BF49" s="153">
        <f t="shared" si="9"/>
        <v>854.15908342950922</v>
      </c>
      <c r="BH49" s="157"/>
    </row>
    <row r="50" spans="2:60" ht="12">
      <c r="B50" s="2"/>
      <c r="C50">
        <f>+IF(C49&gt;$G$13+$G$14,XX,C49+1)</f>
        <v>2046</v>
      </c>
      <c r="E50" s="169">
        <f>'(2.2)_Forward_Price_Curve'!Q64</f>
        <v>2.1999999999999999E-2</v>
      </c>
      <c r="G50" s="18">
        <v>104026.34070547682</v>
      </c>
      <c r="I50" s="28">
        <v>97.524700639091435</v>
      </c>
      <c r="K50" s="28">
        <v>37.303469255994692</v>
      </c>
      <c r="M50" s="28">
        <f t="shared" si="10"/>
        <v>0</v>
      </c>
      <c r="O50" s="270">
        <f>'(2.2)_Forward_Price_Curve'!AH64</f>
        <v>2.6999791770342636</v>
      </c>
      <c r="Q50" s="28">
        <v>1.676195052365373</v>
      </c>
      <c r="S50" s="18">
        <f t="shared" si="5"/>
        <v>6749.5171345119506</v>
      </c>
      <c r="U50" s="18">
        <f t="shared" si="0"/>
        <v>9910.4664787718502</v>
      </c>
      <c r="W50" s="18">
        <f t="shared" si="1"/>
        <v>-3160.9493442598996</v>
      </c>
      <c r="Y50" s="271">
        <f t="shared" si="6"/>
        <v>-30.386047637773736</v>
      </c>
      <c r="Z50" s="235"/>
      <c r="AB50" s="146">
        <f>+IF(AB49&gt;$G$13+$G$14,XX,AB49+1)</f>
        <v>2046</v>
      </c>
      <c r="AC50" s="117"/>
      <c r="AD50" s="151">
        <f t="shared" si="2"/>
        <v>104026.34070547682</v>
      </c>
      <c r="AF50" s="154">
        <f t="shared" si="11"/>
        <v>147.14004149013647</v>
      </c>
      <c r="AH50" s="154">
        <f t="shared" si="12"/>
        <v>39.650464934477782</v>
      </c>
      <c r="AJ50" s="154">
        <f t="shared" si="13"/>
        <v>2.982723891337697</v>
      </c>
      <c r="AL50" s="153">
        <f t="shared" si="7"/>
        <v>3511.0983767322896</v>
      </c>
      <c r="AN50" s="154">
        <f>INDEX('(2.2)_Forward_Price_Curve'!$N:$N,MATCH($AB50,'(2.2)_Forward_Price_Curve'!$C:$C,0),1)</f>
        <v>10.090566666666668</v>
      </c>
      <c r="AP50" s="154">
        <f t="shared" si="14"/>
        <v>66.159514649504928</v>
      </c>
      <c r="AR50" s="154">
        <f t="shared" si="15"/>
        <v>3.7489204255514283</v>
      </c>
      <c r="AS50" s="154"/>
      <c r="AT50" s="153">
        <f t="shared" si="3"/>
        <v>2638.1477934673312</v>
      </c>
      <c r="AV50" s="153">
        <f t="shared" si="4"/>
        <v>7272.318685304519</v>
      </c>
      <c r="AW50" s="273"/>
      <c r="AX50" s="155">
        <f t="shared" si="8"/>
        <v>9910.4664787718502</v>
      </c>
      <c r="AZ50" s="146">
        <f>+IF(AZ49&gt;$G$13+$G$14,XX,AZ49+1)</f>
        <v>2046</v>
      </c>
      <c r="BA50" s="117"/>
      <c r="BB50" s="154">
        <f t="shared" si="16"/>
        <v>89.429397408684508</v>
      </c>
      <c r="BD50" s="154">
        <f t="shared" si="17"/>
        <v>4.5611935983625127</v>
      </c>
      <c r="BF50" s="153">
        <f t="shared" si="9"/>
        <v>872.95058326495837</v>
      </c>
      <c r="BH50" s="157"/>
    </row>
    <row r="51" spans="2:60" ht="12">
      <c r="B51" s="2"/>
      <c r="C51">
        <f>+IF(C50&gt;$G$13+$G$14,XX,C50+1)</f>
        <v>2047</v>
      </c>
      <c r="E51" s="169">
        <f>'(2.2)_Forward_Price_Curve'!Q65</f>
        <v>2.1999999999999999E-2</v>
      </c>
      <c r="G51" s="18">
        <v>104026.34070547682</v>
      </c>
      <c r="I51" s="28">
        <v>97.524700639091435</v>
      </c>
      <c r="K51" s="28">
        <v>38.150258008105773</v>
      </c>
      <c r="M51" s="28">
        <f t="shared" si="10"/>
        <v>0</v>
      </c>
      <c r="O51" s="270">
        <f>'(2.2)_Forward_Price_Curve'!AH65</f>
        <v>2.7593787189290175</v>
      </c>
      <c r="Q51" s="28">
        <v>1.7142446800540669</v>
      </c>
      <c r="S51" s="18">
        <f t="shared" si="5"/>
        <v>6847.7427502611772</v>
      </c>
      <c r="U51" s="18">
        <f t="shared" si="0"/>
        <v>10305.000938131023</v>
      </c>
      <c r="W51" s="18">
        <f t="shared" si="1"/>
        <v>-3457.2581878698456</v>
      </c>
      <c r="Y51" s="271">
        <f t="shared" si="6"/>
        <v>-33.234449702101521</v>
      </c>
      <c r="Z51" s="235"/>
      <c r="AB51" s="146">
        <f>+IF(AB50&gt;$G$13+$G$14,XX,AB50+1)</f>
        <v>2047</v>
      </c>
      <c r="AC51" s="117"/>
      <c r="AD51" s="151">
        <f t="shared" si="2"/>
        <v>104026.34070547682</v>
      </c>
      <c r="AF51" s="154">
        <f t="shared" si="11"/>
        <v>150.37712240291947</v>
      </c>
      <c r="AH51" s="154">
        <f t="shared" si="12"/>
        <v>40.522775163036293</v>
      </c>
      <c r="AJ51" s="154">
        <f t="shared" si="13"/>
        <v>3.0483438169471264</v>
      </c>
      <c r="AL51" s="153">
        <f t="shared" si="7"/>
        <v>3588.3425410204009</v>
      </c>
      <c r="AN51" s="154">
        <f>INDEX('(2.2)_Forward_Price_Curve'!$N:$N,MATCH($AB51,'(2.2)_Forward_Price_Curve'!$C:$C,0),1)</f>
        <v>10.571341666666667</v>
      </c>
      <c r="AP51" s="154">
        <f t="shared" si="14"/>
        <v>69.311749970509268</v>
      </c>
      <c r="AR51" s="154">
        <f t="shared" si="15"/>
        <v>3.83139667491356</v>
      </c>
      <c r="AS51" s="154"/>
      <c r="AT51" s="153">
        <f t="shared" si="3"/>
        <v>2696.1870449236135</v>
      </c>
      <c r="AV51" s="153">
        <f t="shared" si="4"/>
        <v>7608.8138932074098</v>
      </c>
      <c r="AW51" s="273"/>
      <c r="AX51" s="155">
        <f t="shared" si="8"/>
        <v>10305.000938131023</v>
      </c>
      <c r="AZ51" s="146">
        <f>+IF(AZ50&gt;$G$13+$G$14,XX,AZ50+1)</f>
        <v>2047</v>
      </c>
      <c r="BA51" s="117"/>
      <c r="BB51" s="154">
        <f t="shared" si="16"/>
        <v>91.396844151675566</v>
      </c>
      <c r="BD51" s="154">
        <f t="shared" si="17"/>
        <v>4.6615398575264884</v>
      </c>
      <c r="BF51" s="153">
        <f t="shared" si="9"/>
        <v>892.15549609678749</v>
      </c>
      <c r="BH51" s="157"/>
    </row>
    <row r="52" spans="2:60" ht="12">
      <c r="B52" s="2"/>
      <c r="C52">
        <f>+IF(C51&gt;$G$13+$G$14,XX,C51+1)</f>
        <v>2048</v>
      </c>
      <c r="E52" s="169">
        <f>'(2.2)_Forward_Price_Curve'!Q66</f>
        <v>2.1999999999999999E-2</v>
      </c>
      <c r="G52" s="18">
        <v>104026.34070547682</v>
      </c>
      <c r="I52" s="28">
        <v>97.524700639091435</v>
      </c>
      <c r="K52" s="28">
        <v>39.016268864889774</v>
      </c>
      <c r="M52" s="28">
        <f t="shared" si="10"/>
        <v>0</v>
      </c>
      <c r="O52" s="270">
        <f>'(2.2)_Forward_Price_Curve'!AH66</f>
        <v>2.820085050745456</v>
      </c>
      <c r="Q52" s="28">
        <v>1.7531580342912942</v>
      </c>
      <c r="S52" s="18">
        <f t="shared" si="5"/>
        <v>6948.1937621060224</v>
      </c>
      <c r="U52" s="18">
        <f t="shared" si="0"/>
        <v>10695.672451453987</v>
      </c>
      <c r="W52" s="18">
        <f t="shared" si="1"/>
        <v>-3747.478689347965</v>
      </c>
      <c r="Y52" s="271">
        <f t="shared" si="6"/>
        <v>-36.024324838628743</v>
      </c>
      <c r="Z52" s="235"/>
      <c r="AB52" s="146">
        <f>+IF(AB51&gt;$G$13+$G$14,XX,AB51+1)</f>
        <v>2048</v>
      </c>
      <c r="AC52" s="117"/>
      <c r="AD52" s="151">
        <f t="shared" si="2"/>
        <v>104026.34070547682</v>
      </c>
      <c r="AF52" s="154">
        <f t="shared" si="11"/>
        <v>153.68541909578369</v>
      </c>
      <c r="AH52" s="154">
        <f t="shared" si="12"/>
        <v>41.414276216623094</v>
      </c>
      <c r="AJ52" s="154">
        <f t="shared" si="13"/>
        <v>3.1154073809199634</v>
      </c>
      <c r="AL52" s="153">
        <f t="shared" si="7"/>
        <v>3667.2860769228491</v>
      </c>
      <c r="AN52" s="154">
        <f>INDEX('(2.2)_Forward_Price_Curve'!$N:$N,MATCH($AB52,'(2.2)_Forward_Price_Curve'!$C:$C,0),1)</f>
        <v>11.044304166666668</v>
      </c>
      <c r="AP52" s="154">
        <f t="shared" si="14"/>
        <v>72.412762082225797</v>
      </c>
      <c r="AR52" s="154">
        <f t="shared" si="15"/>
        <v>3.9156874017616583</v>
      </c>
      <c r="AS52" s="154"/>
      <c r="AT52" s="153">
        <f t="shared" si="3"/>
        <v>2755.503159911932</v>
      </c>
      <c r="AV52" s="153">
        <f t="shared" si="4"/>
        <v>7940.1692915420554</v>
      </c>
      <c r="AW52" s="273"/>
      <c r="AX52" s="155">
        <f t="shared" si="8"/>
        <v>10695.672451453987</v>
      </c>
      <c r="AZ52" s="146">
        <f>+IF(AZ51&gt;$G$13+$G$14,XX,AZ51+1)</f>
        <v>2048</v>
      </c>
      <c r="BA52" s="117"/>
      <c r="BB52" s="154">
        <f t="shared" si="16"/>
        <v>93.407574723012431</v>
      </c>
      <c r="BD52" s="154">
        <f t="shared" si="17"/>
        <v>4.7640937343920715</v>
      </c>
      <c r="BF52" s="153">
        <f t="shared" si="9"/>
        <v>911.78291701091689</v>
      </c>
      <c r="BH52" s="157"/>
    </row>
    <row r="53" spans="2:60" ht="12">
      <c r="B53" s="2"/>
      <c r="C53">
        <f>+IF(C52&gt;$G$13+$G$14,XX,C52+1)</f>
        <v>2049</v>
      </c>
      <c r="E53" s="169">
        <f>'(2.2)_Forward_Price_Curve'!Q67</f>
        <v>2.1999999999999999E-2</v>
      </c>
      <c r="G53" s="18">
        <v>104026.34070547682</v>
      </c>
      <c r="I53" s="28">
        <v>97.524700639091435</v>
      </c>
      <c r="K53" s="28">
        <v>39.901938168122769</v>
      </c>
      <c r="M53" s="28">
        <f t="shared" si="10"/>
        <v>0</v>
      </c>
      <c r="O53" s="270">
        <f>'(2.2)_Forward_Price_Curve'!AH67</f>
        <v>2.8821269218618562</v>
      </c>
      <c r="Q53" s="28">
        <v>1.7929547216697064</v>
      </c>
      <c r="S53" s="18">
        <f t="shared" si="5"/>
        <v>7050.9205913794558</v>
      </c>
      <c r="U53" s="18">
        <f t="shared" si="0"/>
        <v>11114.410751035603</v>
      </c>
      <c r="W53" s="18">
        <f t="shared" si="1"/>
        <v>-4063.4901596561467</v>
      </c>
      <c r="Y53" s="271">
        <f t="shared" si="6"/>
        <v>-39.062127266024369</v>
      </c>
      <c r="Z53" s="235"/>
      <c r="AB53" s="146">
        <f>+IF(AB52&gt;$G$13+$G$14,XX,AB52+1)</f>
        <v>2049</v>
      </c>
      <c r="AC53" s="117"/>
      <c r="AD53" s="151">
        <f t="shared" si="2"/>
        <v>104026.34070547682</v>
      </c>
      <c r="AF53" s="154">
        <f t="shared" si="11"/>
        <v>157.06649831589093</v>
      </c>
      <c r="AH53" s="154">
        <f t="shared" si="12"/>
        <v>42.3253902933888</v>
      </c>
      <c r="AJ53" s="154">
        <f t="shared" si="13"/>
        <v>3.1839463433002027</v>
      </c>
      <c r="AL53" s="153">
        <f t="shared" si="7"/>
        <v>3747.9663706151523</v>
      </c>
      <c r="AN53" s="154">
        <f>INDEX('(2.2)_Forward_Price_Curve'!$N:$N,MATCH($AB53,'(2.2)_Forward_Price_Curve'!$C:$C,0),1)</f>
        <v>11.556220833333333</v>
      </c>
      <c r="AP53" s="154">
        <f t="shared" si="14"/>
        <v>75.769179945212585</v>
      </c>
      <c r="AR53" s="154">
        <f t="shared" si="15"/>
        <v>4.0018325246004149</v>
      </c>
      <c r="AS53" s="154"/>
      <c r="AT53" s="153">
        <f t="shared" si="3"/>
        <v>2816.1242294299955</v>
      </c>
      <c r="AV53" s="153">
        <f t="shared" si="4"/>
        <v>8298.286521605607</v>
      </c>
      <c r="AW53" s="273"/>
      <c r="AX53" s="155">
        <f t="shared" si="8"/>
        <v>11114.410751035603</v>
      </c>
      <c r="AZ53" s="146">
        <f>+IF(AZ52&gt;$G$13+$G$14,XX,AZ52+1)</f>
        <v>2049</v>
      </c>
      <c r="BA53" s="117"/>
      <c r="BB53" s="154">
        <f t="shared" si="16"/>
        <v>95.4625413669187</v>
      </c>
      <c r="BD53" s="154">
        <f t="shared" si="17"/>
        <v>4.8689037965486968</v>
      </c>
      <c r="BF53" s="153">
        <f t="shared" si="9"/>
        <v>931.84214118515695</v>
      </c>
      <c r="BH53" s="157"/>
    </row>
    <row r="54" spans="2:60" ht="12">
      <c r="B54" s="2"/>
      <c r="C54">
        <f>+IF(C53&gt;$G$13+$G$14,XX,C53+1)</f>
        <v>2050</v>
      </c>
      <c r="E54" s="169">
        <f>'(2.2)_Forward_Price_Curve'!Q68</f>
        <v>2.1999999999999999E-2</v>
      </c>
      <c r="G54" s="18">
        <v>104026.34070547682</v>
      </c>
      <c r="I54" s="28">
        <v>97.524700639091435</v>
      </c>
      <c r="K54" s="28">
        <v>40.807712164539154</v>
      </c>
      <c r="M54" s="28">
        <f t="shared" si="10"/>
        <v>0</v>
      </c>
      <c r="O54" s="270">
        <f>'(2.2)_Forward_Price_Curve'!AH68</f>
        <v>2.9455337141428171</v>
      </c>
      <c r="Q54" s="28">
        <v>1.8336547938516086</v>
      </c>
      <c r="S54" s="18">
        <f t="shared" si="5"/>
        <v>7155.9748018852215</v>
      </c>
      <c r="U54" s="18">
        <f t="shared" si="0"/>
        <v>11549.26733823577</v>
      </c>
      <c r="W54" s="18">
        <f t="shared" si="1"/>
        <v>-4393.2925363505483</v>
      </c>
      <c r="Y54" s="271">
        <f t="shared" si="6"/>
        <v>-42.232500985389834</v>
      </c>
      <c r="Z54" s="235"/>
      <c r="AB54" s="146">
        <f>+IF(AB53&gt;$G$13+$G$14,XX,AB53+1)</f>
        <v>2050</v>
      </c>
      <c r="AC54" s="117"/>
      <c r="AD54" s="151">
        <f t="shared" si="2"/>
        <v>104026.34070547682</v>
      </c>
      <c r="AF54" s="154">
        <f t="shared" si="11"/>
        <v>160.52196127884054</v>
      </c>
      <c r="AH54" s="154">
        <f t="shared" si="12"/>
        <v>43.256548879843358</v>
      </c>
      <c r="AJ54" s="154">
        <f t="shared" si="13"/>
        <v>3.2539931628528072</v>
      </c>
      <c r="AL54" s="153">
        <f t="shared" si="7"/>
        <v>3830.4216307686856</v>
      </c>
      <c r="AN54" s="154">
        <f>INDEX('(2.2)_Forward_Price_Curve'!$N:$N,MATCH($AB54,'(2.2)_Forward_Price_Curve'!$C:$C,0),1)</f>
        <v>12.089525</v>
      </c>
      <c r="AP54" s="154">
        <f t="shared" si="14"/>
        <v>79.265826465945679</v>
      </c>
      <c r="AR54" s="154">
        <f t="shared" si="15"/>
        <v>4.0898728401416244</v>
      </c>
      <c r="AS54" s="154"/>
      <c r="AT54" s="153">
        <f t="shared" si="3"/>
        <v>2878.0789624774552</v>
      </c>
      <c r="AV54" s="153">
        <f t="shared" si="4"/>
        <v>8671.1883757583146</v>
      </c>
      <c r="AW54" s="273"/>
      <c r="AX54" s="155">
        <f t="shared" si="8"/>
        <v>11549.26733823577</v>
      </c>
      <c r="AZ54" s="146">
        <f>+IF(AZ53&gt;$G$13+$G$14,XX,AZ53+1)</f>
        <v>2050</v>
      </c>
      <c r="BA54" s="117"/>
      <c r="BB54" s="154">
        <f t="shared" si="16"/>
        <v>97.562717276990909</v>
      </c>
      <c r="BD54" s="154">
        <f t="shared" si="17"/>
        <v>4.9760196800727678</v>
      </c>
      <c r="BF54" s="153">
        <f t="shared" si="9"/>
        <v>952.34266829123032</v>
      </c>
      <c r="BH54" s="157"/>
    </row>
    <row r="55" spans="2:60" ht="12">
      <c r="B55" s="2"/>
      <c r="C55">
        <f>+IF(C54&gt;$G$13+$G$14,XX,C54+1)</f>
        <v>2051</v>
      </c>
      <c r="E55" s="169">
        <f>'(2.2)_Forward_Price_Curve'!Q69</f>
        <v>2.1999999999999999E-2</v>
      </c>
      <c r="G55" s="18">
        <v>104026.34070547682</v>
      </c>
      <c r="I55" s="28">
        <v>97.524700639091435</v>
      </c>
      <c r="K55" s="28">
        <v>41.734047230674186</v>
      </c>
      <c r="M55" s="28">
        <f t="shared" si="10"/>
        <v>0</v>
      </c>
      <c r="O55" s="270">
        <f>'(2.2)_Forward_Price_Curve'!AH69</f>
        <v>3.010335455853959</v>
      </c>
      <c r="Q55" s="28">
        <v>1.8752787576720398</v>
      </c>
      <c r="S55" s="18">
        <f t="shared" si="5"/>
        <v>7263.4091257858627</v>
      </c>
      <c r="U55" s="18">
        <f t="shared" si="0"/>
        <v>11803.34072738113</v>
      </c>
      <c r="W55" s="18">
        <f t="shared" si="1"/>
        <v>-4539.9316015952672</v>
      </c>
      <c r="Y55" s="271">
        <f t="shared" si="6"/>
        <v>-43.64213497088096</v>
      </c>
      <c r="Z55" s="235"/>
      <c r="AB55" s="146">
        <f>+IF(AB54&gt;$G$13+$G$14,XX,AB54+1)</f>
        <v>2051</v>
      </c>
      <c r="AC55" s="117"/>
      <c r="AD55" s="151">
        <f t="shared" si="2"/>
        <v>104026.34070547682</v>
      </c>
      <c r="AF55" s="154">
        <f t="shared" si="11"/>
        <v>164.05344442697503</v>
      </c>
      <c r="AH55" s="154">
        <f t="shared" si="12"/>
        <v>44.208192955199912</v>
      </c>
      <c r="AJ55" s="154">
        <f t="shared" si="13"/>
        <v>3.3255810124355691</v>
      </c>
      <c r="AL55" s="153">
        <f t="shared" si="7"/>
        <v>3914.6909066455969</v>
      </c>
      <c r="AN55" s="154">
        <f>INDEX('(2.2)_Forward_Price_Curve'!$N:$N,MATCH($AB55,'(2.2)_Forward_Price_Curve'!$C:$C,0),1)</f>
        <v>12.355479166666667</v>
      </c>
      <c r="AP55" s="154">
        <f t="shared" si="14"/>
        <v>81.009573786282516</v>
      </c>
      <c r="AR55" s="154">
        <f t="shared" si="15"/>
        <v>4.1798500426247402</v>
      </c>
      <c r="AS55" s="154"/>
      <c r="AT55" s="153">
        <f t="shared" si="3"/>
        <v>2941.3966996519594</v>
      </c>
      <c r="AV55" s="153">
        <f t="shared" si="4"/>
        <v>8861.9440277291706</v>
      </c>
      <c r="AW55" s="273"/>
      <c r="AX55" s="155">
        <f t="shared" si="8"/>
        <v>11803.34072738113</v>
      </c>
      <c r="AZ55" s="146">
        <f>+IF(AZ54&gt;$G$13+$G$14,XX,AZ54+1)</f>
        <v>2051</v>
      </c>
      <c r="BA55" s="117"/>
      <c r="BB55" s="154">
        <f t="shared" si="16"/>
        <v>99.709097057084705</v>
      </c>
      <c r="BD55" s="154">
        <f t="shared" si="17"/>
        <v>5.0854921130343689</v>
      </c>
      <c r="BF55" s="153">
        <f t="shared" si="9"/>
        <v>973.29420699363732</v>
      </c>
      <c r="BH55" s="157"/>
    </row>
    <row r="56" spans="2:60" ht="12">
      <c r="B56" s="2"/>
      <c r="C56">
        <f>+IF(C55&gt;$G$13+$G$14,XX,C55+1)</f>
        <v>2052</v>
      </c>
      <c r="E56" s="169">
        <f>'(2.2)_Forward_Price_Curve'!Q70</f>
        <v>2.1999999999999999E-2</v>
      </c>
      <c r="G56" s="18">
        <v>104026.34070547682</v>
      </c>
      <c r="I56" s="28">
        <v>97.524700639091435</v>
      </c>
      <c r="K56" s="28">
        <v>42.681410102810489</v>
      </c>
      <c r="M56" s="28">
        <f t="shared" si="10"/>
        <v>0</v>
      </c>
      <c r="O56" s="270">
        <f>'(2.2)_Forward_Price_Curve'!AH70</f>
        <v>3.0765628358827461</v>
      </c>
      <c r="Q56" s="28">
        <v>1.9178475854711952</v>
      </c>
      <c r="S56" s="18">
        <f t="shared" si="5"/>
        <v>7373.2774900774066</v>
      </c>
      <c r="U56" s="18">
        <f t="shared" si="0"/>
        <v>12662.371190963784</v>
      </c>
      <c r="W56" s="18">
        <f t="shared" si="1"/>
        <v>-5289.0937008863775</v>
      </c>
      <c r="Y56" s="271">
        <f t="shared" si="6"/>
        <v>-50.843792687671794</v>
      </c>
      <c r="Z56" s="235"/>
      <c r="AB56" s="146">
        <f>+IF(AB55&gt;$G$13+$G$14,XX,AB55+1)</f>
        <v>2052</v>
      </c>
      <c r="AC56" s="117"/>
      <c r="AD56" s="151">
        <f t="shared" si="2"/>
        <v>104026.34070547682</v>
      </c>
      <c r="AF56" s="154">
        <f t="shared" si="11"/>
        <v>167.66262020436849</v>
      </c>
      <c r="AH56" s="154">
        <f t="shared" si="12"/>
        <v>45.180773200214311</v>
      </c>
      <c r="AJ56" s="154">
        <f t="shared" si="13"/>
        <v>3.3987437947091519</v>
      </c>
      <c r="AL56" s="153">
        <f t="shared" si="7"/>
        <v>4000.8141065918003</v>
      </c>
      <c r="AN56" s="154">
        <f>INDEX('(2.2)_Forward_Price_Curve'!$N:$N,MATCH($AB56,'(2.2)_Forward_Price_Curve'!$C:$C,0),1)</f>
        <v>13.50605</v>
      </c>
      <c r="AP56" s="154">
        <f t="shared" si="14"/>
        <v>88.553372902606654</v>
      </c>
      <c r="AR56" s="154">
        <f t="shared" si="15"/>
        <v>4.2718067435624842</v>
      </c>
      <c r="AS56" s="154"/>
      <c r="AT56" s="153">
        <f t="shared" si="3"/>
        <v>3006.1074270443028</v>
      </c>
      <c r="AV56" s="153">
        <f t="shared" si="4"/>
        <v>9656.2637639194818</v>
      </c>
      <c r="AW56" s="273"/>
      <c r="AX56" s="155">
        <f t="shared" si="8"/>
        <v>12662.371190963784</v>
      </c>
      <c r="AZ56" s="146">
        <f>+IF(AZ55&gt;$G$13+$G$14,XX,AZ55+1)</f>
        <v>2052</v>
      </c>
      <c r="BA56" s="117"/>
      <c r="BB56" s="154">
        <f t="shared" si="16"/>
        <v>101.90269719234057</v>
      </c>
      <c r="BD56" s="154">
        <f t="shared" si="17"/>
        <v>5.1973729395211254</v>
      </c>
      <c r="BF56" s="153">
        <f t="shared" si="9"/>
        <v>994.70667954749752</v>
      </c>
      <c r="BH56" s="157"/>
    </row>
    <row r="57" spans="2:60" ht="12">
      <c r="B57" s="2"/>
      <c r="C57">
        <f>+IF(C56&gt;$G$13+$G$14,XX,C56+1)</f>
        <v>2053</v>
      </c>
      <c r="E57" s="169">
        <f>'(2.2)_Forward_Price_Curve'!Q71</f>
        <v>2.1999999999999999E-2</v>
      </c>
      <c r="G57" s="18">
        <v>104026.34070547682</v>
      </c>
      <c r="I57" s="28">
        <v>97.524700639091435</v>
      </c>
      <c r="K57" s="28">
        <v>43.650278112144285</v>
      </c>
      <c r="M57" s="28">
        <f t="shared" si="10"/>
        <v>0</v>
      </c>
      <c r="O57" s="270">
        <f>'(2.2)_Forward_Price_Curve'!AH71</f>
        <v>3.1442472182721666</v>
      </c>
      <c r="Q57" s="28">
        <v>1.9613827256613912</v>
      </c>
      <c r="S57" s="18">
        <f t="shared" si="5"/>
        <v>7485.6350436639686</v>
      </c>
      <c r="U57" s="18">
        <f t="shared" si="0"/>
        <v>12940.94335716499</v>
      </c>
      <c r="W57" s="18">
        <f t="shared" si="1"/>
        <v>-5455.3083135010211</v>
      </c>
      <c r="Y57" s="271">
        <f t="shared" si="6"/>
        <v>-52.441605429016192</v>
      </c>
      <c r="Z57" s="235"/>
      <c r="AB57" s="146">
        <f>+IF(AB56&gt;$G$13+$G$14,XX,AB56+1)</f>
        <v>2053</v>
      </c>
      <c r="AC57" s="117"/>
      <c r="AD57" s="151">
        <f t="shared" si="2"/>
        <v>104026.34070547682</v>
      </c>
      <c r="AF57" s="154">
        <f t="shared" si="11"/>
        <v>171.35119784886462</v>
      </c>
      <c r="AH57" s="154">
        <f t="shared" si="12"/>
        <v>46.174750210619024</v>
      </c>
      <c r="AJ57" s="154">
        <f t="shared" si="13"/>
        <v>3.4735161581927532</v>
      </c>
      <c r="AL57" s="153">
        <f t="shared" si="7"/>
        <v>4088.8320169368203</v>
      </c>
      <c r="AN57" s="154">
        <f>INDEX('(2.2)_Forward_Price_Curve'!$N:$N,MATCH($AB57,'(2.2)_Forward_Price_Curve'!$C:$C,0),1)</f>
        <v>13.8031831</v>
      </c>
      <c r="AP57" s="154">
        <f t="shared" si="14"/>
        <v>90.501547106464002</v>
      </c>
      <c r="AR57" s="154">
        <f t="shared" si="15"/>
        <v>4.3657864919208587</v>
      </c>
      <c r="AS57" s="154"/>
      <c r="AT57" s="153">
        <f t="shared" si="3"/>
        <v>3072.2417904392778</v>
      </c>
      <c r="AV57" s="153">
        <f t="shared" si="4"/>
        <v>9868.7015667257128</v>
      </c>
      <c r="AW57" s="273"/>
      <c r="AX57" s="155">
        <f t="shared" si="8"/>
        <v>12940.94335716499</v>
      </c>
      <c r="AZ57" s="146">
        <f>+IF(AZ56&gt;$G$13+$G$14,XX,AZ56+1)</f>
        <v>2053</v>
      </c>
      <c r="BA57" s="117"/>
      <c r="BB57" s="154">
        <f t="shared" si="16"/>
        <v>104.14455653057206</v>
      </c>
      <c r="BD57" s="154">
        <f t="shared" si="17"/>
        <v>5.3117151441905905</v>
      </c>
      <c r="BF57" s="153">
        <f t="shared" si="9"/>
        <v>1016.5902264975423</v>
      </c>
      <c r="BH57" s="157"/>
    </row>
    <row r="58" spans="2:60" ht="12">
      <c r="B58" s="2"/>
      <c r="E58" s="169"/>
      <c r="G58" s="18"/>
      <c r="I58" s="28"/>
      <c r="K58" s="28"/>
      <c r="M58" s="28"/>
      <c r="O58" s="270"/>
      <c r="Q58" s="28"/>
      <c r="S58" s="18"/>
      <c r="U58" s="18"/>
      <c r="W58" s="18"/>
      <c r="Y58" s="271"/>
      <c r="Z58" s="235"/>
      <c r="AB58" s="146"/>
      <c r="AC58" s="117"/>
      <c r="AD58" s="151"/>
      <c r="AF58" s="154"/>
      <c r="AH58" s="154"/>
      <c r="AJ58" s="154"/>
      <c r="AL58" s="153"/>
      <c r="AN58" s="154"/>
      <c r="AP58" s="154"/>
      <c r="AR58" s="154"/>
      <c r="AS58" s="154"/>
      <c r="AT58" s="153"/>
      <c r="AV58" s="153"/>
      <c r="AW58" s="273"/>
      <c r="AX58" s="155"/>
      <c r="AZ58" s="146"/>
      <c r="BA58" s="117"/>
      <c r="BB58" s="154"/>
      <c r="BD58" s="154"/>
      <c r="BF58" s="153"/>
      <c r="BH58" s="157"/>
    </row>
    <row r="59" spans="2:60">
      <c r="B59" s="2"/>
      <c r="E59" s="169"/>
      <c r="G59" s="267"/>
      <c r="I59" s="267"/>
      <c r="K59" s="267"/>
      <c r="M59" s="267"/>
      <c r="O59" s="267"/>
      <c r="Q59" s="267"/>
      <c r="S59" s="267"/>
      <c r="U59" s="267"/>
      <c r="W59" s="267"/>
      <c r="Y59" s="267"/>
      <c r="Z59" s="235"/>
      <c r="AB59" s="2"/>
      <c r="AF59" s="274"/>
      <c r="AH59" s="274"/>
      <c r="AJ59" s="274"/>
      <c r="AL59" s="273"/>
      <c r="AN59" s="274"/>
      <c r="AP59" s="274"/>
      <c r="AR59" s="274"/>
      <c r="AS59" s="274"/>
      <c r="AT59" s="274"/>
      <c r="AV59" s="273"/>
      <c r="AW59" s="273"/>
      <c r="AX59" s="275"/>
      <c r="AZ59" s="2"/>
      <c r="BB59" s="274"/>
      <c r="BF59" s="273"/>
      <c r="BH59" s="235"/>
    </row>
    <row r="60" spans="2:60" ht="12">
      <c r="B60" s="2"/>
      <c r="C60" s="276" t="str">
        <f>G14&amp;"-year Nominal Levelized at "&amp;TEXT($G$18,"#.00%")</f>
        <v>30-year Nominal Levelized at 6.77%</v>
      </c>
      <c r="E60" s="169"/>
      <c r="G60" s="285">
        <f>+-PMT($G$18,$G$14,NPV($G$18,G28:G57))</f>
        <v>104026.34070547669</v>
      </c>
      <c r="I60" s="28">
        <f>+-PMT($G$18,$G$14,NPV($G$18,I28:I57))</f>
        <v>97.524700639091392</v>
      </c>
      <c r="J60" s="28"/>
      <c r="K60" s="28">
        <f>+-PMT($G$18,$G$14,NPV($G$18,K28:K57))</f>
        <v>28.887165624361501</v>
      </c>
      <c r="M60" s="28">
        <f>+-PMT($G$18,$G$14,NPV($G$18,M28:M57))</f>
        <v>0</v>
      </c>
      <c r="O60" s="28">
        <f>+-PMT($G$18,$G$14,NPV($G$18,O28:O57))</f>
        <v>2.1096990904308393</v>
      </c>
      <c r="Q60" s="28">
        <f>+-PMT($G$18,$G$14,NPV($G$18,Q28:Q57))</f>
        <v>-6.1095750663238597</v>
      </c>
      <c r="S60" s="285">
        <f>+-PMT($G$18,$G$14,NPV($G$18,S28:S57))</f>
        <v>5002.670013024981</v>
      </c>
      <c r="U60" s="285">
        <f>+-PMT($G$18,$G$14,NPV($G$18,U28:U57))</f>
        <v>6615.1993825437357</v>
      </c>
      <c r="W60" s="285">
        <f>+-PMT($G$18,$G$14,NPV($G$18,W28:W57))</f>
        <v>-1612.5293695187565</v>
      </c>
      <c r="Y60" s="285">
        <f>+-PMT($G$18,$G$14,NPV($G$18,Y28:Y57))</f>
        <v>-15.501164018488446</v>
      </c>
      <c r="Z60" s="235"/>
      <c r="AB60" s="2"/>
      <c r="AD60" s="412">
        <f>+-PMT($G$18,$G$14,NPV($G$18,AD28:AD57))</f>
        <v>104026.34070547669</v>
      </c>
      <c r="AF60" s="154">
        <f>+-PMT($G$18,$G$14,NPV($G$18,AF28:AF57))</f>
        <v>114.97170583318079</v>
      </c>
      <c r="AH60" s="154">
        <f>+-PMT($G$18,$G$14,NPV($G$18,AH28:AH57))</f>
        <v>30.981924052952106</v>
      </c>
      <c r="AJ60" s="154">
        <f>+-PMT($G$18,$G$14,NPV($G$18,AJ28:AJ57))</f>
        <v>2.3306290411741255</v>
      </c>
      <c r="AL60" s="153">
        <f>+-PMT($G$18,$G$14,NPV($G$18,AL28:AL57))</f>
        <v>2743.4882145801494</v>
      </c>
      <c r="AN60" s="154">
        <f>+-PMT($G$18,$G$14,NPV($G$18,AN28:AN57))</f>
        <v>6.2298218111793453</v>
      </c>
      <c r="AP60" s="154">
        <f>+-PMT($G$18,$G$14,NPV($G$18,AP28:AP57))</f>
        <v>40.846267706854121</v>
      </c>
      <c r="AR60" s="154">
        <f>+-PMT($G$18,$G$14,NPV($G$18,AR28:AR57))</f>
        <v>2.9293166699792939</v>
      </c>
      <c r="AS60" s="154"/>
      <c r="AT60" s="153">
        <f>+-PMT($G$18,$G$14,NPV($G$18,AT28:AT57))</f>
        <v>2061.3855275779142</v>
      </c>
      <c r="AV60" s="153">
        <f>+-PMT($G$18,$G$14,NPV($G$18,AV28:AV57))</f>
        <v>4553.8138549658206</v>
      </c>
      <c r="AW60" s="273"/>
      <c r="AX60" s="155">
        <f>+-PMT($G$18,$G$14,NPV($G$18,AX28:AX57))</f>
        <v>6615.1993825437357</v>
      </c>
      <c r="AZ60" s="2"/>
      <c r="BB60" s="154">
        <f>+-PMT($G$18,$G$14,NPV($G$18,BB28:BB57))</f>
        <v>69.87799016217582</v>
      </c>
      <c r="BD60" s="154">
        <f>+-PMT($G$18,$G$14,NPV($G$18,BD28:BD57))</f>
        <v>3.5640074810926028</v>
      </c>
      <c r="BF60" s="153">
        <f>+-PMT($G$18,$G$14,NPV($G$18,BF28:BF57))</f>
        <v>682.1026870022348</v>
      </c>
      <c r="BH60" s="157"/>
    </row>
    <row r="61" spans="2:60">
      <c r="B61" s="2"/>
      <c r="E61" s="169"/>
      <c r="W61" s="18"/>
      <c r="Y61" s="271"/>
      <c r="Z61" s="235"/>
      <c r="AB61" s="2"/>
      <c r="AT61" s="273"/>
      <c r="AX61" s="235"/>
      <c r="AZ61" s="2"/>
      <c r="BH61" s="235"/>
    </row>
    <row r="62" spans="2:60">
      <c r="B62" s="238"/>
      <c r="C62" s="277"/>
      <c r="D62" s="277"/>
      <c r="E62" s="278"/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39"/>
      <c r="AB62" s="238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39"/>
      <c r="AZ62" s="238"/>
      <c r="BA62" s="277"/>
      <c r="BB62" s="277"/>
      <c r="BC62" s="277"/>
      <c r="BD62" s="277"/>
      <c r="BE62" s="277"/>
      <c r="BF62" s="277"/>
      <c r="BG62" s="277"/>
      <c r="BH62" s="239"/>
    </row>
    <row r="63" spans="2:60">
      <c r="E63" s="169"/>
    </row>
    <row r="64" spans="2:60">
      <c r="E64" s="169"/>
      <c r="G64" s="18"/>
      <c r="I64" s="18"/>
      <c r="K64" s="18"/>
      <c r="O64" s="18"/>
      <c r="Q64" s="18"/>
      <c r="S64" s="18"/>
      <c r="U64" s="18"/>
      <c r="W64" s="18"/>
    </row>
    <row r="65" spans="5:48">
      <c r="E65" s="169"/>
    </row>
    <row r="66" spans="5:48">
      <c r="E66" s="169"/>
    </row>
    <row r="67" spans="5:48">
      <c r="E67" s="169"/>
    </row>
    <row r="68" spans="5:48">
      <c r="E68" s="169"/>
      <c r="AV68" s="285"/>
    </row>
    <row r="69" spans="5:48">
      <c r="E69" s="169"/>
    </row>
    <row r="70" spans="5:48">
      <c r="E70" s="169"/>
    </row>
    <row r="71" spans="5:48">
      <c r="E71" s="169"/>
    </row>
    <row r="72" spans="5:48">
      <c r="E72" s="169"/>
    </row>
    <row r="73" spans="5:48">
      <c r="E73" s="169"/>
    </row>
    <row r="74" spans="5:48">
      <c r="E74" s="169"/>
    </row>
    <row r="75" spans="5:48">
      <c r="E75" s="169"/>
    </row>
    <row r="76" spans="5:48">
      <c r="E76" s="169"/>
    </row>
    <row r="77" spans="5:48">
      <c r="E77" s="169"/>
    </row>
    <row r="78" spans="5:48">
      <c r="E78" s="169"/>
    </row>
    <row r="79" spans="5:48">
      <c r="E79" s="169"/>
    </row>
    <row r="80" spans="5:48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</sheetData>
  <pageMargins left="0.25" right="0.25" top="0.25" bottom="0.75" header="0.3" footer="0.3"/>
  <pageSetup paperSize="5" scale="46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ADF37-CAC2-4655-918B-46359B80E9DE}">
  <sheetPr>
    <tabColor theme="8" tint="0.79998168889431442"/>
    <pageSetUpPr fitToPage="1"/>
  </sheetPr>
  <dimension ref="A1:BH86"/>
  <sheetViews>
    <sheetView zoomScaleNormal="100"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409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381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16.8</v>
      </c>
      <c r="H11" s="252"/>
      <c r="AB11" s="122" t="s">
        <v>99</v>
      </c>
      <c r="AC11" s="123"/>
      <c r="AD11" s="123"/>
      <c r="AE11" s="123"/>
      <c r="AF11" s="281">
        <f>+G11*(G12/AJ16)</f>
        <v>11.631616086754001</v>
      </c>
      <c r="AG11" s="127"/>
      <c r="AH11" s="123" t="s">
        <v>100</v>
      </c>
      <c r="AI11" s="124"/>
      <c r="AJ11" s="166">
        <f>'(2.1)_Proxy Resources'!N14</f>
        <v>24.131165356579</v>
      </c>
      <c r="AK11" s="235"/>
      <c r="AZ11" s="122" t="s">
        <v>99</v>
      </c>
      <c r="BA11" s="123"/>
      <c r="BB11" s="123"/>
      <c r="BC11" s="123"/>
      <c r="BD11" s="134">
        <f>(AF11*AF13-G11*G19)</f>
        <v>6.3043360867540006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0.47980416357860245</v>
      </c>
      <c r="H12" s="252"/>
      <c r="AB12" s="122" t="s">
        <v>32</v>
      </c>
      <c r="AC12" s="123"/>
      <c r="AD12" s="123"/>
      <c r="AE12" s="123"/>
      <c r="AF12" s="131">
        <f>+AD60/8760/AF11</f>
        <v>0.69299999999999928</v>
      </c>
      <c r="AG12" s="127"/>
      <c r="AH12" s="117" t="s">
        <v>101</v>
      </c>
      <c r="AI12" s="118"/>
      <c r="AJ12" s="117">
        <v>2022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2024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Resources'!O14</f>
        <v>1.8152776658187928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30</v>
      </c>
      <c r="H14" s="252"/>
      <c r="AB14" s="122" t="s">
        <v>104</v>
      </c>
      <c r="AC14" s="123"/>
      <c r="AD14" s="123"/>
      <c r="AE14" s="123"/>
      <c r="AF14" s="134">
        <f>'(2.1)_Proxy Resources'!H14</f>
        <v>6556.5707888395682</v>
      </c>
      <c r="AG14" s="127"/>
      <c r="AH14" s="117" t="s">
        <v>148</v>
      </c>
      <c r="AI14" s="118"/>
      <c r="AJ14" s="166">
        <v>0</v>
      </c>
      <c r="AK14" s="235"/>
      <c r="AZ14" s="122" t="s">
        <v>406</v>
      </c>
      <c r="BA14" s="123"/>
      <c r="BB14" s="123"/>
      <c r="BC14" s="123"/>
      <c r="BD14" s="167">
        <f>'(2.1)_Proxy Resources'!J15</f>
        <v>843</v>
      </c>
      <c r="BE14" s="132"/>
    </row>
    <row r="15" spans="1:57" ht="12">
      <c r="A15" t="s">
        <v>405</v>
      </c>
      <c r="B15" s="250"/>
      <c r="C15" s="231" t="s">
        <v>107</v>
      </c>
      <c r="D15" s="231"/>
      <c r="E15" s="231"/>
      <c r="F15" s="231"/>
      <c r="G15" s="283">
        <v>758.18961937716267</v>
      </c>
      <c r="H15" s="252"/>
      <c r="AB15" s="122" t="s">
        <v>406</v>
      </c>
      <c r="AC15" s="123"/>
      <c r="AD15" s="123"/>
      <c r="AE15" s="123"/>
      <c r="AF15" s="167">
        <f>'(2.1)_Proxy Resources'!J14</f>
        <v>1355.0378286709158</v>
      </c>
      <c r="AG15" s="127"/>
      <c r="AH15" s="117" t="s">
        <v>145</v>
      </c>
      <c r="AI15" s="118"/>
      <c r="AJ15" s="166">
        <f>'(2.1)_Proxy Resources'!P14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Resources'!K15</f>
        <v>6.4562857142857144E-2</v>
      </c>
      <c r="BE15" s="132"/>
    </row>
    <row r="16" spans="1:57" ht="12">
      <c r="A16" t="s">
        <v>405</v>
      </c>
      <c r="B16" s="250"/>
      <c r="C16" s="231" t="s">
        <v>109</v>
      </c>
      <c r="D16" s="231"/>
      <c r="E16" s="231"/>
      <c r="F16" s="231"/>
      <c r="G16" s="283">
        <f>AVERAGE(K28:K57)</f>
        <v>21.804036489393955</v>
      </c>
      <c r="H16" s="252"/>
      <c r="AB16" s="122" t="s">
        <v>108</v>
      </c>
      <c r="AC16" s="123"/>
      <c r="AD16" s="123"/>
      <c r="AE16" s="123"/>
      <c r="AF16" s="136">
        <f>'(2.1)_Proxy Resources'!K13</f>
        <v>6.6086000000000006E-2</v>
      </c>
      <c r="AG16" s="127"/>
      <c r="AH16" s="117" t="s">
        <v>110</v>
      </c>
      <c r="AI16" s="124"/>
      <c r="AJ16" s="137">
        <f>'(2.1)_Proxy Resources'!D14</f>
        <v>0.69299999999999995</v>
      </c>
      <c r="AK16" s="235"/>
      <c r="AZ16" s="122" t="s">
        <v>100</v>
      </c>
      <c r="BA16" s="124"/>
      <c r="BB16" s="166">
        <f>'(2.1)_Proxy Resources'!O15</f>
        <v>2.7759300458983387</v>
      </c>
      <c r="BE16" s="130"/>
    </row>
    <row r="17" spans="1:60" ht="12">
      <c r="A17" t="s">
        <v>405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2022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'(2.2)_Forward_Price_Curve'!AA11</f>
        <v>6.7699999999999996E-2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'(2.2)_Forward_Price_Curve'!M103</f>
        <v>0.31709999999999999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2024</v>
      </c>
      <c r="E28" s="169">
        <f>'(2.2)_Forward_Price_Curve'!Q42</f>
        <v>2.1999999999999999E-2</v>
      </c>
      <c r="G28" s="18">
        <v>70611.819145535774</v>
      </c>
      <c r="I28" s="28">
        <v>66.198584676231761</v>
      </c>
      <c r="K28" s="28">
        <v>15.453315487889274</v>
      </c>
      <c r="L28" s="269"/>
      <c r="M28" s="268">
        <f>$G$17</f>
        <v>0</v>
      </c>
      <c r="O28" s="270">
        <f>'(2.2)_Forward_Price_Curve'!AH42</f>
        <v>1.6793504000000004</v>
      </c>
      <c r="Q28" s="28">
        <v>-7.3373564013840831</v>
      </c>
      <c r="S28" s="18">
        <f>(I28*$G$11*1000+(K28+M28+O28+Q28)*G28)/1000</f>
        <v>1803.8008444963489</v>
      </c>
      <c r="U28" s="18">
        <f t="shared" ref="U28:U57" si="0">AX28</f>
        <v>3044.820338653687</v>
      </c>
      <c r="W28" s="18">
        <f t="shared" ref="W28:W57" si="1">S28-U28</f>
        <v>-1241.0194941573382</v>
      </c>
      <c r="Y28" s="271">
        <f>+W28*1000/G28</f>
        <v>-17.575237533528377</v>
      </c>
      <c r="Z28" s="235"/>
      <c r="AB28" s="146">
        <f>$C$28</f>
        <v>2024</v>
      </c>
      <c r="AC28" s="117"/>
      <c r="AD28" s="151">
        <f t="shared" ref="AD28:AD57" si="2">G28</f>
        <v>70611.819145535774</v>
      </c>
      <c r="AF28" s="152">
        <f>$AF$15*$AF$16*(1+E28)</f>
        <v>91.519108604348176</v>
      </c>
      <c r="AG28" s="272"/>
      <c r="AH28" s="152">
        <f>$AJ$11*(1+E28)</f>
        <v>24.66205099442374</v>
      </c>
      <c r="AI28" s="272"/>
      <c r="AJ28" s="152">
        <f>$AJ$13*(1+E28)</f>
        <v>1.8552137744668062</v>
      </c>
      <c r="AK28" s="272"/>
      <c r="AL28" s="153">
        <f>((AF28+AH28)*$AF$11*1000+AJ28*AD28)/1000</f>
        <v>1482.3746644857665</v>
      </c>
      <c r="AN28" s="154">
        <f>INDEX('(2.2)_Forward_Price_Curve'!$N:$N,MATCH($AB28,'(2.2)_Forward_Price_Curve'!$C:$C,0),1)</f>
        <v>3.8152500000000003</v>
      </c>
      <c r="AO28" s="279"/>
      <c r="AP28" s="154">
        <f>AN28*$AF$14/1000+$AJ$14/(1+E29)</f>
        <v>25.014956702120166</v>
      </c>
      <c r="AQ28" s="272"/>
      <c r="AR28" s="152">
        <f>$AJ$15*(1+E28)</f>
        <v>2.3317776187938599</v>
      </c>
      <c r="AS28" s="152"/>
      <c r="AT28" s="153">
        <f t="shared" ref="AT28:AT57" si="3">AL28-BF28</f>
        <v>1113.8176805642895</v>
      </c>
      <c r="AU28" s="272"/>
      <c r="AV28" s="153">
        <f t="shared" ref="AV28:AV57" si="4">(AP28+AR28)*AD28/1000</f>
        <v>1931.0026580893975</v>
      </c>
      <c r="AW28" s="273"/>
      <c r="AX28" s="155">
        <f>AT28+AV28</f>
        <v>3044.820338653687</v>
      </c>
      <c r="AZ28" s="146">
        <f>$C$28</f>
        <v>2024</v>
      </c>
      <c r="BA28" s="117"/>
      <c r="BB28" s="152">
        <f>$BD$14*$BD$15*(1+E28)</f>
        <v>55.623871319999999</v>
      </c>
      <c r="BD28" s="152">
        <f>$BB$16*(1+E28)</f>
        <v>2.8370005069081023</v>
      </c>
      <c r="BE28" s="272"/>
      <c r="BF28" s="153">
        <f>(BB28+BD28)*$BD$11</f>
        <v>368.55698392147701</v>
      </c>
      <c r="BG28" s="272"/>
      <c r="BH28" s="156"/>
    </row>
    <row r="29" spans="1:60" ht="12">
      <c r="B29" s="2"/>
      <c r="C29">
        <f>+IF(C28&gt;$G$13+$G$14,XX,C28+1)</f>
        <v>2025</v>
      </c>
      <c r="E29" s="169">
        <f>'(2.2)_Forward_Price_Curve'!Q43</f>
        <v>2.1000000000000001E-2</v>
      </c>
      <c r="G29" s="18">
        <v>70611.819145535774</v>
      </c>
      <c r="I29" s="28">
        <v>66.198584676231761</v>
      </c>
      <c r="K29" s="28">
        <v>15.804105749464359</v>
      </c>
      <c r="M29" s="28">
        <f>M28*(1+$E29)</f>
        <v>0</v>
      </c>
      <c r="O29" s="270">
        <f>'(2.2)_Forward_Price_Curve'!AH43</f>
        <v>1.7146167584000003</v>
      </c>
      <c r="Q29" s="28">
        <v>-7.6245259515570929</v>
      </c>
      <c r="S29" s="18">
        <f t="shared" ref="S29:S57" si="5">(I29*$G$11*1000+(K29+M29+O29+Q29)*G29)/1000</f>
        <v>1810.783440385045</v>
      </c>
      <c r="U29" s="18">
        <f t="shared" si="0"/>
        <v>3065.2097312941073</v>
      </c>
      <c r="W29" s="18">
        <f t="shared" si="1"/>
        <v>-1254.4262909090623</v>
      </c>
      <c r="Y29" s="271">
        <f t="shared" ref="Y29:Y57" si="6">+W29*1000/G29</f>
        <v>-17.765103719019109</v>
      </c>
      <c r="Z29" s="235"/>
      <c r="AB29" s="146">
        <f>+IF(AB28&gt;$G$13+$G$14,XX,AB28+1)</f>
        <v>2025</v>
      </c>
      <c r="AC29" s="117"/>
      <c r="AD29" s="151">
        <f t="shared" si="2"/>
        <v>70611.819145535774</v>
      </c>
      <c r="AF29" s="154">
        <f>AF28*(1+$E29)</f>
        <v>93.441009885039477</v>
      </c>
      <c r="AH29" s="154">
        <f>AH28*(1+$E29)</f>
        <v>25.179954065306635</v>
      </c>
      <c r="AJ29" s="154">
        <f>AJ28*(1+$E29)</f>
        <v>1.894173263730609</v>
      </c>
      <c r="AL29" s="153">
        <f t="shared" ref="AL29:AL57" si="7">((AF29+AH29)*$AF$11*1000+AJ29*AD29)/1000</f>
        <v>1513.5045324399671</v>
      </c>
      <c r="AN29" s="154">
        <f>INDEX('(2.2)_Forward_Price_Curve'!$N:$N,MATCH($AB29,'(2.2)_Forward_Price_Curve'!$C:$C,0),1)</f>
        <v>3.8012999999999999</v>
      </c>
      <c r="AP29" s="154">
        <f>AN29*$AF$14/1000+$AJ$14</f>
        <v>24.92349253961585</v>
      </c>
      <c r="AR29" s="154">
        <f>AR28*(1+$E29)</f>
        <v>2.3807449487885308</v>
      </c>
      <c r="AS29" s="154"/>
      <c r="AT29" s="153">
        <f t="shared" si="3"/>
        <v>1137.2078518561391</v>
      </c>
      <c r="AV29" s="153">
        <f t="shared" si="4"/>
        <v>1928.0018794379682</v>
      </c>
      <c r="AW29" s="273"/>
      <c r="AX29" s="155">
        <f t="shared" ref="AX29:AX57" si="8">AT29+AV29</f>
        <v>3065.2097312941073</v>
      </c>
      <c r="AZ29" s="146">
        <f>+IF(AZ28&gt;$G$13+$G$14,XX,AZ28+1)</f>
        <v>2025</v>
      </c>
      <c r="BA29" s="117"/>
      <c r="BB29" s="154">
        <f>BB28*(1+$E29)</f>
        <v>56.791972617719992</v>
      </c>
      <c r="BD29" s="154">
        <f>BD28*(1+$E29)</f>
        <v>2.8965775175531721</v>
      </c>
      <c r="BF29" s="153">
        <f t="shared" ref="BF29:BF57" si="9">(BB29+BD29)*$BD$11</f>
        <v>376.29668058382799</v>
      </c>
      <c r="BH29" s="157"/>
    </row>
    <row r="30" spans="1:60" ht="12">
      <c r="B30" s="2"/>
      <c r="C30">
        <f>+IF(C29&gt;$G$13+$G$14,XX,C29+1)</f>
        <v>2026</v>
      </c>
      <c r="E30" s="169">
        <f>'(2.2)_Forward_Price_Curve'!Q44</f>
        <v>2.1999999999999999E-2</v>
      </c>
      <c r="G30" s="18">
        <v>70611.819145535774</v>
      </c>
      <c r="I30" s="28">
        <v>66.198584676231761</v>
      </c>
      <c r="K30" s="28">
        <v>16.162858949977199</v>
      </c>
      <c r="M30" s="28">
        <f t="shared" ref="M30:M57" si="10">M29*(1+$E30)</f>
        <v>0</v>
      </c>
      <c r="O30" s="270">
        <f>'(2.2)_Forward_Price_Curve'!AH44</f>
        <v>1.7523383270848003</v>
      </c>
      <c r="Q30" s="28">
        <v>-7.6028235294117641</v>
      </c>
      <c r="S30" s="18">
        <f t="shared" si="5"/>
        <v>1840.3116925909428</v>
      </c>
      <c r="U30" s="18">
        <f t="shared" si="0"/>
        <v>3375.5444769408623</v>
      </c>
      <c r="W30" s="18">
        <f t="shared" si="1"/>
        <v>-1535.2327843499195</v>
      </c>
      <c r="Y30" s="271">
        <f t="shared" si="6"/>
        <v>-21.741867054659789</v>
      </c>
      <c r="Z30" s="235"/>
      <c r="AB30" s="146">
        <f>+IF(AB29&gt;$G$13+$G$14,XX,AB29+1)</f>
        <v>2026</v>
      </c>
      <c r="AC30" s="117"/>
      <c r="AD30" s="151">
        <f t="shared" si="2"/>
        <v>70611.819145535774</v>
      </c>
      <c r="AF30" s="154">
        <f t="shared" ref="AF30:AF57" si="11">AF29*(1+$E30)</f>
        <v>95.496712102510344</v>
      </c>
      <c r="AH30" s="154">
        <f t="shared" ref="AH30:AH57" si="12">AH29*(1+$E30)</f>
        <v>25.733913054743383</v>
      </c>
      <c r="AJ30" s="154">
        <f t="shared" ref="AJ30:AJ57" si="13">AJ29*(1+$E30)</f>
        <v>1.9358450755326824</v>
      </c>
      <c r="AL30" s="153">
        <f t="shared" si="7"/>
        <v>1546.8016321536466</v>
      </c>
      <c r="AN30" s="154">
        <f>INDEX('(2.2)_Forward_Price_Curve'!$N:$N,MATCH($AB30,'(2.2)_Forward_Price_Curve'!$C:$C,0),1)</f>
        <v>4.4095833333333339</v>
      </c>
      <c r="AP30" s="154">
        <f t="shared" ref="AP30:AP57" si="14">AN30*$AF$14/1000+$AJ$14</f>
        <v>28.911745274287149</v>
      </c>
      <c r="AR30" s="154">
        <f t="shared" ref="AR30:AR57" si="15">AR29*(1+$E30)</f>
        <v>2.4331213376618788</v>
      </c>
      <c r="AS30" s="154"/>
      <c r="AT30" s="153">
        <f t="shared" si="3"/>
        <v>1162.2264245969743</v>
      </c>
      <c r="AV30" s="153">
        <f t="shared" si="4"/>
        <v>2213.3180523438878</v>
      </c>
      <c r="AW30" s="273"/>
      <c r="AX30" s="155">
        <f t="shared" si="8"/>
        <v>3375.5444769408623</v>
      </c>
      <c r="AZ30" s="146">
        <f>+IF(AZ29&gt;$G$13+$G$14,XX,AZ29+1)</f>
        <v>2026</v>
      </c>
      <c r="BA30" s="117"/>
      <c r="BB30" s="154">
        <f t="shared" ref="BB30:BB57" si="16">BB29*(1+$E30)</f>
        <v>58.041396015309836</v>
      </c>
      <c r="BD30" s="154">
        <f t="shared" ref="BD30:BD57" si="17">BD29*(1+$E30)</f>
        <v>2.9603022229393421</v>
      </c>
      <c r="BF30" s="153">
        <f t="shared" si="9"/>
        <v>384.57520755667224</v>
      </c>
      <c r="BH30" s="157"/>
    </row>
    <row r="31" spans="1:60" ht="12">
      <c r="B31" s="2"/>
      <c r="C31">
        <f>+IF(C30&gt;$G$13+$G$14,XX,C30+1)</f>
        <v>2027</v>
      </c>
      <c r="E31" s="169">
        <f>'(2.2)_Forward_Price_Curve'!Q45</f>
        <v>2.1999999999999999E-2</v>
      </c>
      <c r="G31" s="18">
        <v>70611.819145535774</v>
      </c>
      <c r="I31" s="28">
        <v>66.198584676231761</v>
      </c>
      <c r="K31" s="28">
        <v>16.529755848141679</v>
      </c>
      <c r="M31" s="28">
        <f t="shared" si="10"/>
        <v>0</v>
      </c>
      <c r="O31" s="270">
        <f>'(2.2)_Forward_Price_Curve'!AH45</f>
        <v>1.7908897702806659</v>
      </c>
      <c r="Q31" s="28">
        <v>-8.2763737024221466</v>
      </c>
      <c r="S31" s="18">
        <f t="shared" si="5"/>
        <v>1821.3805345418837</v>
      </c>
      <c r="U31" s="18">
        <f t="shared" si="0"/>
        <v>3629.7179095004985</v>
      </c>
      <c r="W31" s="18">
        <f t="shared" si="1"/>
        <v>-1808.3373749586149</v>
      </c>
      <c r="Y31" s="271">
        <f t="shared" si="6"/>
        <v>-25.609556542248377</v>
      </c>
      <c r="Z31" s="235"/>
      <c r="AB31" s="146">
        <f>+IF(AB30&gt;$G$13+$G$14,XX,AB30+1)</f>
        <v>2027</v>
      </c>
      <c r="AC31" s="117"/>
      <c r="AD31" s="151">
        <f t="shared" si="2"/>
        <v>70611.819145535774</v>
      </c>
      <c r="AF31" s="154">
        <f t="shared" si="11"/>
        <v>97.597639768765575</v>
      </c>
      <c r="AH31" s="154">
        <f t="shared" si="12"/>
        <v>26.300059141947738</v>
      </c>
      <c r="AJ31" s="154">
        <f t="shared" si="13"/>
        <v>1.9784336671944014</v>
      </c>
      <c r="AL31" s="153">
        <f t="shared" si="7"/>
        <v>1580.8312680610268</v>
      </c>
      <c r="AN31" s="154">
        <f>INDEX('(2.2)_Forward_Price_Curve'!$N:$N,MATCH($AB31,'(2.2)_Forward_Price_Curve'!$C:$C,0),1)</f>
        <v>4.8951958333333341</v>
      </c>
      <c r="AP31" s="154">
        <f t="shared" si="14"/>
        <v>32.0956980064825</v>
      </c>
      <c r="AR31" s="154">
        <f t="shared" si="15"/>
        <v>2.4866500070904403</v>
      </c>
      <c r="AS31" s="154"/>
      <c r="AT31" s="153">
        <f t="shared" si="3"/>
        <v>1187.7954059381077</v>
      </c>
      <c r="AV31" s="153">
        <f t="shared" si="4"/>
        <v>2441.9225035623908</v>
      </c>
      <c r="AW31" s="273"/>
      <c r="AX31" s="155">
        <f t="shared" si="8"/>
        <v>3629.7179095004985</v>
      </c>
      <c r="AZ31" s="146">
        <f>+IF(AZ30&gt;$G$13+$G$14,XX,AZ30+1)</f>
        <v>2027</v>
      </c>
      <c r="BA31" s="117"/>
      <c r="BB31" s="154">
        <f t="shared" si="16"/>
        <v>59.31830672764665</v>
      </c>
      <c r="BD31" s="154">
        <f t="shared" si="17"/>
        <v>3.0254288718440079</v>
      </c>
      <c r="BF31" s="153">
        <f t="shared" si="9"/>
        <v>393.03586212291901</v>
      </c>
      <c r="BH31" s="157"/>
    </row>
    <row r="32" spans="1:60" ht="12">
      <c r="B32" s="2"/>
      <c r="C32">
        <f>+IF(C31&gt;$G$13+$G$14,XX,C31+1)</f>
        <v>2028</v>
      </c>
      <c r="E32" s="169">
        <f>'(2.2)_Forward_Price_Curve'!Q46</f>
        <v>2.1999999999999999E-2</v>
      </c>
      <c r="G32" s="18">
        <v>70611.819145535774</v>
      </c>
      <c r="I32" s="28">
        <v>66.198584676231761</v>
      </c>
      <c r="K32" s="28">
        <v>16.904981305894495</v>
      </c>
      <c r="M32" s="28">
        <f t="shared" si="10"/>
        <v>0</v>
      </c>
      <c r="O32" s="270">
        <f>'(2.2)_Forward_Price_Curve'!AH46</f>
        <v>1.8302893452268405</v>
      </c>
      <c r="Q32" s="28">
        <v>-8.2538961937716255</v>
      </c>
      <c r="S32" s="18">
        <f t="shared" si="5"/>
        <v>1852.2451401397095</v>
      </c>
      <c r="U32" s="18">
        <f t="shared" si="0"/>
        <v>3664.2880203825171</v>
      </c>
      <c r="W32" s="18">
        <f t="shared" si="1"/>
        <v>-1812.0428802428075</v>
      </c>
      <c r="Y32" s="271">
        <f t="shared" si="6"/>
        <v>-25.662033667594141</v>
      </c>
      <c r="Z32" s="235"/>
      <c r="AB32" s="146">
        <f>+IF(AB31&gt;$G$13+$G$14,XX,AB31+1)</f>
        <v>2028</v>
      </c>
      <c r="AC32" s="117"/>
      <c r="AD32" s="151">
        <f t="shared" si="2"/>
        <v>70611.819145535774</v>
      </c>
      <c r="AF32" s="154">
        <f t="shared" si="11"/>
        <v>99.744787843678424</v>
      </c>
      <c r="AH32" s="154">
        <f t="shared" si="12"/>
        <v>26.87866044307059</v>
      </c>
      <c r="AJ32" s="154">
        <f t="shared" si="13"/>
        <v>2.0219592078726785</v>
      </c>
      <c r="AL32" s="153">
        <f t="shared" si="7"/>
        <v>1615.6095559583696</v>
      </c>
      <c r="AN32" s="154">
        <f>INDEX('(2.2)_Forward_Price_Curve'!$N:$N,MATCH($AB32,'(2.2)_Forward_Price_Curve'!$C:$C,0),1)</f>
        <v>4.9050791666666669</v>
      </c>
      <c r="AP32" s="154">
        <f t="shared" si="14"/>
        <v>32.160498781112203</v>
      </c>
      <c r="AR32" s="154">
        <f t="shared" si="15"/>
        <v>2.54135630724643</v>
      </c>
      <c r="AS32" s="154"/>
      <c r="AT32" s="153">
        <f t="shared" si="3"/>
        <v>1213.9269048687463</v>
      </c>
      <c r="AV32" s="153">
        <f t="shared" si="4"/>
        <v>2450.3611155137705</v>
      </c>
      <c r="AW32" s="273"/>
      <c r="AX32" s="155">
        <f t="shared" si="8"/>
        <v>3664.2880203825171</v>
      </c>
      <c r="AZ32" s="146">
        <f>+IF(AZ31&gt;$G$13+$G$14,XX,AZ31+1)</f>
        <v>2028</v>
      </c>
      <c r="BA32" s="117"/>
      <c r="BB32" s="154">
        <f t="shared" si="16"/>
        <v>60.623309475654878</v>
      </c>
      <c r="BD32" s="154">
        <f t="shared" si="17"/>
        <v>3.0919883070245762</v>
      </c>
      <c r="BF32" s="153">
        <f t="shared" si="9"/>
        <v>401.68265108962328</v>
      </c>
      <c r="BH32" s="157"/>
    </row>
    <row r="33" spans="2:60" ht="12">
      <c r="B33" s="2"/>
      <c r="C33">
        <f>+IF(C32&gt;$G$13+$G$14,XX,C32+1)</f>
        <v>2029</v>
      </c>
      <c r="E33" s="169">
        <f>'(2.2)_Forward_Price_Curve'!Q47</f>
        <v>2.1999999999999999E-2</v>
      </c>
      <c r="G33" s="18">
        <v>70611.819145535774</v>
      </c>
      <c r="I33" s="28">
        <v>66.198584676231761</v>
      </c>
      <c r="K33" s="28">
        <v>17.288724381538298</v>
      </c>
      <c r="M33" s="28">
        <f t="shared" si="10"/>
        <v>0</v>
      </c>
      <c r="O33" s="270">
        <f>'(2.2)_Forward_Price_Curve'!AH47</f>
        <v>1.8705557108218309</v>
      </c>
      <c r="Q33" s="28">
        <v>-8.5391280276816612</v>
      </c>
      <c r="S33" s="18">
        <f t="shared" si="5"/>
        <v>1862.0444794498578</v>
      </c>
      <c r="U33" s="18">
        <f t="shared" si="0"/>
        <v>3733.5946316983427</v>
      </c>
      <c r="W33" s="18">
        <f t="shared" si="1"/>
        <v>-1871.5501522484849</v>
      </c>
      <c r="Y33" s="271">
        <f t="shared" si="6"/>
        <v>-26.50477179168961</v>
      </c>
      <c r="Z33" s="235"/>
      <c r="AB33" s="146">
        <f>+IF(AB32&gt;$G$13+$G$14,XX,AB32+1)</f>
        <v>2029</v>
      </c>
      <c r="AC33" s="117"/>
      <c r="AD33" s="151">
        <f t="shared" si="2"/>
        <v>70611.819145535774</v>
      </c>
      <c r="AF33" s="154">
        <f t="shared" si="11"/>
        <v>101.93917317623935</v>
      </c>
      <c r="AH33" s="154">
        <f t="shared" si="12"/>
        <v>27.469990972818142</v>
      </c>
      <c r="AJ33" s="154">
        <f t="shared" si="13"/>
        <v>2.0664423104458773</v>
      </c>
      <c r="AL33" s="153">
        <f t="shared" si="7"/>
        <v>1651.1529661894533</v>
      </c>
      <c r="AN33" s="154">
        <f>INDEX('(2.2)_Forward_Price_Curve'!$N:$N,MATCH($AB33,'(2.2)_Forward_Price_Curve'!$C:$C,0),1)</f>
        <v>4.9885666666666664</v>
      </c>
      <c r="AP33" s="154">
        <f t="shared" si="14"/>
        <v>32.707890484845443</v>
      </c>
      <c r="AR33" s="154">
        <f t="shared" si="15"/>
        <v>2.5972661460058517</v>
      </c>
      <c r="AS33" s="154"/>
      <c r="AT33" s="153">
        <f t="shared" si="3"/>
        <v>1240.6332967758583</v>
      </c>
      <c r="AV33" s="153">
        <f t="shared" si="4"/>
        <v>2492.9613349224846</v>
      </c>
      <c r="AW33" s="273"/>
      <c r="AX33" s="155">
        <f t="shared" si="8"/>
        <v>3733.5946316983427</v>
      </c>
      <c r="AZ33" s="146">
        <f>+IF(AZ32&gt;$G$13+$G$14,XX,AZ32+1)</f>
        <v>2029</v>
      </c>
      <c r="BA33" s="117"/>
      <c r="BB33" s="154">
        <f t="shared" si="16"/>
        <v>61.957022284119283</v>
      </c>
      <c r="BD33" s="154">
        <f t="shared" si="17"/>
        <v>3.1600120497791169</v>
      </c>
      <c r="BF33" s="153">
        <f t="shared" si="9"/>
        <v>410.51966941359495</v>
      </c>
      <c r="BH33" s="157"/>
    </row>
    <row r="34" spans="2:60" ht="12">
      <c r="B34" s="2"/>
      <c r="C34">
        <f>+IF(C33&gt;$G$13+$G$14,XX,C33+1)</f>
        <v>2030</v>
      </c>
      <c r="E34" s="169">
        <f>'(2.2)_Forward_Price_Curve'!Q48</f>
        <v>2.1999999999999999E-2</v>
      </c>
      <c r="G34" s="18">
        <v>70611.819145535774</v>
      </c>
      <c r="I34" s="28">
        <v>66.198584676231761</v>
      </c>
      <c r="K34" s="28">
        <v>17.681178424999217</v>
      </c>
      <c r="M34" s="28">
        <f t="shared" si="10"/>
        <v>0</v>
      </c>
      <c r="O34" s="270">
        <f>'(2.2)_Forward_Price_Curve'!AH48</f>
        <v>1.9117079364599112</v>
      </c>
      <c r="Q34" s="28">
        <v>-8.8235847750865055</v>
      </c>
      <c r="S34" s="18">
        <f t="shared" si="5"/>
        <v>1872.5761985013687</v>
      </c>
      <c r="U34" s="18">
        <f t="shared" si="0"/>
        <v>3837.9377597668672</v>
      </c>
      <c r="W34" s="18">
        <f t="shared" si="1"/>
        <v>-1965.3615612654985</v>
      </c>
      <c r="Y34" s="271">
        <f t="shared" si="6"/>
        <v>-27.833322877785577</v>
      </c>
      <c r="Z34" s="235"/>
      <c r="AB34" s="146">
        <f>+IF(AB33&gt;$G$13+$G$14,XX,AB33+1)</f>
        <v>2030</v>
      </c>
      <c r="AC34" s="117"/>
      <c r="AD34" s="151">
        <f t="shared" si="2"/>
        <v>70611.819145535774</v>
      </c>
      <c r="AF34" s="154">
        <f t="shared" si="11"/>
        <v>104.18183498611661</v>
      </c>
      <c r="AH34" s="154">
        <f t="shared" si="12"/>
        <v>28.07433077422014</v>
      </c>
      <c r="AJ34" s="154">
        <f t="shared" si="13"/>
        <v>2.1119040412756869</v>
      </c>
      <c r="AL34" s="153">
        <f t="shared" si="7"/>
        <v>1687.4783314456215</v>
      </c>
      <c r="AN34" s="154">
        <f>INDEX('(2.2)_Forward_Price_Curve'!$N:$N,MATCH($AB34,'(2.2)_Forward_Price_Curve'!$C:$C,0),1)</f>
        <v>5.1462750000000002</v>
      </c>
      <c r="AP34" s="154">
        <f t="shared" si="14"/>
        <v>33.74191633633535</v>
      </c>
      <c r="AR34" s="154">
        <f t="shared" si="15"/>
        <v>2.6544060012179806</v>
      </c>
      <c r="AS34" s="154"/>
      <c r="AT34" s="153">
        <f t="shared" si="3"/>
        <v>1267.9272293049276</v>
      </c>
      <c r="AV34" s="153">
        <f t="shared" si="4"/>
        <v>2570.0105304619397</v>
      </c>
      <c r="AW34" s="273"/>
      <c r="AX34" s="155">
        <f t="shared" si="8"/>
        <v>3837.9377597668672</v>
      </c>
      <c r="AZ34" s="146">
        <f>+IF(AZ33&gt;$G$13+$G$14,XX,AZ33+1)</f>
        <v>2030</v>
      </c>
      <c r="BA34" s="117"/>
      <c r="BB34" s="154">
        <f t="shared" si="16"/>
        <v>63.320076774369909</v>
      </c>
      <c r="BD34" s="154">
        <f t="shared" si="17"/>
        <v>3.2295323148742576</v>
      </c>
      <c r="BF34" s="153">
        <f t="shared" si="9"/>
        <v>419.55110214069407</v>
      </c>
      <c r="BH34" s="157"/>
    </row>
    <row r="35" spans="2:60" ht="12">
      <c r="B35" s="2"/>
      <c r="C35">
        <f>+IF(C34&gt;$G$13+$G$14,XX,C34+1)</f>
        <v>2031</v>
      </c>
      <c r="E35" s="169">
        <f>'(2.2)_Forward_Price_Curve'!Q49</f>
        <v>2.1999999999999999E-2</v>
      </c>
      <c r="G35" s="18">
        <v>70611.819145535774</v>
      </c>
      <c r="I35" s="28">
        <v>66.198584676231761</v>
      </c>
      <c r="K35" s="28">
        <v>18.082541175246696</v>
      </c>
      <c r="M35" s="28">
        <f t="shared" si="10"/>
        <v>0</v>
      </c>
      <c r="O35" s="270">
        <f>'(2.2)_Forward_Price_Curve'!AH49</f>
        <v>1.9537655110620293</v>
      </c>
      <c r="Q35" s="28">
        <v>-8.7995570934256051</v>
      </c>
      <c r="S35" s="18">
        <f t="shared" si="5"/>
        <v>1905.5835525970292</v>
      </c>
      <c r="U35" s="18">
        <f t="shared" si="0"/>
        <v>3928.9710214037214</v>
      </c>
      <c r="W35" s="18">
        <f t="shared" si="1"/>
        <v>-2023.3874688066921</v>
      </c>
      <c r="Y35" s="271">
        <f t="shared" si="6"/>
        <v>-28.655082014476253</v>
      </c>
      <c r="Z35" s="235"/>
      <c r="AB35" s="146">
        <f>+IF(AB34&gt;$G$13+$G$14,XX,AB34+1)</f>
        <v>2031</v>
      </c>
      <c r="AC35" s="117"/>
      <c r="AD35" s="151">
        <f t="shared" si="2"/>
        <v>70611.819145535774</v>
      </c>
      <c r="AF35" s="154">
        <f t="shared" si="11"/>
        <v>106.47383535581118</v>
      </c>
      <c r="AH35" s="154">
        <f t="shared" si="12"/>
        <v>28.691966051252983</v>
      </c>
      <c r="AJ35" s="154">
        <f t="shared" si="13"/>
        <v>2.1583659301837521</v>
      </c>
      <c r="AL35" s="153">
        <f t="shared" si="7"/>
        <v>1724.6028547374249</v>
      </c>
      <c r="AN35" s="154">
        <f>INDEX('(2.2)_Forward_Price_Curve'!$N:$N,MATCH($AB35,'(2.2)_Forward_Price_Curve'!$C:$C,0),1)</f>
        <v>5.2737458333333338</v>
      </c>
      <c r="AP35" s="154">
        <f t="shared" si="14"/>
        <v>34.577687878597722</v>
      </c>
      <c r="AR35" s="154">
        <f t="shared" si="15"/>
        <v>2.7128029332447761</v>
      </c>
      <c r="AS35" s="154"/>
      <c r="AT35" s="153">
        <f t="shared" si="3"/>
        <v>1295.8216283496356</v>
      </c>
      <c r="AV35" s="153">
        <f t="shared" si="4"/>
        <v>2633.149393054086</v>
      </c>
      <c r="AW35" s="273"/>
      <c r="AX35" s="155">
        <f t="shared" si="8"/>
        <v>3928.9710214037214</v>
      </c>
      <c r="AZ35" s="146">
        <f>+IF(AZ34&gt;$G$13+$G$14,XX,AZ34+1)</f>
        <v>2031</v>
      </c>
      <c r="BA35" s="117"/>
      <c r="BB35" s="154">
        <f t="shared" si="16"/>
        <v>64.713118463406047</v>
      </c>
      <c r="BD35" s="154">
        <f t="shared" si="17"/>
        <v>3.3005820258014915</v>
      </c>
      <c r="BF35" s="153">
        <f t="shared" si="9"/>
        <v>428.78122638778927</v>
      </c>
      <c r="BH35" s="157"/>
    </row>
    <row r="36" spans="2:60" ht="12">
      <c r="B36" s="2"/>
      <c r="C36">
        <f>+IF(C35&gt;$G$13+$G$14,XX,C35+1)</f>
        <v>2032</v>
      </c>
      <c r="E36" s="169">
        <f>'(2.2)_Forward_Price_Curve'!Q50</f>
        <v>2.1999999999999999E-2</v>
      </c>
      <c r="G36" s="18">
        <v>70611.819145535774</v>
      </c>
      <c r="I36" s="28">
        <v>66.198584676231761</v>
      </c>
      <c r="K36" s="28">
        <v>18.493014859924795</v>
      </c>
      <c r="M36" s="28">
        <f t="shared" si="10"/>
        <v>0</v>
      </c>
      <c r="O36" s="270">
        <f>'(2.2)_Forward_Price_Curve'!AH50</f>
        <v>1.9967483523053939</v>
      </c>
      <c r="Q36" s="28">
        <v>-9.0832387543252597</v>
      </c>
      <c r="S36" s="18">
        <f t="shared" si="5"/>
        <v>1917.5716646614069</v>
      </c>
      <c r="U36" s="18">
        <f t="shared" si="0"/>
        <v>4122.2460193015586</v>
      </c>
      <c r="W36" s="18">
        <f t="shared" si="1"/>
        <v>-2204.6743546401517</v>
      </c>
      <c r="Y36" s="271">
        <f t="shared" si="6"/>
        <v>-31.222455126048626</v>
      </c>
      <c r="Z36" s="235"/>
      <c r="AB36" s="146">
        <f>+IF(AB35&gt;$G$13+$G$14,XX,AB35+1)</f>
        <v>2032</v>
      </c>
      <c r="AC36" s="117"/>
      <c r="AD36" s="151">
        <f t="shared" si="2"/>
        <v>70611.819145535774</v>
      </c>
      <c r="AF36" s="154">
        <f t="shared" si="11"/>
        <v>108.81625973363903</v>
      </c>
      <c r="AH36" s="154">
        <f t="shared" si="12"/>
        <v>29.323189304380548</v>
      </c>
      <c r="AJ36" s="154">
        <f t="shared" si="13"/>
        <v>2.2058499806477947</v>
      </c>
      <c r="AL36" s="153">
        <f t="shared" si="7"/>
        <v>1762.5441175416483</v>
      </c>
      <c r="AN36" s="154">
        <f>INDEX('(2.2)_Forward_Price_Curve'!$N:$N,MATCH($AB36,'(2.2)_Forward_Price_Curve'!$C:$C,0),1)</f>
        <v>5.6205333333333334</v>
      </c>
      <c r="AP36" s="154">
        <f t="shared" si="14"/>
        <v>36.851424671032426</v>
      </c>
      <c r="AR36" s="154">
        <f t="shared" si="15"/>
        <v>2.7724845977761614</v>
      </c>
      <c r="AS36" s="154"/>
      <c r="AT36" s="153">
        <f t="shared" si="3"/>
        <v>1324.3297041733276</v>
      </c>
      <c r="AV36" s="153">
        <f t="shared" si="4"/>
        <v>2797.916315128231</v>
      </c>
      <c r="AW36" s="273"/>
      <c r="AX36" s="155">
        <f t="shared" si="8"/>
        <v>4122.2460193015586</v>
      </c>
      <c r="AZ36" s="146">
        <f>+IF(AZ35&gt;$G$13+$G$14,XX,AZ35+1)</f>
        <v>2032</v>
      </c>
      <c r="BA36" s="117"/>
      <c r="BB36" s="154">
        <f t="shared" si="16"/>
        <v>66.136807069600977</v>
      </c>
      <c r="BD36" s="154">
        <f t="shared" si="17"/>
        <v>3.3731948303691244</v>
      </c>
      <c r="BF36" s="153">
        <f t="shared" si="9"/>
        <v>438.21441336832066</v>
      </c>
      <c r="BH36" s="157"/>
    </row>
    <row r="37" spans="2:60" ht="12">
      <c r="B37" s="2"/>
      <c r="C37">
        <f>+IF(C36&gt;$G$13+$G$14,XX,C36+1)</f>
        <v>2033</v>
      </c>
      <c r="E37" s="169">
        <f>'(2.2)_Forward_Price_Curve'!Q51</f>
        <v>2.1999999999999999E-2</v>
      </c>
      <c r="G37" s="18">
        <v>70611.819145535774</v>
      </c>
      <c r="I37" s="28">
        <v>66.198584676231761</v>
      </c>
      <c r="K37" s="28">
        <v>18.912806297245087</v>
      </c>
      <c r="M37" s="28">
        <f t="shared" si="10"/>
        <v>0</v>
      </c>
      <c r="O37" s="270">
        <f>'(2.2)_Forward_Price_Curve'!AH51</f>
        <v>2.0406768160561128</v>
      </c>
      <c r="Q37" s="28">
        <v>-9.05766089965398</v>
      </c>
      <c r="S37" s="18">
        <f t="shared" si="5"/>
        <v>1952.1218692981981</v>
      </c>
      <c r="U37" s="18">
        <f t="shared" si="0"/>
        <v>4280.2429532685892</v>
      </c>
      <c r="W37" s="18">
        <f t="shared" si="1"/>
        <v>-2328.1210839703908</v>
      </c>
      <c r="Y37" s="271">
        <f t="shared" si="6"/>
        <v>-32.970699695074764</v>
      </c>
      <c r="Z37" s="235"/>
      <c r="AB37" s="146">
        <f>+IF(AB36&gt;$G$13+$G$14,XX,AB36+1)</f>
        <v>2033</v>
      </c>
      <c r="AC37" s="117"/>
      <c r="AD37" s="151">
        <f t="shared" si="2"/>
        <v>70611.819145535774</v>
      </c>
      <c r="AF37" s="154">
        <f t="shared" si="11"/>
        <v>111.21021744777909</v>
      </c>
      <c r="AH37" s="154">
        <f t="shared" si="12"/>
        <v>29.968299469076921</v>
      </c>
      <c r="AJ37" s="154">
        <f t="shared" si="13"/>
        <v>2.2543786802220462</v>
      </c>
      <c r="AL37" s="153">
        <f t="shared" si="7"/>
        <v>1801.3200881275652</v>
      </c>
      <c r="AN37" s="154">
        <f>INDEX('(2.2)_Forward_Price_Curve'!$N:$N,MATCH($AB37,'(2.2)_Forward_Price_Curve'!$C:$C,0),1)</f>
        <v>5.8895666666666662</v>
      </c>
      <c r="AP37" s="154">
        <f t="shared" si="14"/>
        <v>38.615360765589891</v>
      </c>
      <c r="AR37" s="154">
        <f t="shared" si="15"/>
        <v>2.8334792589272371</v>
      </c>
      <c r="AS37" s="154"/>
      <c r="AT37" s="153">
        <f t="shared" si="3"/>
        <v>1353.4649576651416</v>
      </c>
      <c r="AV37" s="153">
        <f t="shared" si="4"/>
        <v>2926.7779956034478</v>
      </c>
      <c r="AW37" s="273"/>
      <c r="AX37" s="155">
        <f t="shared" si="8"/>
        <v>4280.2429532685892</v>
      </c>
      <c r="AZ37" s="146">
        <f>+IF(AZ36&gt;$G$13+$G$14,XX,AZ36+1)</f>
        <v>2033</v>
      </c>
      <c r="BA37" s="117"/>
      <c r="BB37" s="154">
        <f t="shared" si="16"/>
        <v>67.591816825132199</v>
      </c>
      <c r="BD37" s="154">
        <f t="shared" si="17"/>
        <v>3.447405116637245</v>
      </c>
      <c r="BF37" s="153">
        <f t="shared" si="9"/>
        <v>447.85513046242369</v>
      </c>
      <c r="BH37" s="157"/>
    </row>
    <row r="38" spans="2:60" ht="12">
      <c r="B38" s="2"/>
      <c r="C38">
        <f>+IF(C37&gt;$G$13+$G$14,XX,C37+1)</f>
        <v>2034</v>
      </c>
      <c r="E38" s="169">
        <f>'(2.2)_Forward_Price_Curve'!Q52</f>
        <v>2.1000000000000001E-2</v>
      </c>
      <c r="G38" s="18">
        <v>70611.819145535774</v>
      </c>
      <c r="I38" s="28">
        <v>66.198584676231761</v>
      </c>
      <c r="K38" s="28">
        <v>19.342127000192548</v>
      </c>
      <c r="M38" s="28">
        <f t="shared" si="10"/>
        <v>0</v>
      </c>
      <c r="O38" s="270">
        <f>'(2.2)_Forward_Price_Curve'!AH52</f>
        <v>2.0835310291932911</v>
      </c>
      <c r="Q38" s="28">
        <v>0.8347681660899654</v>
      </c>
      <c r="S38" s="18">
        <f t="shared" si="5"/>
        <v>2683.9854111781783</v>
      </c>
      <c r="U38" s="18">
        <f t="shared" si="0"/>
        <v>4352.2256923609038</v>
      </c>
      <c r="W38" s="18">
        <f t="shared" si="1"/>
        <v>-1668.2402811827255</v>
      </c>
      <c r="Y38" s="271">
        <f t="shared" si="6"/>
        <v>-23.625510592559138</v>
      </c>
      <c r="Z38" s="235"/>
      <c r="AB38" s="146">
        <f>+IF(AB37&gt;$G$13+$G$14,XX,AB37+1)</f>
        <v>2034</v>
      </c>
      <c r="AC38" s="117"/>
      <c r="AD38" s="151">
        <f t="shared" si="2"/>
        <v>70611.819145535774</v>
      </c>
      <c r="AF38" s="154">
        <f t="shared" si="11"/>
        <v>113.54563201418243</v>
      </c>
      <c r="AH38" s="154">
        <f t="shared" si="12"/>
        <v>30.597633757927532</v>
      </c>
      <c r="AJ38" s="154">
        <f t="shared" si="13"/>
        <v>2.3017206325067092</v>
      </c>
      <c r="AL38" s="153">
        <f t="shared" si="7"/>
        <v>1839.1478099782437</v>
      </c>
      <c r="AN38" s="154">
        <f>INDEX('(2.2)_Forward_Price_Curve'!$N:$N,MATCH($AB38,'(2.2)_Forward_Price_Curve'!$C:$C,0),1)</f>
        <v>5.9745791666666674</v>
      </c>
      <c r="AP38" s="154">
        <f t="shared" si="14"/>
        <v>39.172751239776126</v>
      </c>
      <c r="AR38" s="154">
        <f t="shared" si="15"/>
        <v>2.8929823233647087</v>
      </c>
      <c r="AS38" s="154"/>
      <c r="AT38" s="153">
        <f t="shared" si="3"/>
        <v>1381.8877217761092</v>
      </c>
      <c r="AV38" s="153">
        <f t="shared" si="4"/>
        <v>2970.3379705847942</v>
      </c>
      <c r="AW38" s="273"/>
      <c r="AX38" s="155">
        <f t="shared" si="8"/>
        <v>4352.2256923609038</v>
      </c>
      <c r="AZ38" s="146">
        <f>+IF(AZ37&gt;$G$13+$G$14,XX,AZ37+1)</f>
        <v>2034</v>
      </c>
      <c r="BA38" s="117"/>
      <c r="BB38" s="154">
        <f t="shared" si="16"/>
        <v>69.01124497845997</v>
      </c>
      <c r="BD38" s="154">
        <f t="shared" si="17"/>
        <v>3.5198006240866269</v>
      </c>
      <c r="BF38" s="153">
        <f t="shared" si="9"/>
        <v>457.26008820213457</v>
      </c>
      <c r="BH38" s="157"/>
    </row>
    <row r="39" spans="2:60" ht="12">
      <c r="B39" s="2"/>
      <c r="C39">
        <f>+IF(C38&gt;$G$13+$G$14,XX,C38+1)</f>
        <v>2035</v>
      </c>
      <c r="E39" s="169">
        <f>'(2.2)_Forward_Price_Curve'!Q53</f>
        <v>2.1000000000000001E-2</v>
      </c>
      <c r="G39" s="18">
        <v>70611.819145535774</v>
      </c>
      <c r="I39" s="28">
        <v>66.198584676231761</v>
      </c>
      <c r="K39" s="28">
        <v>19.781193283096918</v>
      </c>
      <c r="M39" s="28">
        <f t="shared" si="10"/>
        <v>0</v>
      </c>
      <c r="O39" s="270">
        <f>'(2.2)_Forward_Price_Curve'!AH53</f>
        <v>2.12728518080635</v>
      </c>
      <c r="Q39" s="28">
        <v>0.86112110726643598</v>
      </c>
      <c r="S39" s="18">
        <f t="shared" si="5"/>
        <v>2719.9390694963972</v>
      </c>
      <c r="U39" s="18">
        <f t="shared" si="0"/>
        <v>4426.7396419323059</v>
      </c>
      <c r="W39" s="18">
        <f t="shared" si="1"/>
        <v>-1706.8005724359086</v>
      </c>
      <c r="Y39" s="271">
        <f t="shared" si="6"/>
        <v>-24.171598934706331</v>
      </c>
      <c r="Z39" s="235"/>
      <c r="AB39" s="146">
        <f>+IF(AB38&gt;$G$13+$G$14,XX,AB38+1)</f>
        <v>2035</v>
      </c>
      <c r="AC39" s="117"/>
      <c r="AD39" s="151">
        <f t="shared" si="2"/>
        <v>70611.819145535774</v>
      </c>
      <c r="AF39" s="154">
        <f t="shared" si="11"/>
        <v>115.93009028648025</v>
      </c>
      <c r="AH39" s="154">
        <f t="shared" si="12"/>
        <v>31.240184066844009</v>
      </c>
      <c r="AJ39" s="154">
        <f t="shared" si="13"/>
        <v>2.3500567657893501</v>
      </c>
      <c r="AL39" s="153">
        <f t="shared" si="7"/>
        <v>1877.7699139877866</v>
      </c>
      <c r="AN39" s="154">
        <f>INDEX('(2.2)_Forward_Price_Curve'!$N:$N,MATCH($AB39,'(2.2)_Forward_Price_Curve'!$C:$C,0),1)</f>
        <v>6.063579166666667</v>
      </c>
      <c r="AP39" s="154">
        <f t="shared" si="14"/>
        <v>39.756286039982839</v>
      </c>
      <c r="AR39" s="154">
        <f t="shared" si="15"/>
        <v>2.9537349521553673</v>
      </c>
      <c r="AS39" s="154"/>
      <c r="AT39" s="153">
        <f t="shared" si="3"/>
        <v>1410.9073639334072</v>
      </c>
      <c r="AV39" s="153">
        <f t="shared" si="4"/>
        <v>3015.8322779988989</v>
      </c>
      <c r="AW39" s="273"/>
      <c r="AX39" s="155">
        <f t="shared" si="8"/>
        <v>4426.7396419323059</v>
      </c>
      <c r="AZ39" s="146">
        <f>+IF(AZ38&gt;$G$13+$G$14,XX,AZ38+1)</f>
        <v>2035</v>
      </c>
      <c r="BA39" s="117"/>
      <c r="BB39" s="154">
        <f t="shared" si="16"/>
        <v>70.460481123007625</v>
      </c>
      <c r="BD39" s="154">
        <f t="shared" si="17"/>
        <v>3.5937164371924455</v>
      </c>
      <c r="BF39" s="153">
        <f t="shared" si="9"/>
        <v>466.86255005437937</v>
      </c>
      <c r="BH39" s="157"/>
    </row>
    <row r="40" spans="2:60" ht="12">
      <c r="B40" s="2"/>
      <c r="C40">
        <f>+IF(C39&gt;$G$13+$G$14,XX,C39+1)</f>
        <v>2036</v>
      </c>
      <c r="E40" s="169">
        <f>'(2.2)_Forward_Price_Curve'!Q54</f>
        <v>2.1999999999999999E-2</v>
      </c>
      <c r="G40" s="18">
        <v>70611.819145535774</v>
      </c>
      <c r="I40" s="28">
        <v>66.198584676231761</v>
      </c>
      <c r="K40" s="28">
        <v>20.230226370623217</v>
      </c>
      <c r="M40" s="28">
        <f t="shared" si="10"/>
        <v>0</v>
      </c>
      <c r="O40" s="270">
        <f>'(2.2)_Forward_Price_Curve'!AH54</f>
        <v>2.1740854547840898</v>
      </c>
      <c r="Q40" s="28">
        <v>0.88786159169550172</v>
      </c>
      <c r="S40" s="18">
        <f t="shared" si="5"/>
        <v>2756.8389593956131</v>
      </c>
      <c r="U40" s="18">
        <f t="shared" si="0"/>
        <v>4443.3477051299978</v>
      </c>
      <c r="W40" s="18">
        <f t="shared" si="1"/>
        <v>-1686.5087457343848</v>
      </c>
      <c r="Y40" s="271">
        <f t="shared" si="6"/>
        <v>-23.884227401908102</v>
      </c>
      <c r="Z40" s="235"/>
      <c r="AB40" s="146">
        <f>+IF(AB39&gt;$G$13+$G$14,XX,AB39+1)</f>
        <v>2036</v>
      </c>
      <c r="AC40" s="117"/>
      <c r="AD40" s="151">
        <f t="shared" si="2"/>
        <v>70611.819145535774</v>
      </c>
      <c r="AF40" s="154">
        <f t="shared" si="11"/>
        <v>118.48055227278282</v>
      </c>
      <c r="AH40" s="154">
        <f t="shared" si="12"/>
        <v>31.927468116314579</v>
      </c>
      <c r="AJ40" s="154">
        <f t="shared" si="13"/>
        <v>2.4017580146367159</v>
      </c>
      <c r="AL40" s="153">
        <f t="shared" si="7"/>
        <v>1919.0808520955181</v>
      </c>
      <c r="AN40" s="154">
        <f>INDEX('(2.2)_Forward_Price_Curve'!$N:$N,MATCH($AB40,'(2.2)_Forward_Price_Curve'!$C:$C,0),1)</f>
        <v>6.022495833333334</v>
      </c>
      <c r="AP40" s="154">
        <f t="shared" si="14"/>
        <v>39.48692025674135</v>
      </c>
      <c r="AR40" s="154">
        <f t="shared" si="15"/>
        <v>3.0187171211027852</v>
      </c>
      <c r="AS40" s="154"/>
      <c r="AT40" s="153">
        <f t="shared" si="3"/>
        <v>1441.9473259399424</v>
      </c>
      <c r="AV40" s="153">
        <f t="shared" si="4"/>
        <v>3001.4003791900554</v>
      </c>
      <c r="AW40" s="273"/>
      <c r="AX40" s="155">
        <f t="shared" si="8"/>
        <v>4443.3477051299978</v>
      </c>
      <c r="AZ40" s="146">
        <f>+IF(AZ39&gt;$G$13+$G$14,XX,AZ39+1)</f>
        <v>2036</v>
      </c>
      <c r="BA40" s="117"/>
      <c r="BB40" s="154">
        <f t="shared" si="16"/>
        <v>72.010611707713792</v>
      </c>
      <c r="BD40" s="154">
        <f t="shared" si="17"/>
        <v>3.6727781988106796</v>
      </c>
      <c r="BF40" s="153">
        <f t="shared" si="9"/>
        <v>477.13352615557568</v>
      </c>
      <c r="BH40" s="157"/>
    </row>
    <row r="41" spans="2:60" ht="12">
      <c r="B41" s="2"/>
      <c r="C41">
        <f>+IF(C40&gt;$G$13+$G$14,XX,C40+1)</f>
        <v>2037</v>
      </c>
      <c r="E41" s="169">
        <f>'(2.2)_Forward_Price_Curve'!Q55</f>
        <v>2.1999999999999999E-2</v>
      </c>
      <c r="G41" s="18">
        <v>70611.819145535774</v>
      </c>
      <c r="I41" s="28">
        <v>66.198584676231761</v>
      </c>
      <c r="K41" s="28">
        <v>20.689452509236364</v>
      </c>
      <c r="M41" s="28">
        <f t="shared" si="10"/>
        <v>0</v>
      </c>
      <c r="O41" s="270">
        <f>'(2.2)_Forward_Price_Curve'!AH55</f>
        <v>2.2219153347893399</v>
      </c>
      <c r="Q41" s="28">
        <v>0.91537716262975777</v>
      </c>
      <c r="S41" s="18">
        <f t="shared" si="5"/>
        <v>2794.5860317974461</v>
      </c>
      <c r="U41" s="18">
        <f t="shared" si="0"/>
        <v>4589.4803641779808</v>
      </c>
      <c r="W41" s="18">
        <f t="shared" si="1"/>
        <v>-1794.8943323805347</v>
      </c>
      <c r="Y41" s="271">
        <f t="shared" si="6"/>
        <v>-25.419177045717163</v>
      </c>
      <c r="Z41" s="235"/>
      <c r="AB41" s="146">
        <f>+IF(AB40&gt;$G$13+$G$14,XX,AB40+1)</f>
        <v>2037</v>
      </c>
      <c r="AC41" s="117"/>
      <c r="AD41" s="151">
        <f t="shared" si="2"/>
        <v>70611.819145535774</v>
      </c>
      <c r="AF41" s="154">
        <f t="shared" si="11"/>
        <v>121.08712442278404</v>
      </c>
      <c r="AH41" s="154">
        <f t="shared" si="12"/>
        <v>32.629872414873503</v>
      </c>
      <c r="AJ41" s="154">
        <f t="shared" si="13"/>
        <v>2.4545966909587236</v>
      </c>
      <c r="AL41" s="153">
        <f t="shared" si="7"/>
        <v>1961.3006308416193</v>
      </c>
      <c r="AN41" s="154">
        <f>INDEX('(2.2)_Forward_Price_Curve'!$N:$N,MATCH($AB41,'(2.2)_Forward_Price_Curve'!$C:$C,0),1)</f>
        <v>6.2594874999999996</v>
      </c>
      <c r="AP41" s="154">
        <f t="shared" si="14"/>
        <v>41.040772895606416</v>
      </c>
      <c r="AR41" s="154">
        <f t="shared" si="15"/>
        <v>3.0851288977670466</v>
      </c>
      <c r="AS41" s="154"/>
      <c r="AT41" s="153">
        <f t="shared" si="3"/>
        <v>1473.6701671106209</v>
      </c>
      <c r="AV41" s="153">
        <f t="shared" si="4"/>
        <v>3115.8101970673601</v>
      </c>
      <c r="AW41" s="273"/>
      <c r="AX41" s="155">
        <f t="shared" si="8"/>
        <v>4589.4803641779808</v>
      </c>
      <c r="AZ41" s="146">
        <f>+IF(AZ40&gt;$G$13+$G$14,XX,AZ40+1)</f>
        <v>2037</v>
      </c>
      <c r="BA41" s="117"/>
      <c r="BB41" s="154">
        <f t="shared" si="16"/>
        <v>73.594845165283502</v>
      </c>
      <c r="BD41" s="154">
        <f t="shared" si="17"/>
        <v>3.7535793191845146</v>
      </c>
      <c r="BF41" s="153">
        <f t="shared" si="9"/>
        <v>487.63046373099837</v>
      </c>
      <c r="BH41" s="157"/>
    </row>
    <row r="42" spans="2:60" ht="12">
      <c r="B42" s="2"/>
      <c r="C42">
        <f>+IF(C41&gt;$G$13+$G$14,XX,C41+1)</f>
        <v>2038</v>
      </c>
      <c r="E42" s="169">
        <f>'(2.2)_Forward_Price_Curve'!Q56</f>
        <v>2.1999999999999999E-2</v>
      </c>
      <c r="G42" s="18">
        <v>70611.819145535774</v>
      </c>
      <c r="I42" s="28">
        <v>66.198584676231761</v>
      </c>
      <c r="K42" s="28">
        <v>21.159103081196029</v>
      </c>
      <c r="M42" s="28">
        <f t="shared" si="10"/>
        <v>0</v>
      </c>
      <c r="O42" s="270">
        <f>'(2.2)_Forward_Price_Curve'!AH56</f>
        <v>2.2707974721547055</v>
      </c>
      <c r="Q42" s="28">
        <v>0.94366782006920413</v>
      </c>
      <c r="S42" s="18">
        <f t="shared" si="5"/>
        <v>2833.1982244759729</v>
      </c>
      <c r="U42" s="18">
        <f t="shared" si="0"/>
        <v>4753.4533699990025</v>
      </c>
      <c r="W42" s="18">
        <f t="shared" si="1"/>
        <v>-1920.2551455230296</v>
      </c>
      <c r="Y42" s="271">
        <f t="shared" si="6"/>
        <v>-27.194528745467565</v>
      </c>
      <c r="Z42" s="235"/>
      <c r="AB42" s="146">
        <f>+IF(AB41&gt;$G$13+$G$14,XX,AB41+1)</f>
        <v>2038</v>
      </c>
      <c r="AC42" s="117"/>
      <c r="AD42" s="151">
        <f t="shared" si="2"/>
        <v>70611.819145535774</v>
      </c>
      <c r="AF42" s="154">
        <f t="shared" si="11"/>
        <v>123.75104116008529</v>
      </c>
      <c r="AH42" s="154">
        <f t="shared" si="12"/>
        <v>33.347729608000719</v>
      </c>
      <c r="AJ42" s="154">
        <f t="shared" si="13"/>
        <v>2.5085978181598154</v>
      </c>
      <c r="AL42" s="153">
        <f t="shared" si="7"/>
        <v>2004.4492447201349</v>
      </c>
      <c r="AN42" s="154">
        <f>INDEX('(2.2)_Forward_Price_Curve'!$N:$N,MATCH($AB42,'(2.2)_Forward_Price_Curve'!$C:$C,0),1)</f>
        <v>6.5332833333333333</v>
      </c>
      <c r="AP42" s="154">
        <f t="shared" si="14"/>
        <v>42.835934658545739</v>
      </c>
      <c r="AR42" s="154">
        <f t="shared" si="15"/>
        <v>3.1530017335179217</v>
      </c>
      <c r="AS42" s="154"/>
      <c r="AT42" s="153">
        <f t="shared" si="3"/>
        <v>1506.0909107870543</v>
      </c>
      <c r="AV42" s="153">
        <f t="shared" si="4"/>
        <v>3247.3624592119477</v>
      </c>
      <c r="AW42" s="273"/>
      <c r="AX42" s="155">
        <f t="shared" si="8"/>
        <v>4753.4533699990025</v>
      </c>
      <c r="AZ42" s="146">
        <f>+IF(AZ41&gt;$G$13+$G$14,XX,AZ41+1)</f>
        <v>2038</v>
      </c>
      <c r="BA42" s="117"/>
      <c r="BB42" s="154">
        <f t="shared" si="16"/>
        <v>75.213931758919742</v>
      </c>
      <c r="BD42" s="154">
        <f t="shared" si="17"/>
        <v>3.836158064206574</v>
      </c>
      <c r="BF42" s="153">
        <f t="shared" si="9"/>
        <v>498.35833393308042</v>
      </c>
      <c r="BH42" s="157"/>
    </row>
    <row r="43" spans="2:60" ht="12">
      <c r="B43" s="2"/>
      <c r="C43">
        <f>+IF(C42&gt;$G$13+$G$14,XX,C42+1)</f>
        <v>2039</v>
      </c>
      <c r="E43" s="169">
        <f>'(2.2)_Forward_Price_Curve'!Q57</f>
        <v>2.1000000000000001E-2</v>
      </c>
      <c r="G43" s="18">
        <v>70611.819145535774</v>
      </c>
      <c r="I43" s="28">
        <v>66.198584676231761</v>
      </c>
      <c r="K43" s="28">
        <v>21.639414721139175</v>
      </c>
      <c r="M43" s="28">
        <f t="shared" si="10"/>
        <v>0</v>
      </c>
      <c r="O43" s="270">
        <f>'(2.2)_Forward_Price_Curve'!AH57</f>
        <v>2.3184842190699539</v>
      </c>
      <c r="Q43" s="28">
        <v>0.97234602076124566</v>
      </c>
      <c r="S43" s="18">
        <f t="shared" si="5"/>
        <v>2872.5061709986385</v>
      </c>
      <c r="U43" s="18">
        <f t="shared" si="0"/>
        <v>4925.052374835881</v>
      </c>
      <c r="W43" s="18">
        <f t="shared" si="1"/>
        <v>-2052.5462038372425</v>
      </c>
      <c r="Y43" s="271">
        <f t="shared" si="6"/>
        <v>-29.068026127563783</v>
      </c>
      <c r="Z43" s="235"/>
      <c r="AB43" s="146">
        <f>+IF(AB42&gt;$G$13+$G$14,XX,AB42+1)</f>
        <v>2039</v>
      </c>
      <c r="AC43" s="117"/>
      <c r="AD43" s="151">
        <f t="shared" si="2"/>
        <v>70611.819145535774</v>
      </c>
      <c r="AF43" s="154">
        <f t="shared" si="11"/>
        <v>126.34981302444707</v>
      </c>
      <c r="AH43" s="154">
        <f t="shared" si="12"/>
        <v>34.048031929768733</v>
      </c>
      <c r="AJ43" s="154">
        <f t="shared" si="13"/>
        <v>2.5612783723411714</v>
      </c>
      <c r="AL43" s="153">
        <f t="shared" si="7"/>
        <v>2046.5426788592576</v>
      </c>
      <c r="AN43" s="154">
        <f>INDEX('(2.2)_Forward_Price_Curve'!$N:$N,MATCH($AB43,'(2.2)_Forward_Price_Curve'!$C:$C,0),1)</f>
        <v>6.8255166666666662</v>
      </c>
      <c r="AP43" s="154">
        <f t="shared" si="14"/>
        <v>44.751983195404279</v>
      </c>
      <c r="AR43" s="154">
        <f t="shared" si="15"/>
        <v>3.2192147699217979</v>
      </c>
      <c r="AS43" s="154"/>
      <c r="AT43" s="153">
        <f t="shared" si="3"/>
        <v>1537.7188199135826</v>
      </c>
      <c r="AV43" s="153">
        <f t="shared" si="4"/>
        <v>3387.3335549222984</v>
      </c>
      <c r="AW43" s="273"/>
      <c r="AX43" s="155">
        <f t="shared" si="8"/>
        <v>4925.052374835881</v>
      </c>
      <c r="AZ43" s="146">
        <f>+IF(AZ42&gt;$G$13+$G$14,XX,AZ42+1)</f>
        <v>2039</v>
      </c>
      <c r="BA43" s="117"/>
      <c r="BB43" s="154">
        <f t="shared" si="16"/>
        <v>76.793424325857046</v>
      </c>
      <c r="BD43" s="154">
        <f t="shared" si="17"/>
        <v>3.9167173835549116</v>
      </c>
      <c r="BF43" s="153">
        <f t="shared" si="9"/>
        <v>508.823858945675</v>
      </c>
      <c r="BH43" s="157"/>
    </row>
    <row r="44" spans="2:60" ht="12">
      <c r="B44" s="2"/>
      <c r="C44">
        <f>+IF(C43&gt;$G$13+$G$14,XX,C43+1)</f>
        <v>2040</v>
      </c>
      <c r="E44" s="169">
        <f>'(2.2)_Forward_Price_Curve'!Q58</f>
        <v>2.1999999999999999E-2</v>
      </c>
      <c r="G44" s="18">
        <v>70611.819145535774</v>
      </c>
      <c r="I44" s="28">
        <v>66.198584676231761</v>
      </c>
      <c r="K44" s="28">
        <v>22.130629435309032</v>
      </c>
      <c r="M44" s="28">
        <f t="shared" si="10"/>
        <v>0</v>
      </c>
      <c r="O44" s="270">
        <f>'(2.2)_Forward_Price_Curve'!AH58</f>
        <v>2.3694908718894929</v>
      </c>
      <c r="Q44" s="28">
        <v>0.99441827543252581</v>
      </c>
      <c r="S44" s="18">
        <f t="shared" si="5"/>
        <v>2912.3519701563214</v>
      </c>
      <c r="U44" s="18">
        <f t="shared" si="0"/>
        <v>5033.7300608041724</v>
      </c>
      <c r="W44" s="18">
        <f t="shared" si="1"/>
        <v>-2121.378090647851</v>
      </c>
      <c r="Y44" s="271">
        <f t="shared" si="6"/>
        <v>-30.042818841354961</v>
      </c>
      <c r="Z44" s="235"/>
      <c r="AB44" s="146">
        <f>+IF(AB43&gt;$G$13+$G$14,XX,AB43+1)</f>
        <v>2040</v>
      </c>
      <c r="AC44" s="117"/>
      <c r="AD44" s="151">
        <f t="shared" si="2"/>
        <v>70611.819145535774</v>
      </c>
      <c r="AF44" s="154">
        <f t="shared" si="11"/>
        <v>129.12950891098492</v>
      </c>
      <c r="AH44" s="154">
        <f t="shared" si="12"/>
        <v>34.797088632223648</v>
      </c>
      <c r="AJ44" s="154">
        <f t="shared" si="13"/>
        <v>2.6176264965326772</v>
      </c>
      <c r="AL44" s="153">
        <f t="shared" si="7"/>
        <v>2091.5666177941616</v>
      </c>
      <c r="AN44" s="154">
        <f>INDEX('(2.2)_Forward_Price_Curve'!$N:$N,MATCH($AB44,'(2.2)_Forward_Price_Curve'!$C:$C,0),1)</f>
        <v>6.9763833333333336</v>
      </c>
      <c r="AP44" s="154">
        <f t="shared" si="14"/>
        <v>45.741151175080553</v>
      </c>
      <c r="AR44" s="154">
        <f t="shared" si="15"/>
        <v>3.2900374948600777</v>
      </c>
      <c r="AS44" s="154"/>
      <c r="AT44" s="153">
        <f t="shared" si="3"/>
        <v>1571.5486339516817</v>
      </c>
      <c r="AV44" s="153">
        <f t="shared" si="4"/>
        <v>3462.1814268524909</v>
      </c>
      <c r="AW44" s="273"/>
      <c r="AX44" s="155">
        <f t="shared" si="8"/>
        <v>5033.7300608041724</v>
      </c>
      <c r="AZ44" s="146">
        <f>+IF(AZ43&gt;$G$13+$G$14,XX,AZ43+1)</f>
        <v>2040</v>
      </c>
      <c r="BA44" s="117"/>
      <c r="BB44" s="154">
        <f t="shared" si="16"/>
        <v>78.482879661025905</v>
      </c>
      <c r="BD44" s="154">
        <f t="shared" si="17"/>
        <v>4.0028851659931197</v>
      </c>
      <c r="BF44" s="153">
        <f t="shared" si="9"/>
        <v>520.01798384247991</v>
      </c>
      <c r="BH44" s="157"/>
    </row>
    <row r="45" spans="2:60" ht="12">
      <c r="B45" s="2"/>
      <c r="C45">
        <f>+IF(C44&gt;$G$13+$G$14,XX,C44+1)</f>
        <v>2041</v>
      </c>
      <c r="E45" s="169">
        <f>'(2.2)_Forward_Price_Curve'!Q59</f>
        <v>2.1999999999999999E-2</v>
      </c>
      <c r="G45" s="18">
        <v>70611.819145535774</v>
      </c>
      <c r="I45" s="28">
        <v>66.198584676231761</v>
      </c>
      <c r="K45" s="28">
        <v>22.632994723490548</v>
      </c>
      <c r="M45" s="28">
        <f t="shared" si="10"/>
        <v>0</v>
      </c>
      <c r="O45" s="270">
        <f>'(2.2)_Forward_Price_Curve'!AH59</f>
        <v>2.421619671071062</v>
      </c>
      <c r="Q45" s="28">
        <v>1.016991570284844</v>
      </c>
      <c r="S45" s="18">
        <f t="shared" si="5"/>
        <v>2953.0997477841033</v>
      </c>
      <c r="U45" s="18">
        <f t="shared" si="0"/>
        <v>5232.8739937289174</v>
      </c>
      <c r="W45" s="18">
        <f t="shared" si="1"/>
        <v>-2279.7742459448141</v>
      </c>
      <c r="Y45" s="271">
        <f t="shared" si="6"/>
        <v>-32.286014912688259</v>
      </c>
      <c r="Z45" s="235"/>
      <c r="AB45" s="146">
        <f>+IF(AB44&gt;$G$13+$G$14,XX,AB44+1)</f>
        <v>2041</v>
      </c>
      <c r="AC45" s="117"/>
      <c r="AD45" s="151">
        <f t="shared" si="2"/>
        <v>70611.819145535774</v>
      </c>
      <c r="AF45" s="154">
        <f t="shared" si="11"/>
        <v>131.97035810702658</v>
      </c>
      <c r="AH45" s="154">
        <f t="shared" si="12"/>
        <v>35.562624582132571</v>
      </c>
      <c r="AJ45" s="154">
        <f t="shared" si="13"/>
        <v>2.6752142794563962</v>
      </c>
      <c r="AL45" s="153">
        <f t="shared" si="7"/>
        <v>2137.5810833856331</v>
      </c>
      <c r="AN45" s="154">
        <f>INDEX('(2.2)_Forward_Price_Curve'!$N:$N,MATCH($AB45,'(2.2)_Forward_Price_Curve'!$C:$C,0),1)</f>
        <v>7.3208083333333347</v>
      </c>
      <c r="AP45" s="154">
        <f t="shared" si="14"/>
        <v>47.999398069026626</v>
      </c>
      <c r="AR45" s="154">
        <f t="shared" si="15"/>
        <v>3.3624183197469995</v>
      </c>
      <c r="AS45" s="154"/>
      <c r="AT45" s="153">
        <f t="shared" si="3"/>
        <v>1606.1227038986185</v>
      </c>
      <c r="AV45" s="153">
        <f t="shared" si="4"/>
        <v>3626.7512898302984</v>
      </c>
      <c r="AW45" s="273"/>
      <c r="AX45" s="155">
        <f t="shared" si="8"/>
        <v>5232.8739937289174</v>
      </c>
      <c r="AZ45" s="146">
        <f>+IF(AZ44&gt;$G$13+$G$14,XX,AZ44+1)</f>
        <v>2041</v>
      </c>
      <c r="BA45" s="117"/>
      <c r="BB45" s="154">
        <f t="shared" si="16"/>
        <v>80.209503013568479</v>
      </c>
      <c r="BD45" s="154">
        <f t="shared" si="17"/>
        <v>4.0909486396449681</v>
      </c>
      <c r="BF45" s="153">
        <f t="shared" si="9"/>
        <v>531.45837948701444</v>
      </c>
      <c r="BH45" s="157"/>
    </row>
    <row r="46" spans="2:60" ht="12">
      <c r="B46" s="2"/>
      <c r="C46">
        <f>+IF(C45&gt;$G$13+$G$14,XX,C45+1)</f>
        <v>2042</v>
      </c>
      <c r="E46" s="169">
        <f>'(2.2)_Forward_Price_Curve'!Q60</f>
        <v>2.1999999999999999E-2</v>
      </c>
      <c r="G46" s="18">
        <v>70611.819145535774</v>
      </c>
      <c r="I46" s="28">
        <v>66.198584676231761</v>
      </c>
      <c r="K46" s="28">
        <v>23.146763703713781</v>
      </c>
      <c r="M46" s="28">
        <f t="shared" si="10"/>
        <v>0</v>
      </c>
      <c r="O46" s="270">
        <f>'(2.2)_Forward_Price_Curve'!AH60</f>
        <v>2.4748953038346255</v>
      </c>
      <c r="Q46" s="28">
        <v>1.0400772789303101</v>
      </c>
      <c r="S46" s="18">
        <f t="shared" si="5"/>
        <v>2994.7699233274971</v>
      </c>
      <c r="U46" s="18">
        <f t="shared" si="0"/>
        <v>5418.7067109259569</v>
      </c>
      <c r="W46" s="18">
        <f t="shared" si="1"/>
        <v>-2423.9367875984599</v>
      </c>
      <c r="Y46" s="271">
        <f t="shared" si="6"/>
        <v>-34.327635471372872</v>
      </c>
      <c r="Z46" s="235"/>
      <c r="AB46" s="146">
        <f>+IF(AB45&gt;$G$13+$G$14,XX,AB45+1)</f>
        <v>2042</v>
      </c>
      <c r="AC46" s="117"/>
      <c r="AD46" s="151">
        <f t="shared" si="2"/>
        <v>70611.819145535774</v>
      </c>
      <c r="AF46" s="154">
        <f t="shared" si="11"/>
        <v>134.87370598538118</v>
      </c>
      <c r="AH46" s="154">
        <f t="shared" si="12"/>
        <v>36.345002322939486</v>
      </c>
      <c r="AJ46" s="154">
        <f t="shared" si="13"/>
        <v>2.7340689936044371</v>
      </c>
      <c r="AL46" s="153">
        <f t="shared" si="7"/>
        <v>2184.6078672201174</v>
      </c>
      <c r="AN46" s="154">
        <f>INDEX('(2.2)_Forward_Price_Curve'!$N:$N,MATCH($AB46,'(2.2)_Forward_Price_Curve'!$C:$C,0),1)</f>
        <v>7.634595833333333</v>
      </c>
      <c r="AP46" s="154">
        <f t="shared" si="14"/>
        <v>50.056768025429612</v>
      </c>
      <c r="AR46" s="154">
        <f t="shared" si="15"/>
        <v>3.4363915227814337</v>
      </c>
      <c r="AS46" s="154"/>
      <c r="AT46" s="153">
        <f t="shared" si="3"/>
        <v>1641.4574033843887</v>
      </c>
      <c r="AV46" s="153">
        <f t="shared" si="4"/>
        <v>3777.2493075415687</v>
      </c>
      <c r="AW46" s="273"/>
      <c r="AX46" s="155">
        <f t="shared" si="8"/>
        <v>5418.7067109259569</v>
      </c>
      <c r="AZ46" s="146">
        <f>+IF(AZ45&gt;$G$13+$G$14,XX,AZ45+1)</f>
        <v>2042</v>
      </c>
      <c r="BA46" s="117"/>
      <c r="BB46" s="154">
        <f t="shared" si="16"/>
        <v>81.974112079866984</v>
      </c>
      <c r="BD46" s="154">
        <f t="shared" si="17"/>
        <v>4.1809495097171574</v>
      </c>
      <c r="BF46" s="153">
        <f t="shared" si="9"/>
        <v>543.15046383572871</v>
      </c>
      <c r="BH46" s="157"/>
    </row>
    <row r="47" spans="2:60" ht="12">
      <c r="B47" s="2"/>
      <c r="C47">
        <f>+IF(C46&gt;$G$13+$G$14,XX,C46+1)</f>
        <v>2043</v>
      </c>
      <c r="E47" s="169">
        <f>'(2.2)_Forward_Price_Curve'!Q61</f>
        <v>2.1999999999999999E-2</v>
      </c>
      <c r="G47" s="18">
        <v>70611.819145535774</v>
      </c>
      <c r="I47" s="28">
        <v>66.198584676231761</v>
      </c>
      <c r="K47" s="28">
        <v>23.672195239788081</v>
      </c>
      <c r="M47" s="28">
        <f t="shared" si="10"/>
        <v>0</v>
      </c>
      <c r="O47" s="270">
        <f>'(2.2)_Forward_Price_Curve'!AH61</f>
        <v>2.5293430005189874</v>
      </c>
      <c r="Q47" s="28">
        <v>1.0636870331620281</v>
      </c>
      <c r="S47" s="18">
        <f t="shared" si="5"/>
        <v>3037.3833785331844</v>
      </c>
      <c r="U47" s="18">
        <f t="shared" si="0"/>
        <v>5636.5665319536092</v>
      </c>
      <c r="W47" s="18">
        <f t="shared" si="1"/>
        <v>-2599.1831534204248</v>
      </c>
      <c r="Y47" s="271">
        <f t="shared" si="6"/>
        <v>-36.809463130574947</v>
      </c>
      <c r="Z47" s="235"/>
      <c r="AB47" s="146">
        <f>+IF(AB46&gt;$G$13+$G$14,XX,AB46+1)</f>
        <v>2043</v>
      </c>
      <c r="AC47" s="117"/>
      <c r="AD47" s="151">
        <f t="shared" si="2"/>
        <v>70611.819145535774</v>
      </c>
      <c r="AF47" s="154">
        <f t="shared" si="11"/>
        <v>137.84092751705955</v>
      </c>
      <c r="AH47" s="154">
        <f t="shared" si="12"/>
        <v>37.144592374044159</v>
      </c>
      <c r="AJ47" s="154">
        <f t="shared" si="13"/>
        <v>2.7942185114637348</v>
      </c>
      <c r="AL47" s="153">
        <f t="shared" si="7"/>
        <v>2232.6692402989593</v>
      </c>
      <c r="AN47" s="154">
        <f>INDEX('(2.2)_Forward_Price_Curve'!$N:$N,MATCH($AB47,'(2.2)_Forward_Price_Curve'!$C:$C,0),1)</f>
        <v>8.0156333333333336</v>
      </c>
      <c r="AP47" s="154">
        <f t="shared" si="14"/>
        <v>52.555067367382073</v>
      </c>
      <c r="AR47" s="154">
        <f t="shared" si="15"/>
        <v>3.5119921362826254</v>
      </c>
      <c r="AS47" s="154"/>
      <c r="AT47" s="153">
        <f t="shared" si="3"/>
        <v>1677.5694662588444</v>
      </c>
      <c r="AV47" s="153">
        <f t="shared" si="4"/>
        <v>3958.9970656947644</v>
      </c>
      <c r="AW47" s="273"/>
      <c r="AX47" s="155">
        <f t="shared" si="8"/>
        <v>5636.5665319536092</v>
      </c>
      <c r="AZ47" s="146">
        <f>+IF(AZ46&gt;$G$13+$G$14,XX,AZ46+1)</f>
        <v>2043</v>
      </c>
      <c r="BA47" s="117"/>
      <c r="BB47" s="154">
        <f t="shared" si="16"/>
        <v>83.777542545624058</v>
      </c>
      <c r="BD47" s="154">
        <f t="shared" si="17"/>
        <v>4.2729303989309351</v>
      </c>
      <c r="BF47" s="153">
        <f t="shared" si="9"/>
        <v>555.09977404011488</v>
      </c>
      <c r="BH47" s="157"/>
    </row>
    <row r="48" spans="2:60" ht="12">
      <c r="B48" s="2"/>
      <c r="C48">
        <f>+IF(C47&gt;$G$13+$G$14,XX,C47+1)</f>
        <v>2044</v>
      </c>
      <c r="E48" s="169">
        <f>'(2.2)_Forward_Price_Curve'!Q62</f>
        <v>2.1999999999999999E-2</v>
      </c>
      <c r="G48" s="18">
        <v>70611.819145535774</v>
      </c>
      <c r="I48" s="28">
        <v>66.198584676231761</v>
      </c>
      <c r="K48" s="28">
        <v>24.209554071731272</v>
      </c>
      <c r="M48" s="28">
        <f t="shared" si="10"/>
        <v>0</v>
      </c>
      <c r="O48" s="270">
        <f>'(2.2)_Forward_Price_Curve'!AH62</f>
        <v>2.584988546530405</v>
      </c>
      <c r="Q48" s="28">
        <v>1.087832728814806</v>
      </c>
      <c r="S48" s="18">
        <f t="shared" si="5"/>
        <v>3080.9614679164033</v>
      </c>
      <c r="U48" s="18">
        <f t="shared" si="0"/>
        <v>5868.0063155747257</v>
      </c>
      <c r="W48" s="18">
        <f t="shared" si="1"/>
        <v>-2787.0448476583224</v>
      </c>
      <c r="Y48" s="271">
        <f t="shared" si="6"/>
        <v>-39.469948252062913</v>
      </c>
      <c r="Z48" s="235"/>
      <c r="AB48" s="146">
        <f>+IF(AB47&gt;$G$13+$G$14,XX,AB47+1)</f>
        <v>2044</v>
      </c>
      <c r="AC48" s="117"/>
      <c r="AD48" s="151">
        <f t="shared" si="2"/>
        <v>70611.819145535774</v>
      </c>
      <c r="AF48" s="154">
        <f t="shared" si="11"/>
        <v>140.87342792243487</v>
      </c>
      <c r="AH48" s="154">
        <f t="shared" si="12"/>
        <v>37.961773406273132</v>
      </c>
      <c r="AJ48" s="154">
        <f t="shared" si="13"/>
        <v>2.855691318715937</v>
      </c>
      <c r="AL48" s="153">
        <f t="shared" si="7"/>
        <v>2281.787963585537</v>
      </c>
      <c r="AN48" s="154">
        <f>INDEX('(2.2)_Forward_Price_Curve'!$N:$N,MATCH($AB48,'(2.2)_Forward_Price_Curve'!$C:$C,0),1)</f>
        <v>8.4240333333333339</v>
      </c>
      <c r="AP48" s="154">
        <f t="shared" si="14"/>
        <v>55.232770877544155</v>
      </c>
      <c r="AR48" s="154">
        <f t="shared" si="15"/>
        <v>3.5892559632808432</v>
      </c>
      <c r="AS48" s="154"/>
      <c r="AT48" s="153">
        <f t="shared" si="3"/>
        <v>1714.4759945165397</v>
      </c>
      <c r="AV48" s="153">
        <f t="shared" si="4"/>
        <v>4153.530321058186</v>
      </c>
      <c r="AW48" s="273"/>
      <c r="AX48" s="155">
        <f t="shared" si="8"/>
        <v>5868.0063155747257</v>
      </c>
      <c r="AZ48" s="146">
        <f>+IF(AZ47&gt;$G$13+$G$14,XX,AZ47+1)</f>
        <v>2044</v>
      </c>
      <c r="BA48" s="117"/>
      <c r="BB48" s="154">
        <f t="shared" si="16"/>
        <v>85.620648481627782</v>
      </c>
      <c r="BD48" s="154">
        <f t="shared" si="17"/>
        <v>4.3669348677074158</v>
      </c>
      <c r="BF48" s="153">
        <f t="shared" si="9"/>
        <v>567.31196906899731</v>
      </c>
      <c r="BH48" s="157"/>
    </row>
    <row r="49" spans="2:60" ht="12">
      <c r="B49" s="2"/>
      <c r="C49">
        <f>+IF(C48&gt;$G$13+$G$14,XX,C48+1)</f>
        <v>2045</v>
      </c>
      <c r="E49" s="169">
        <f>'(2.2)_Forward_Price_Curve'!Q63</f>
        <v>2.1999999999999999E-2</v>
      </c>
      <c r="G49" s="18">
        <v>70611.819145535774</v>
      </c>
      <c r="I49" s="28">
        <v>66.198584676231761</v>
      </c>
      <c r="K49" s="28">
        <v>24.759110949159567</v>
      </c>
      <c r="M49" s="28">
        <f t="shared" si="10"/>
        <v>0</v>
      </c>
      <c r="O49" s="270">
        <f>'(2.2)_Forward_Price_Curve'!AH63</f>
        <v>2.6418582945540741</v>
      </c>
      <c r="Q49" s="28">
        <v>1.1125265317589019</v>
      </c>
      <c r="S49" s="18">
        <f t="shared" si="5"/>
        <v>3125.5260294653585</v>
      </c>
      <c r="U49" s="18">
        <f t="shared" si="0"/>
        <v>6097.1411274434658</v>
      </c>
      <c r="W49" s="18">
        <f t="shared" si="1"/>
        <v>-2971.6150979781073</v>
      </c>
      <c r="Y49" s="271">
        <f t="shared" si="6"/>
        <v>-42.08382015839878</v>
      </c>
      <c r="Z49" s="235"/>
      <c r="AB49" s="146">
        <f>+IF(AB48&gt;$G$13+$G$14,XX,AB48+1)</f>
        <v>2045</v>
      </c>
      <c r="AC49" s="117"/>
      <c r="AD49" s="151">
        <f t="shared" si="2"/>
        <v>70611.819145535774</v>
      </c>
      <c r="AF49" s="154">
        <f t="shared" si="11"/>
        <v>143.97264333672845</v>
      </c>
      <c r="AH49" s="154">
        <f t="shared" si="12"/>
        <v>38.796932421211139</v>
      </c>
      <c r="AJ49" s="154">
        <f t="shared" si="13"/>
        <v>2.9185165277276877</v>
      </c>
      <c r="AL49" s="153">
        <f t="shared" si="7"/>
        <v>2331.9872987844192</v>
      </c>
      <c r="AN49" s="154">
        <f>INDEX('(2.2)_Forward_Price_Curve'!$N:$N,MATCH($AB49,'(2.2)_Forward_Price_Curve'!$C:$C,0),1)</f>
        <v>8.8254416666666682</v>
      </c>
      <c r="AP49" s="154">
        <f t="shared" si="14"/>
        <v>57.86463303027427</v>
      </c>
      <c r="AR49" s="154">
        <f t="shared" si="15"/>
        <v>3.6682195944730216</v>
      </c>
      <c r="AS49" s="154"/>
      <c r="AT49" s="153">
        <f t="shared" si="3"/>
        <v>1752.1944663959039</v>
      </c>
      <c r="AV49" s="153">
        <f t="shared" si="4"/>
        <v>4344.946661047562</v>
      </c>
      <c r="AW49" s="273"/>
      <c r="AX49" s="155">
        <f t="shared" si="8"/>
        <v>6097.1411274434658</v>
      </c>
      <c r="AZ49" s="146">
        <f>+IF(AZ48&gt;$G$13+$G$14,XX,AZ48+1)</f>
        <v>2045</v>
      </c>
      <c r="BA49" s="117"/>
      <c r="BB49" s="154">
        <f t="shared" si="16"/>
        <v>87.504302748223594</v>
      </c>
      <c r="BD49" s="154">
        <f t="shared" si="17"/>
        <v>4.463007434796979</v>
      </c>
      <c r="BF49" s="153">
        <f t="shared" si="9"/>
        <v>579.79283238851531</v>
      </c>
      <c r="BH49" s="157"/>
    </row>
    <row r="50" spans="2:60" ht="12">
      <c r="B50" s="2"/>
      <c r="C50">
        <f>+IF(C49&gt;$G$13+$G$14,XX,C49+1)</f>
        <v>2046</v>
      </c>
      <c r="E50" s="169">
        <f>'(2.2)_Forward_Price_Curve'!Q64</f>
        <v>2.1999999999999999E-2</v>
      </c>
      <c r="G50" s="18">
        <v>70611.819145535774</v>
      </c>
      <c r="I50" s="28">
        <v>66.198584676231761</v>
      </c>
      <c r="K50" s="28">
        <v>25.321142767705489</v>
      </c>
      <c r="M50" s="28">
        <f t="shared" si="10"/>
        <v>0</v>
      </c>
      <c r="O50" s="270">
        <f>'(2.2)_Forward_Price_Curve'!AH64</f>
        <v>2.6999791770342636</v>
      </c>
      <c r="Q50" s="28">
        <v>1.1377808840298289</v>
      </c>
      <c r="S50" s="18">
        <f t="shared" si="5"/>
        <v>3171.0993955880226</v>
      </c>
      <c r="U50" s="18">
        <f t="shared" si="0"/>
        <v>6727.104518923923</v>
      </c>
      <c r="W50" s="18">
        <f t="shared" si="1"/>
        <v>-3556.0051233359004</v>
      </c>
      <c r="Y50" s="271">
        <f t="shared" si="6"/>
        <v>-50.359913770338238</v>
      </c>
      <c r="Z50" s="235"/>
      <c r="AB50" s="146">
        <f>+IF(AB49&gt;$G$13+$G$14,XX,AB49+1)</f>
        <v>2046</v>
      </c>
      <c r="AC50" s="117"/>
      <c r="AD50" s="151">
        <f t="shared" si="2"/>
        <v>70611.819145535774</v>
      </c>
      <c r="AF50" s="154">
        <f t="shared" si="11"/>
        <v>147.14004149013647</v>
      </c>
      <c r="AH50" s="154">
        <f t="shared" si="12"/>
        <v>39.650464934477782</v>
      </c>
      <c r="AJ50" s="154">
        <f t="shared" si="13"/>
        <v>2.982723891337697</v>
      </c>
      <c r="AL50" s="153">
        <f t="shared" si="7"/>
        <v>2383.2910193576759</v>
      </c>
      <c r="AN50" s="154">
        <f>INDEX('(2.2)_Forward_Price_Curve'!$N:$N,MATCH($AB50,'(2.2)_Forward_Price_Curve'!$C:$C,0),1)</f>
        <v>10.090566666666668</v>
      </c>
      <c r="AP50" s="154">
        <f t="shared" si="14"/>
        <v>66.159514649504928</v>
      </c>
      <c r="AR50" s="154">
        <f t="shared" si="15"/>
        <v>3.7489204255514283</v>
      </c>
      <c r="AS50" s="154"/>
      <c r="AT50" s="153">
        <f t="shared" si="3"/>
        <v>1790.7427446566135</v>
      </c>
      <c r="AV50" s="153">
        <f t="shared" si="4"/>
        <v>4936.3617742673096</v>
      </c>
      <c r="AW50" s="273"/>
      <c r="AX50" s="155">
        <f t="shared" si="8"/>
        <v>6727.104518923923</v>
      </c>
      <c r="AZ50" s="146">
        <f>+IF(AZ49&gt;$G$13+$G$14,XX,AZ49+1)</f>
        <v>2046</v>
      </c>
      <c r="BA50" s="117"/>
      <c r="BB50" s="154">
        <f t="shared" si="16"/>
        <v>89.429397408684508</v>
      </c>
      <c r="BD50" s="154">
        <f t="shared" si="17"/>
        <v>4.5611935983625127</v>
      </c>
      <c r="BF50" s="153">
        <f t="shared" si="9"/>
        <v>592.5482747010625</v>
      </c>
      <c r="BH50" s="157"/>
    </row>
    <row r="51" spans="2:60" ht="12">
      <c r="B51" s="2"/>
      <c r="C51">
        <f>+IF(C50&gt;$G$13+$G$14,XX,C50+1)</f>
        <v>2047</v>
      </c>
      <c r="E51" s="169">
        <f>'(2.2)_Forward_Price_Curve'!Q65</f>
        <v>2.1999999999999999E-2</v>
      </c>
      <c r="G51" s="18">
        <v>70611.819145535774</v>
      </c>
      <c r="I51" s="28">
        <v>66.198584676231761</v>
      </c>
      <c r="K51" s="28">
        <v>25.895932708532406</v>
      </c>
      <c r="M51" s="28">
        <f t="shared" si="10"/>
        <v>0</v>
      </c>
      <c r="O51" s="270">
        <f>'(2.2)_Forward_Price_Curve'!AH65</f>
        <v>2.7593787189290175</v>
      </c>
      <c r="Q51" s="28">
        <v>1.1636085100973061</v>
      </c>
      <c r="S51" s="18">
        <f t="shared" si="5"/>
        <v>3217.7044043068013</v>
      </c>
      <c r="U51" s="18">
        <f t="shared" si="0"/>
        <v>6994.9097277010569</v>
      </c>
      <c r="W51" s="18">
        <f t="shared" si="1"/>
        <v>-3777.2053233942556</v>
      </c>
      <c r="Y51" s="271">
        <f t="shared" si="6"/>
        <v>-53.492536647571391</v>
      </c>
      <c r="Z51" s="235"/>
      <c r="AB51" s="146">
        <f>+IF(AB50&gt;$G$13+$G$14,XX,AB50+1)</f>
        <v>2047</v>
      </c>
      <c r="AC51" s="117"/>
      <c r="AD51" s="151">
        <f t="shared" si="2"/>
        <v>70611.819145535774</v>
      </c>
      <c r="AF51" s="154">
        <f t="shared" si="11"/>
        <v>150.37712240291947</v>
      </c>
      <c r="AH51" s="154">
        <f t="shared" si="12"/>
        <v>40.522775163036293</v>
      </c>
      <c r="AJ51" s="154">
        <f t="shared" si="13"/>
        <v>3.0483438169471264</v>
      </c>
      <c r="AL51" s="153">
        <f t="shared" si="7"/>
        <v>2435.7234217835444</v>
      </c>
      <c r="AN51" s="154">
        <f>INDEX('(2.2)_Forward_Price_Curve'!$N:$N,MATCH($AB51,'(2.2)_Forward_Price_Curve'!$C:$C,0),1)</f>
        <v>10.571341666666667</v>
      </c>
      <c r="AP51" s="154">
        <f t="shared" si="14"/>
        <v>69.311749970509268</v>
      </c>
      <c r="AR51" s="154">
        <f t="shared" si="15"/>
        <v>3.83139667491356</v>
      </c>
      <c r="AS51" s="154"/>
      <c r="AT51" s="153">
        <f t="shared" si="3"/>
        <v>1830.1390850390585</v>
      </c>
      <c r="AV51" s="153">
        <f t="shared" si="4"/>
        <v>5164.7706426619989</v>
      </c>
      <c r="AW51" s="273"/>
      <c r="AX51" s="155">
        <f t="shared" si="8"/>
        <v>6994.9097277010569</v>
      </c>
      <c r="AZ51" s="146">
        <f>+IF(AZ50&gt;$G$13+$G$14,XX,AZ50+1)</f>
        <v>2047</v>
      </c>
      <c r="BA51" s="117"/>
      <c r="BB51" s="154">
        <f t="shared" si="16"/>
        <v>91.396844151675566</v>
      </c>
      <c r="BD51" s="154">
        <f t="shared" si="17"/>
        <v>4.6615398575264884</v>
      </c>
      <c r="BF51" s="153">
        <f t="shared" si="9"/>
        <v>605.584336744486</v>
      </c>
      <c r="BH51" s="157"/>
    </row>
    <row r="52" spans="2:60" ht="12">
      <c r="B52" s="2"/>
      <c r="C52">
        <f>+IF(C51&gt;$G$13+$G$14,XX,C51+1)</f>
        <v>2048</v>
      </c>
      <c r="E52" s="169">
        <f>'(2.2)_Forward_Price_Curve'!Q66</f>
        <v>2.1999999999999999E-2</v>
      </c>
      <c r="G52" s="18">
        <v>70611.819145535774</v>
      </c>
      <c r="I52" s="28">
        <v>66.198584676231761</v>
      </c>
      <c r="K52" s="28">
        <v>26.48377038101609</v>
      </c>
      <c r="M52" s="28">
        <f t="shared" si="10"/>
        <v>0</v>
      </c>
      <c r="O52" s="270">
        <f>'(2.2)_Forward_Price_Curve'!AH66</f>
        <v>2.820085050745456</v>
      </c>
      <c r="Q52" s="28">
        <v>1.1900224232765149</v>
      </c>
      <c r="S52" s="18">
        <f t="shared" si="5"/>
        <v>3265.3644107066993</v>
      </c>
      <c r="U52" s="18">
        <f t="shared" si="0"/>
        <v>7260.0928155324027</v>
      </c>
      <c r="W52" s="18">
        <f t="shared" si="1"/>
        <v>-3994.7284048257034</v>
      </c>
      <c r="Y52" s="271">
        <f t="shared" si="6"/>
        <v>-56.573084409456946</v>
      </c>
      <c r="Z52" s="235"/>
      <c r="AB52" s="146">
        <f>+IF(AB51&gt;$G$13+$G$14,XX,AB51+1)</f>
        <v>2048</v>
      </c>
      <c r="AC52" s="117"/>
      <c r="AD52" s="151">
        <f t="shared" si="2"/>
        <v>70611.819145535774</v>
      </c>
      <c r="AF52" s="154">
        <f t="shared" si="11"/>
        <v>153.68541909578369</v>
      </c>
      <c r="AH52" s="154">
        <f t="shared" si="12"/>
        <v>41.414276216623094</v>
      </c>
      <c r="AJ52" s="154">
        <f t="shared" si="13"/>
        <v>3.1154073809199634</v>
      </c>
      <c r="AL52" s="153">
        <f t="shared" si="7"/>
        <v>2489.3093370627821</v>
      </c>
      <c r="AN52" s="154">
        <f>INDEX('(2.2)_Forward_Price_Curve'!$N:$N,MATCH($AB52,'(2.2)_Forward_Price_Curve'!$C:$C,0),1)</f>
        <v>11.044304166666668</v>
      </c>
      <c r="AP52" s="154">
        <f t="shared" si="14"/>
        <v>72.412762082225797</v>
      </c>
      <c r="AR52" s="154">
        <f t="shared" si="15"/>
        <v>3.9156874017616583</v>
      </c>
      <c r="AS52" s="154"/>
      <c r="AT52" s="153">
        <f t="shared" si="3"/>
        <v>1870.4021449099173</v>
      </c>
      <c r="AV52" s="153">
        <f t="shared" si="4"/>
        <v>5389.6906706224854</v>
      </c>
      <c r="AW52" s="273"/>
      <c r="AX52" s="155">
        <f t="shared" si="8"/>
        <v>7260.0928155324027</v>
      </c>
      <c r="AZ52" s="146">
        <f>+IF(AZ51&gt;$G$13+$G$14,XX,AZ51+1)</f>
        <v>2048</v>
      </c>
      <c r="BA52" s="117"/>
      <c r="BB52" s="154">
        <f t="shared" si="16"/>
        <v>93.407574723012431</v>
      </c>
      <c r="BD52" s="154">
        <f t="shared" si="17"/>
        <v>4.7640937343920715</v>
      </c>
      <c r="BF52" s="153">
        <f t="shared" si="9"/>
        <v>618.9071921528647</v>
      </c>
      <c r="BH52" s="157"/>
    </row>
    <row r="53" spans="2:60" ht="12">
      <c r="B53" s="2"/>
      <c r="C53">
        <f>+IF(C52&gt;$G$13+$G$14,XX,C52+1)</f>
        <v>2049</v>
      </c>
      <c r="E53" s="169">
        <f>'(2.2)_Forward_Price_Curve'!Q67</f>
        <v>2.1999999999999999E-2</v>
      </c>
      <c r="G53" s="18">
        <v>70611.819145535774</v>
      </c>
      <c r="I53" s="28">
        <v>66.198584676231761</v>
      </c>
      <c r="K53" s="28">
        <v>27.084951968665152</v>
      </c>
      <c r="M53" s="28">
        <f t="shared" si="10"/>
        <v>0</v>
      </c>
      <c r="O53" s="270">
        <f>'(2.2)_Forward_Price_Curve'!AH67</f>
        <v>2.8821269218618562</v>
      </c>
      <c r="Q53" s="28">
        <v>1.2170359322848916</v>
      </c>
      <c r="S53" s="18">
        <f t="shared" si="5"/>
        <v>3314.103298642709</v>
      </c>
      <c r="U53" s="18">
        <f t="shared" si="0"/>
        <v>7544.3272976726503</v>
      </c>
      <c r="W53" s="18">
        <f t="shared" si="1"/>
        <v>-4230.2239990299413</v>
      </c>
      <c r="Y53" s="271">
        <f t="shared" si="6"/>
        <v>-59.908157730806522</v>
      </c>
      <c r="Z53" s="235"/>
      <c r="AB53" s="146">
        <f>+IF(AB52&gt;$G$13+$G$14,XX,AB52+1)</f>
        <v>2049</v>
      </c>
      <c r="AC53" s="117"/>
      <c r="AD53" s="151">
        <f t="shared" si="2"/>
        <v>70611.819145535774</v>
      </c>
      <c r="AF53" s="154">
        <f t="shared" si="11"/>
        <v>157.06649831589093</v>
      </c>
      <c r="AH53" s="154">
        <f t="shared" si="12"/>
        <v>42.3253902933888</v>
      </c>
      <c r="AJ53" s="154">
        <f t="shared" si="13"/>
        <v>3.1839463433002027</v>
      </c>
      <c r="AL53" s="153">
        <f t="shared" si="7"/>
        <v>2544.0741424781636</v>
      </c>
      <c r="AN53" s="154">
        <f>INDEX('(2.2)_Forward_Price_Curve'!$N:$N,MATCH($AB53,'(2.2)_Forward_Price_Curve'!$C:$C,0),1)</f>
        <v>11.556220833333333</v>
      </c>
      <c r="AP53" s="154">
        <f t="shared" si="14"/>
        <v>75.769179945212585</v>
      </c>
      <c r="AR53" s="154">
        <f t="shared" si="15"/>
        <v>4.0018325246004149</v>
      </c>
      <c r="AS53" s="154"/>
      <c r="AT53" s="153">
        <f t="shared" si="3"/>
        <v>1911.5509920979359</v>
      </c>
      <c r="AV53" s="153">
        <f t="shared" si="4"/>
        <v>5632.7763055747146</v>
      </c>
      <c r="AW53" s="273"/>
      <c r="AX53" s="155">
        <f t="shared" si="8"/>
        <v>7544.3272976726503</v>
      </c>
      <c r="AZ53" s="146">
        <f>+IF(AZ52&gt;$G$13+$G$14,XX,AZ52+1)</f>
        <v>2049</v>
      </c>
      <c r="BA53" s="117"/>
      <c r="BB53" s="154">
        <f t="shared" si="16"/>
        <v>95.4625413669187</v>
      </c>
      <c r="BD53" s="154">
        <f t="shared" si="17"/>
        <v>4.8689037965486968</v>
      </c>
      <c r="BF53" s="153">
        <f t="shared" si="9"/>
        <v>632.52315038022766</v>
      </c>
      <c r="BH53" s="157"/>
    </row>
    <row r="54" spans="2:60" ht="12">
      <c r="B54" s="2"/>
      <c r="C54">
        <f>+IF(C53&gt;$G$13+$G$14,XX,C53+1)</f>
        <v>2050</v>
      </c>
      <c r="E54" s="169">
        <f>'(2.2)_Forward_Price_Curve'!Q68</f>
        <v>2.1999999999999999E-2</v>
      </c>
      <c r="G54" s="18">
        <v>70611.819145535774</v>
      </c>
      <c r="I54" s="28">
        <v>66.198584676231761</v>
      </c>
      <c r="K54" s="28">
        <v>27.69978037835385</v>
      </c>
      <c r="M54" s="28">
        <f t="shared" si="10"/>
        <v>0</v>
      </c>
      <c r="O54" s="270">
        <f>'(2.2)_Forward_Price_Curve'!AH68</f>
        <v>2.9455337141428171</v>
      </c>
      <c r="Q54" s="28">
        <v>1.2446626479477585</v>
      </c>
      <c r="S54" s="18">
        <f t="shared" si="5"/>
        <v>3363.9454927122979</v>
      </c>
      <c r="U54" s="18">
        <f t="shared" si="0"/>
        <v>7839.5026780751887</v>
      </c>
      <c r="W54" s="18">
        <f t="shared" si="1"/>
        <v>-4475.5571853628908</v>
      </c>
      <c r="Y54" s="271">
        <f t="shared" si="6"/>
        <v>-63.382550393418725</v>
      </c>
      <c r="Z54" s="235"/>
      <c r="AB54" s="146">
        <f>+IF(AB53&gt;$G$13+$G$14,XX,AB53+1)</f>
        <v>2050</v>
      </c>
      <c r="AC54" s="117"/>
      <c r="AD54" s="151">
        <f t="shared" si="2"/>
        <v>70611.819145535774</v>
      </c>
      <c r="AF54" s="154">
        <f t="shared" si="11"/>
        <v>160.52196127884054</v>
      </c>
      <c r="AH54" s="154">
        <f t="shared" si="12"/>
        <v>43.256548879843358</v>
      </c>
      <c r="AJ54" s="154">
        <f t="shared" si="13"/>
        <v>3.2539931628528072</v>
      </c>
      <c r="AL54" s="153">
        <f t="shared" si="7"/>
        <v>2600.0437736126837</v>
      </c>
      <c r="AN54" s="154">
        <f>INDEX('(2.2)_Forward_Price_Curve'!$N:$N,MATCH($AB54,'(2.2)_Forward_Price_Curve'!$C:$C,0),1)</f>
        <v>12.089525</v>
      </c>
      <c r="AP54" s="154">
        <f t="shared" si="14"/>
        <v>79.265826465945679</v>
      </c>
      <c r="AR54" s="154">
        <f t="shared" si="15"/>
        <v>4.0898728401416244</v>
      </c>
      <c r="AS54" s="154"/>
      <c r="AT54" s="153">
        <f t="shared" si="3"/>
        <v>1953.605113924091</v>
      </c>
      <c r="AV54" s="153">
        <f t="shared" si="4"/>
        <v>5885.8975641510979</v>
      </c>
      <c r="AW54" s="273"/>
      <c r="AX54" s="155">
        <f t="shared" si="8"/>
        <v>7839.5026780751887</v>
      </c>
      <c r="AZ54" s="146">
        <f>+IF(AZ53&gt;$G$13+$G$14,XX,AZ53+1)</f>
        <v>2050</v>
      </c>
      <c r="BA54" s="117"/>
      <c r="BB54" s="154">
        <f t="shared" si="16"/>
        <v>97.562717276990909</v>
      </c>
      <c r="BD54" s="154">
        <f t="shared" si="17"/>
        <v>4.9760196800727678</v>
      </c>
      <c r="BF54" s="153">
        <f t="shared" si="9"/>
        <v>646.43865968859268</v>
      </c>
      <c r="BH54" s="157"/>
    </row>
    <row r="55" spans="2:60" ht="12">
      <c r="B55" s="2"/>
      <c r="C55">
        <f>+IF(C54&gt;$G$13+$G$14,XX,C54+1)</f>
        <v>2051</v>
      </c>
      <c r="E55" s="169">
        <f>'(2.2)_Forward_Price_Curve'!Q69</f>
        <v>2.1999999999999999E-2</v>
      </c>
      <c r="G55" s="18">
        <v>70611.819145535774</v>
      </c>
      <c r="I55" s="28">
        <v>66.198584676231761</v>
      </c>
      <c r="K55" s="28">
        <v>28.32856539294248</v>
      </c>
      <c r="M55" s="28">
        <f t="shared" si="10"/>
        <v>0</v>
      </c>
      <c r="O55" s="270">
        <f>'(2.2)_Forward_Price_Curve'!AH69</f>
        <v>3.010335455853959</v>
      </c>
      <c r="Q55" s="28">
        <v>1.2729164900561725</v>
      </c>
      <c r="S55" s="18">
        <f t="shared" si="5"/>
        <v>3414.915970499002</v>
      </c>
      <c r="U55" s="18">
        <f t="shared" si="0"/>
        <v>8011.9646149496157</v>
      </c>
      <c r="W55" s="18">
        <f t="shared" si="1"/>
        <v>-4597.0486444506132</v>
      </c>
      <c r="Y55" s="271">
        <f t="shared" si="6"/>
        <v>-65.103104552168276</v>
      </c>
      <c r="Z55" s="235"/>
      <c r="AB55" s="146">
        <f>+IF(AB54&gt;$G$13+$G$14,XX,AB54+1)</f>
        <v>2051</v>
      </c>
      <c r="AC55" s="117"/>
      <c r="AD55" s="151">
        <f t="shared" si="2"/>
        <v>70611.819145535774</v>
      </c>
      <c r="AF55" s="154">
        <f t="shared" si="11"/>
        <v>164.05344442697503</v>
      </c>
      <c r="AH55" s="154">
        <f t="shared" si="12"/>
        <v>44.208192955199912</v>
      </c>
      <c r="AJ55" s="154">
        <f t="shared" si="13"/>
        <v>3.3255810124355691</v>
      </c>
      <c r="AL55" s="153">
        <f t="shared" si="7"/>
        <v>2657.2447366321621</v>
      </c>
      <c r="AN55" s="154">
        <f>INDEX('(2.2)_Forward_Price_Curve'!$N:$N,MATCH($AB55,'(2.2)_Forward_Price_Curve'!$C:$C,0),1)</f>
        <v>12.355479166666667</v>
      </c>
      <c r="AP55" s="154">
        <f t="shared" si="14"/>
        <v>81.009573786282516</v>
      </c>
      <c r="AR55" s="154">
        <f t="shared" si="15"/>
        <v>4.1798500426247402</v>
      </c>
      <c r="AS55" s="154"/>
      <c r="AT55" s="153">
        <f t="shared" si="3"/>
        <v>1996.5844264304205</v>
      </c>
      <c r="AV55" s="153">
        <f t="shared" si="4"/>
        <v>6015.3801885191951</v>
      </c>
      <c r="AW55" s="273"/>
      <c r="AX55" s="155">
        <f t="shared" si="8"/>
        <v>8011.9646149496157</v>
      </c>
      <c r="AZ55" s="146">
        <f>+IF(AZ54&gt;$G$13+$G$14,XX,AZ54+1)</f>
        <v>2051</v>
      </c>
      <c r="BA55" s="117"/>
      <c r="BB55" s="154">
        <f t="shared" si="16"/>
        <v>99.709097057084705</v>
      </c>
      <c r="BD55" s="154">
        <f t="shared" si="17"/>
        <v>5.0854921130343689</v>
      </c>
      <c r="BF55" s="153">
        <f t="shared" si="9"/>
        <v>660.66031020174159</v>
      </c>
      <c r="BH55" s="157"/>
    </row>
    <row r="56" spans="2:60" ht="12">
      <c r="B56" s="2"/>
      <c r="C56">
        <f>+IF(C55&gt;$G$13+$G$14,XX,C55+1)</f>
        <v>2052</v>
      </c>
      <c r="E56" s="169">
        <f>'(2.2)_Forward_Price_Curve'!Q70</f>
        <v>2.1999999999999999E-2</v>
      </c>
      <c r="G56" s="18">
        <v>70611.819145535774</v>
      </c>
      <c r="I56" s="28">
        <v>66.198584676231761</v>
      </c>
      <c r="K56" s="28">
        <v>28.971623827362272</v>
      </c>
      <c r="M56" s="28">
        <f t="shared" si="10"/>
        <v>0</v>
      </c>
      <c r="O56" s="270">
        <f>'(2.2)_Forward_Price_Curve'!AH70</f>
        <v>3.0765628358827461</v>
      </c>
      <c r="Q56" s="28">
        <v>1.3018116943804476</v>
      </c>
      <c r="S56" s="18">
        <f t="shared" si="5"/>
        <v>3467.0402750932581</v>
      </c>
      <c r="U56" s="18">
        <f t="shared" si="0"/>
        <v>8595.0640811390531</v>
      </c>
      <c r="W56" s="18">
        <f t="shared" si="1"/>
        <v>-5128.023806045795</v>
      </c>
      <c r="Y56" s="271">
        <f t="shared" si="6"/>
        <v>-72.622740330150506</v>
      </c>
      <c r="Z56" s="235"/>
      <c r="AB56" s="146">
        <f>+IF(AB55&gt;$G$13+$G$14,XX,AB55+1)</f>
        <v>2052</v>
      </c>
      <c r="AC56" s="117"/>
      <c r="AD56" s="151">
        <f t="shared" si="2"/>
        <v>70611.819145535774</v>
      </c>
      <c r="AF56" s="154">
        <f t="shared" si="11"/>
        <v>167.66262020436849</v>
      </c>
      <c r="AH56" s="154">
        <f t="shared" si="12"/>
        <v>45.180773200214311</v>
      </c>
      <c r="AJ56" s="154">
        <f t="shared" si="13"/>
        <v>3.3987437947091519</v>
      </c>
      <c r="AL56" s="153">
        <f t="shared" si="7"/>
        <v>2715.7041208380697</v>
      </c>
      <c r="AN56" s="154">
        <f>INDEX('(2.2)_Forward_Price_Curve'!$N:$N,MATCH($AB56,'(2.2)_Forward_Price_Curve'!$C:$C,0),1)</f>
        <v>13.50605</v>
      </c>
      <c r="AP56" s="154">
        <f t="shared" si="14"/>
        <v>88.553372902606654</v>
      </c>
      <c r="AR56" s="154">
        <f t="shared" si="15"/>
        <v>4.2718067435624842</v>
      </c>
      <c r="AS56" s="154"/>
      <c r="AT56" s="153">
        <f t="shared" si="3"/>
        <v>2040.5092838118896</v>
      </c>
      <c r="AV56" s="153">
        <f t="shared" si="4"/>
        <v>6554.5547973271632</v>
      </c>
      <c r="AW56" s="273"/>
      <c r="AX56" s="155">
        <f t="shared" si="8"/>
        <v>8595.0640811390531</v>
      </c>
      <c r="AZ56" s="146">
        <f>+IF(AZ55&gt;$G$13+$G$14,XX,AZ55+1)</f>
        <v>2052</v>
      </c>
      <c r="BA56" s="117"/>
      <c r="BB56" s="154">
        <f t="shared" si="16"/>
        <v>101.90269719234057</v>
      </c>
      <c r="BD56" s="154">
        <f t="shared" si="17"/>
        <v>5.1973729395211254</v>
      </c>
      <c r="BF56" s="153">
        <f t="shared" si="9"/>
        <v>675.19483702618004</v>
      </c>
      <c r="BH56" s="157"/>
    </row>
    <row r="57" spans="2:60" ht="12">
      <c r="B57" s="2"/>
      <c r="C57">
        <f>+IF(C56&gt;$G$13+$G$14,XX,C56+1)</f>
        <v>2053</v>
      </c>
      <c r="E57" s="169">
        <f>'(2.2)_Forward_Price_Curve'!Q71</f>
        <v>2.1999999999999999E-2</v>
      </c>
      <c r="G57" s="18">
        <v>70611.819145535774</v>
      </c>
      <c r="I57" s="28">
        <v>66.198584676231761</v>
      </c>
      <c r="K57" s="28">
        <v>29.629279688243393</v>
      </c>
      <c r="M57" s="28">
        <f t="shared" si="10"/>
        <v>0</v>
      </c>
      <c r="O57" s="270">
        <f>'(2.2)_Forward_Price_Curve'!AH71</f>
        <v>3.1442472182721666</v>
      </c>
      <c r="Q57" s="28">
        <v>1.3313628198428837</v>
      </c>
      <c r="S57" s="18">
        <f t="shared" si="5"/>
        <v>3520.3445278967565</v>
      </c>
      <c r="U57" s="18">
        <f t="shared" si="0"/>
        <v>8784.1554909241131</v>
      </c>
      <c r="W57" s="18">
        <f t="shared" si="1"/>
        <v>-5263.8109630273566</v>
      </c>
      <c r="Y57" s="271">
        <f t="shared" si="6"/>
        <v>-74.545749234675327</v>
      </c>
      <c r="Z57" s="235"/>
      <c r="AB57" s="146">
        <f>+IF(AB56&gt;$G$13+$G$14,XX,AB56+1)</f>
        <v>2053</v>
      </c>
      <c r="AC57" s="117"/>
      <c r="AD57" s="151">
        <f t="shared" si="2"/>
        <v>70611.819145535774</v>
      </c>
      <c r="AF57" s="154">
        <f t="shared" si="11"/>
        <v>171.35119784886462</v>
      </c>
      <c r="AH57" s="154">
        <f t="shared" si="12"/>
        <v>46.174750210619024</v>
      </c>
      <c r="AJ57" s="154">
        <f t="shared" si="13"/>
        <v>3.4735161581927532</v>
      </c>
      <c r="AL57" s="153">
        <f t="shared" si="7"/>
        <v>2775.4496114965086</v>
      </c>
      <c r="AN57" s="154">
        <f>INDEX('(2.2)_Forward_Price_Curve'!$N:$N,MATCH($AB57,'(2.2)_Forward_Price_Curve'!$C:$C,0),1)</f>
        <v>13.8031831</v>
      </c>
      <c r="AP57" s="154">
        <f t="shared" si="14"/>
        <v>90.501547106464002</v>
      </c>
      <c r="AR57" s="154">
        <f t="shared" si="15"/>
        <v>4.3657864919208587</v>
      </c>
      <c r="AS57" s="154"/>
      <c r="AT57" s="153">
        <f t="shared" si="3"/>
        <v>2085.4004880557527</v>
      </c>
      <c r="AV57" s="153">
        <f t="shared" si="4"/>
        <v>6698.7550028683609</v>
      </c>
      <c r="AW57" s="273"/>
      <c r="AX57" s="155">
        <f t="shared" si="8"/>
        <v>8784.1554909241131</v>
      </c>
      <c r="AZ57" s="146">
        <f>+IF(AZ56&gt;$G$13+$G$14,XX,AZ56+1)</f>
        <v>2053</v>
      </c>
      <c r="BA57" s="117"/>
      <c r="BB57" s="154">
        <f t="shared" si="16"/>
        <v>104.14455653057206</v>
      </c>
      <c r="BD57" s="154">
        <f t="shared" si="17"/>
        <v>5.3117151441905905</v>
      </c>
      <c r="BF57" s="153">
        <f t="shared" si="9"/>
        <v>690.04912344075592</v>
      </c>
      <c r="BH57" s="157"/>
    </row>
    <row r="58" spans="2:60" ht="12">
      <c r="B58" s="2"/>
      <c r="E58" s="169"/>
      <c r="G58" s="18"/>
      <c r="I58" s="28"/>
      <c r="K58" s="28"/>
      <c r="M58" s="28"/>
      <c r="O58" s="270"/>
      <c r="Q58" s="28"/>
      <c r="S58" s="18"/>
      <c r="U58" s="18"/>
      <c r="W58" s="18"/>
      <c r="Y58" s="271"/>
      <c r="Z58" s="235"/>
      <c r="AB58" s="146"/>
      <c r="AC58" s="117"/>
      <c r="AD58" s="151"/>
      <c r="AF58" s="154"/>
      <c r="AH58" s="154"/>
      <c r="AJ58" s="154"/>
      <c r="AL58" s="153"/>
      <c r="AN58" s="154"/>
      <c r="AP58" s="154"/>
      <c r="AR58" s="154"/>
      <c r="AS58" s="154"/>
      <c r="AT58" s="153"/>
      <c r="AV58" s="153"/>
      <c r="AW58" s="273"/>
      <c r="AX58" s="155"/>
      <c r="AZ58" s="146"/>
      <c r="BA58" s="117"/>
      <c r="BB58" s="154"/>
      <c r="BD58" s="154"/>
      <c r="BF58" s="153"/>
      <c r="BH58" s="157"/>
    </row>
    <row r="59" spans="2:60">
      <c r="B59" s="2"/>
      <c r="E59" s="169"/>
      <c r="G59" s="267"/>
      <c r="I59" s="267"/>
      <c r="K59" s="267"/>
      <c r="M59" s="267"/>
      <c r="O59" s="267"/>
      <c r="Q59" s="267"/>
      <c r="S59" s="267"/>
      <c r="U59" s="267"/>
      <c r="W59" s="267"/>
      <c r="Y59" s="267"/>
      <c r="Z59" s="235"/>
      <c r="AB59" s="2"/>
      <c r="AF59" s="274"/>
      <c r="AH59" s="274"/>
      <c r="AJ59" s="274"/>
      <c r="AL59" s="273"/>
      <c r="AN59" s="274"/>
      <c r="AP59" s="274"/>
      <c r="AR59" s="274"/>
      <c r="AS59" s="274"/>
      <c r="AT59" s="274"/>
      <c r="AV59" s="273"/>
      <c r="AW59" s="273"/>
      <c r="AX59" s="275"/>
      <c r="AZ59" s="2"/>
      <c r="BB59" s="274"/>
      <c r="BF59" s="273"/>
      <c r="BH59" s="235"/>
    </row>
    <row r="60" spans="2:60" ht="12">
      <c r="B60" s="2"/>
      <c r="C60" s="276" t="str">
        <f>G14&amp;"-year Nominal Levelized at "&amp;TEXT($G$18,"#.00%")</f>
        <v>30-year Nominal Levelized at 6.77%</v>
      </c>
      <c r="E60" s="169"/>
      <c r="G60" s="285">
        <f>+-PMT($G$18,$G$14,NPV($G$18,G28:G57))</f>
        <v>70611.819145535701</v>
      </c>
      <c r="I60" s="28">
        <f>+-PMT($G$18,$G$14,NPV($G$18,I28:I57))</f>
        <v>66.198584676231718</v>
      </c>
      <c r="J60" s="28"/>
      <c r="K60" s="28">
        <f>+-PMT($G$18,$G$14,NPV($G$18,K28:K57))</f>
        <v>19.608257878354472</v>
      </c>
      <c r="M60" s="28">
        <f>+-PMT($G$18,$G$14,NPV($G$18,M28:M57))</f>
        <v>0</v>
      </c>
      <c r="O60" s="28">
        <f>+-PMT($G$18,$G$14,NPV($G$18,O28:O57))</f>
        <v>2.1096990904308393</v>
      </c>
      <c r="Q60" s="28">
        <f>+-PMT($G$18,$G$14,NPV($G$18,Q28:Q57))</f>
        <v>-4.1471054995652858</v>
      </c>
      <c r="S60" s="285">
        <f>+-PMT($G$18,$G$14,NPV($G$18,S28:S57))</f>
        <v>2352.8460087383291</v>
      </c>
      <c r="U60" s="285">
        <f>+-PMT($G$18,$G$14,NPV($G$18,U28:U57))</f>
        <v>4490.3171566357478</v>
      </c>
      <c r="W60" s="285">
        <f>+-PMT($G$18,$G$14,NPV($G$18,W28:W57))</f>
        <v>-2137.4711478974195</v>
      </c>
      <c r="Y60" s="285">
        <f>+-PMT($G$18,$G$14,NPV($G$18,Y28:Y57))</f>
        <v>-30.270727673676632</v>
      </c>
      <c r="Z60" s="235"/>
      <c r="AB60" s="2"/>
      <c r="AD60" s="412">
        <f>+-PMT($G$18,$G$14,NPV($G$18,AD28:AD57))</f>
        <v>70611.819145535701</v>
      </c>
      <c r="AF60" s="154">
        <f>+-PMT($G$18,$G$14,NPV($G$18,AF28:AF57))</f>
        <v>114.97170583318079</v>
      </c>
      <c r="AH60" s="154">
        <f>+-PMT($G$18,$G$14,NPV($G$18,AH28:AH57))</f>
        <v>30.981924052952106</v>
      </c>
      <c r="AJ60" s="154">
        <f>+-PMT($G$18,$G$14,NPV($G$18,AJ28:AJ57))</f>
        <v>2.3306290411741255</v>
      </c>
      <c r="AL60" s="153">
        <f>+-PMT($G$18,$G$14,NPV($G$18,AL28:AL57))</f>
        <v>1862.2465456544035</v>
      </c>
      <c r="AN60" s="154">
        <f>+-PMT($G$18,$G$14,NPV($G$18,AN28:AN57))</f>
        <v>6.2298218111793453</v>
      </c>
      <c r="AP60" s="154">
        <f>+-PMT($G$18,$G$14,NPV($G$18,AP28:AP57))</f>
        <v>40.846267706854121</v>
      </c>
      <c r="AR60" s="154">
        <f>+-PMT($G$18,$G$14,NPV($G$18,AR28:AR57))</f>
        <v>2.9293166699792939</v>
      </c>
      <c r="AS60" s="154"/>
      <c r="AT60" s="153">
        <f>+-PMT($G$18,$G$14,NPV($G$18,AT28:AT57))</f>
        <v>1399.2435096286442</v>
      </c>
      <c r="AV60" s="153">
        <f>+-PMT($G$18,$G$14,NPV($G$18,AV28:AV57))</f>
        <v>3091.0736470071024</v>
      </c>
      <c r="AW60" s="273"/>
      <c r="AX60" s="155">
        <f>+-PMT($G$18,$G$14,NPV($G$18,AX28:AX57))</f>
        <v>4490.3171566357478</v>
      </c>
      <c r="AZ60" s="2"/>
      <c r="BB60" s="154">
        <f>+-PMT($G$18,$G$14,NPV($G$18,BB28:BB57))</f>
        <v>69.87799016217582</v>
      </c>
      <c r="BD60" s="154">
        <f>+-PMT($G$18,$G$14,NPV($G$18,BD28:BD57))</f>
        <v>3.5640074810926028</v>
      </c>
      <c r="BF60" s="153">
        <f>+-PMT($G$18,$G$14,NPV($G$18,BF28:BF57))</f>
        <v>463.00303602575946</v>
      </c>
      <c r="BH60" s="157"/>
    </row>
    <row r="61" spans="2:60">
      <c r="B61" s="2"/>
      <c r="E61" s="169"/>
      <c r="W61" s="18"/>
      <c r="Y61" s="271"/>
      <c r="Z61" s="235"/>
      <c r="AB61" s="2"/>
      <c r="AT61" s="273"/>
      <c r="AX61" s="235"/>
      <c r="AZ61" s="2"/>
      <c r="BH61" s="235"/>
    </row>
    <row r="62" spans="2:60">
      <c r="B62" s="238"/>
      <c r="C62" s="277"/>
      <c r="D62" s="277"/>
      <c r="E62" s="278"/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39"/>
      <c r="AB62" s="238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39"/>
      <c r="AZ62" s="238"/>
      <c r="BA62" s="277"/>
      <c r="BB62" s="277"/>
      <c r="BC62" s="277"/>
      <c r="BD62" s="277"/>
      <c r="BE62" s="277"/>
      <c r="BF62" s="277"/>
      <c r="BG62" s="277"/>
      <c r="BH62" s="239"/>
    </row>
    <row r="63" spans="2:60">
      <c r="E63" s="169"/>
    </row>
    <row r="64" spans="2:60">
      <c r="E64" s="169"/>
      <c r="G64" s="18"/>
      <c r="I64" s="18"/>
      <c r="K64" s="18"/>
      <c r="O64" s="18"/>
      <c r="Q64" s="18"/>
      <c r="S64" s="18"/>
      <c r="U64" s="18"/>
      <c r="W64" s="18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</sheetData>
  <pageMargins left="0.25" right="0.25" top="0.25" bottom="0.75" header="0.3" footer="0.3"/>
  <pageSetup paperSize="5" scale="46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0AF4-A2F1-4959-887B-8E998D5AF990}">
  <sheetPr codeName="Sheet40">
    <tabColor theme="0" tint="-0.249977111117893"/>
    <pageSetUpPr fitToPage="1"/>
  </sheetPr>
  <dimension ref="A1:BL81"/>
  <sheetViews>
    <sheetView workbookViewId="0"/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231" customFormat="1">
      <c r="A1" s="231" t="s">
        <v>0</v>
      </c>
    </row>
    <row r="2" spans="1:64" s="231" customFormat="1">
      <c r="A2" s="231" t="s">
        <v>143</v>
      </c>
    </row>
    <row r="3" spans="1:64" s="231" customFormat="1">
      <c r="A3" s="231" t="s">
        <v>1</v>
      </c>
    </row>
    <row r="4" spans="1:64" s="231" customFormat="1"/>
    <row r="5" spans="1:64" s="231" customFormat="1"/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85" t="s">
        <v>96</v>
      </c>
      <c r="AO8" s="386"/>
      <c r="AP8" s="386"/>
      <c r="AQ8" s="386"/>
      <c r="AR8" s="386"/>
      <c r="AS8" s="386"/>
      <c r="AT8" s="386"/>
      <c r="AU8" s="386"/>
      <c r="AV8" s="386"/>
      <c r="AW8" s="387"/>
      <c r="AZ8" s="244" t="s">
        <v>97</v>
      </c>
      <c r="BA8" s="245"/>
      <c r="BB8" s="245"/>
      <c r="BC8" s="245"/>
      <c r="BD8" s="245"/>
      <c r="BE8" s="246"/>
      <c r="BG8" s="385" t="s">
        <v>97</v>
      </c>
      <c r="BH8" s="386"/>
      <c r="BI8" s="386"/>
      <c r="BJ8" s="386"/>
      <c r="BK8" s="386"/>
      <c r="BL8" s="38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436"/>
      <c r="AO9" s="437"/>
      <c r="AP9" s="437"/>
      <c r="AQ9" s="437"/>
      <c r="AR9" s="438"/>
      <c r="AS9" s="437"/>
      <c r="AT9" s="437"/>
      <c r="AU9" s="437"/>
      <c r="AV9" s="439"/>
      <c r="AW9" s="440"/>
      <c r="AZ9" s="116"/>
      <c r="BA9" s="117"/>
      <c r="BB9" s="117"/>
      <c r="BC9" s="117"/>
      <c r="BD9" s="118"/>
      <c r="BE9" s="121"/>
      <c r="BG9" s="436"/>
      <c r="BH9" s="437"/>
      <c r="BI9" s="437"/>
      <c r="BJ9" s="437"/>
      <c r="BK9" s="438"/>
      <c r="BL9" s="441"/>
    </row>
    <row r="10" spans="1:64" ht="12">
      <c r="B10" s="250"/>
      <c r="C10" s="231" t="s">
        <v>98</v>
      </c>
      <c r="D10" s="231"/>
      <c r="E10" s="231"/>
      <c r="F10" s="231"/>
      <c r="G10" s="251" t="s">
        <v>204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230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388" t="s">
        <v>230</v>
      </c>
      <c r="BH10" s="389"/>
      <c r="BI10" s="389"/>
      <c r="BJ10" s="389"/>
      <c r="BK10" s="390"/>
      <c r="BL10" s="398"/>
    </row>
    <row r="11" spans="1:64" ht="12">
      <c r="B11" s="250"/>
      <c r="C11" s="231" t="s">
        <v>31</v>
      </c>
      <c r="D11" s="231"/>
      <c r="E11" s="231"/>
      <c r="F11" s="231"/>
      <c r="G11" s="251">
        <v>99</v>
      </c>
      <c r="H11" s="252"/>
      <c r="I11" s="348">
        <v>99</v>
      </c>
      <c r="AB11" s="122" t="s">
        <v>99</v>
      </c>
      <c r="AC11" s="123"/>
      <c r="AD11" s="123"/>
      <c r="AE11" s="123"/>
      <c r="AF11" s="134">
        <f>+G11*(G12/AJ16)</f>
        <v>74.120323408065474</v>
      </c>
      <c r="AG11" s="127"/>
      <c r="AH11" s="123" t="s">
        <v>100</v>
      </c>
      <c r="AI11" s="124"/>
      <c r="AJ11" s="129">
        <v>7.9126910299003335</v>
      </c>
      <c r="AK11" s="235"/>
      <c r="AN11" s="444" t="s">
        <v>99</v>
      </c>
      <c r="AO11" s="445"/>
      <c r="AP11" s="445"/>
      <c r="AQ11" s="445"/>
      <c r="AR11" s="446">
        <f>+I11*(I12/AV16)</f>
        <v>51.952516871820038</v>
      </c>
      <c r="AS11" s="447"/>
      <c r="AT11" s="445" t="s">
        <v>100</v>
      </c>
      <c r="AU11" s="448"/>
      <c r="AV11" s="396">
        <f>'(2.1)_Proxy Resources'!N53</f>
        <v>19.805241420865066</v>
      </c>
      <c r="AW11" s="235"/>
      <c r="AZ11" s="122" t="s">
        <v>99</v>
      </c>
      <c r="BA11" s="123"/>
      <c r="BB11" s="123"/>
      <c r="BC11" s="123"/>
      <c r="BD11" s="134">
        <f>(AF11*AF13-G11*B19)</f>
        <v>74.120323408065474</v>
      </c>
      <c r="BE11" s="130"/>
      <c r="BG11" s="444" t="s">
        <v>99</v>
      </c>
      <c r="BH11" s="445"/>
      <c r="BI11" s="445"/>
      <c r="BJ11" s="445"/>
      <c r="BK11" s="368">
        <f>(AR11*AR13-I11*I19)</f>
        <v>36.310516871820042</v>
      </c>
      <c r="BL11" s="449"/>
    </row>
    <row r="12" spans="1:64" ht="12">
      <c r="B12" s="250"/>
      <c r="C12" s="231" t="s">
        <v>32</v>
      </c>
      <c r="D12" s="231"/>
      <c r="E12" s="231"/>
      <c r="F12" s="231"/>
      <c r="G12" s="254">
        <v>0.36454493770549606</v>
      </c>
      <c r="H12" s="252"/>
      <c r="I12" s="349">
        <v>0.36883964087653798</v>
      </c>
      <c r="AB12" s="122" t="s">
        <v>32</v>
      </c>
      <c r="AC12" s="123"/>
      <c r="AD12" s="123"/>
      <c r="AE12" s="123"/>
      <c r="AF12" s="131">
        <f>+AD53/8760/AF11</f>
        <v>0.53605247575676762</v>
      </c>
      <c r="AG12" s="127"/>
      <c r="AH12" s="117" t="s">
        <v>101</v>
      </c>
      <c r="AI12" s="118"/>
      <c r="AJ12" s="117">
        <v>2006</v>
      </c>
      <c r="AK12" s="235"/>
      <c r="AN12" s="444" t="s">
        <v>32</v>
      </c>
      <c r="AO12" s="445"/>
      <c r="AP12" s="445"/>
      <c r="AQ12" s="445"/>
      <c r="AR12" s="131">
        <f>AD70/8760/AR11</f>
        <v>0.73273376634781073</v>
      </c>
      <c r="AS12" s="447"/>
      <c r="AT12" s="437" t="s">
        <v>101</v>
      </c>
      <c r="AU12" s="438"/>
      <c r="AV12" s="450">
        <v>2016</v>
      </c>
      <c r="AW12" s="235"/>
      <c r="AZ12" s="122"/>
      <c r="BA12" s="123"/>
      <c r="BB12" s="123"/>
      <c r="BC12" s="123"/>
      <c r="BD12" s="539"/>
      <c r="BE12" s="132"/>
      <c r="BG12" s="444"/>
      <c r="BH12" s="445"/>
      <c r="BI12" s="445"/>
      <c r="BJ12" s="445"/>
      <c r="BK12" s="451"/>
      <c r="BL12" s="452"/>
    </row>
    <row r="13" spans="1:64" ht="12">
      <c r="B13" s="250"/>
      <c r="C13" s="231" t="s">
        <v>33</v>
      </c>
      <c r="D13" s="231"/>
      <c r="E13" s="231"/>
      <c r="F13" s="231"/>
      <c r="G13" s="251">
        <v>2009</v>
      </c>
      <c r="H13" s="252"/>
      <c r="I13" s="350">
        <v>2019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N13" s="444" t="s">
        <v>102</v>
      </c>
      <c r="AO13" s="445"/>
      <c r="AP13" s="445"/>
      <c r="AQ13" s="445"/>
      <c r="AR13" s="453">
        <v>1</v>
      </c>
      <c r="AS13" s="447"/>
      <c r="AT13" s="437" t="s">
        <v>103</v>
      </c>
      <c r="AU13" s="438"/>
      <c r="AV13" s="396">
        <f>'(2.1)_Proxy Resources'!O53</f>
        <v>2.02116486562735</v>
      </c>
      <c r="AW13" s="235"/>
      <c r="AZ13" s="122" t="s">
        <v>102</v>
      </c>
      <c r="BA13" s="123"/>
      <c r="BB13" s="123"/>
      <c r="BC13" s="123"/>
      <c r="BD13" s="540">
        <v>1</v>
      </c>
      <c r="BE13" s="132"/>
      <c r="BG13" s="444" t="s">
        <v>102</v>
      </c>
      <c r="BH13" s="445"/>
      <c r="BI13" s="445"/>
      <c r="BJ13" s="445"/>
      <c r="BK13" s="453">
        <v>1</v>
      </c>
      <c r="BL13" s="452"/>
    </row>
    <row r="14" spans="1:64" ht="12">
      <c r="B14" s="250"/>
      <c r="C14" s="231" t="s">
        <v>34</v>
      </c>
      <c r="D14" s="231"/>
      <c r="E14" s="231"/>
      <c r="F14" s="231"/>
      <c r="G14" s="251">
        <v>25</v>
      </c>
      <c r="H14" s="252"/>
      <c r="I14" s="351">
        <v>30</v>
      </c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N14" s="444" t="s">
        <v>104</v>
      </c>
      <c r="AO14" s="445"/>
      <c r="AP14" s="445"/>
      <c r="AQ14" s="445"/>
      <c r="AR14" s="454">
        <f>'(2.1)_Proxy Resources'!H53</f>
        <v>6414.883554173548</v>
      </c>
      <c r="AS14" s="447"/>
      <c r="AT14" s="437"/>
      <c r="AU14" s="438"/>
      <c r="AV14" s="396"/>
      <c r="AW14" s="235"/>
      <c r="AZ14" s="122" t="s">
        <v>105</v>
      </c>
      <c r="BA14" s="123"/>
      <c r="BB14" s="123"/>
      <c r="BC14" s="123"/>
      <c r="BD14" s="135">
        <v>454</v>
      </c>
      <c r="BE14" s="132"/>
      <c r="BG14" s="444" t="s">
        <v>232</v>
      </c>
      <c r="BH14" s="445"/>
      <c r="BI14" s="445"/>
      <c r="BJ14" s="445"/>
      <c r="BK14" s="397">
        <f>'(2.1)_Proxy Resources'!J54</f>
        <v>702</v>
      </c>
      <c r="BL14" s="452"/>
    </row>
    <row r="15" spans="1:64" ht="12">
      <c r="A15" t="s">
        <v>138</v>
      </c>
      <c r="B15" s="250"/>
      <c r="C15" s="231" t="s">
        <v>107</v>
      </c>
      <c r="D15" s="231"/>
      <c r="E15" s="231"/>
      <c r="F15" s="231"/>
      <c r="G15" s="255">
        <v>176.69367656848465</v>
      </c>
      <c r="H15" s="252"/>
      <c r="I15" s="382"/>
      <c r="M15" s="271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N15" s="444" t="s">
        <v>231</v>
      </c>
      <c r="AO15" s="445"/>
      <c r="AP15" s="445"/>
      <c r="AQ15" s="445"/>
      <c r="AR15" s="397">
        <f>'(2.1)_Proxy Resources'!J53</f>
        <v>1362.6215812395926</v>
      </c>
      <c r="AS15" s="447"/>
      <c r="AT15" s="437" t="s">
        <v>141</v>
      </c>
      <c r="AU15" s="438"/>
      <c r="AV15" s="396">
        <f>'(2.1)_Proxy Resources'!P53</f>
        <v>2.2807762714164963</v>
      </c>
      <c r="AW15" s="235"/>
      <c r="AZ15" s="122" t="s">
        <v>108</v>
      </c>
      <c r="BA15" s="123"/>
      <c r="BB15" s="123"/>
      <c r="BC15" s="123"/>
      <c r="BD15" s="541">
        <f>'(2.1)_Proxy Resources'!D54</f>
        <v>0.33</v>
      </c>
      <c r="BE15" s="132"/>
      <c r="BG15" s="444" t="s">
        <v>108</v>
      </c>
      <c r="BH15" s="445"/>
      <c r="BI15" s="445"/>
      <c r="BJ15" s="445"/>
      <c r="BK15" s="455">
        <f>'(2.1)_Proxy Resources'!K54</f>
        <v>7.3700000000000002E-2</v>
      </c>
      <c r="BL15" s="452"/>
    </row>
    <row r="16" spans="1:64" ht="12">
      <c r="A16" t="s">
        <v>138</v>
      </c>
      <c r="B16" s="250"/>
      <c r="C16" s="231" t="s">
        <v>109</v>
      </c>
      <c r="D16" s="231"/>
      <c r="E16" s="231"/>
      <c r="F16" s="231"/>
      <c r="G16" s="255">
        <v>12.45</v>
      </c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N16" s="444" t="s">
        <v>108</v>
      </c>
      <c r="AO16" s="445"/>
      <c r="AP16" s="445"/>
      <c r="AQ16" s="445"/>
      <c r="AR16" s="455">
        <f>'(2.1)_Proxy Resources'!K52</f>
        <v>7.2562879502455491E-2</v>
      </c>
      <c r="AS16" s="447"/>
      <c r="AT16" s="437" t="s">
        <v>110</v>
      </c>
      <c r="AU16" s="448"/>
      <c r="AV16" s="456">
        <f>'(2.1)_Proxy Resources'!D53</f>
        <v>0.70285573530285894</v>
      </c>
      <c r="AW16" s="235"/>
      <c r="AZ16" s="122" t="s">
        <v>100</v>
      </c>
      <c r="BA16" s="124"/>
      <c r="BB16" s="129">
        <v>5.75</v>
      </c>
      <c r="BE16" s="130"/>
      <c r="BG16" s="444" t="s">
        <v>100</v>
      </c>
      <c r="BH16" s="448"/>
      <c r="BI16" s="396">
        <f>'(2.1)_Proxy Resources'!L54</f>
        <v>15.97</v>
      </c>
      <c r="BL16" s="449"/>
    </row>
    <row r="17" spans="1:64" ht="12">
      <c r="A17" t="s">
        <v>138</v>
      </c>
      <c r="B17" s="250"/>
      <c r="C17" s="231" t="s">
        <v>111</v>
      </c>
      <c r="D17" s="231"/>
      <c r="E17" s="231"/>
      <c r="F17" s="231"/>
      <c r="G17" s="255">
        <v>0</v>
      </c>
      <c r="H17" s="252"/>
      <c r="AB17" s="2"/>
      <c r="AG17" s="127"/>
      <c r="AI17" s="127"/>
      <c r="AJ17" s="123"/>
      <c r="AK17" s="130"/>
      <c r="AN17" s="2"/>
      <c r="AS17" s="447"/>
      <c r="AU17" s="447"/>
      <c r="AV17" s="445"/>
      <c r="AW17" s="449"/>
      <c r="AZ17" s="116" t="s">
        <v>101</v>
      </c>
      <c r="BA17" s="118"/>
      <c r="BB17" s="117">
        <v>2006</v>
      </c>
      <c r="BE17" s="128"/>
      <c r="BG17" s="436" t="s">
        <v>101</v>
      </c>
      <c r="BH17" s="438"/>
      <c r="BI17" s="450">
        <v>2016</v>
      </c>
      <c r="BL17" s="457"/>
    </row>
    <row r="18" spans="1:64" ht="12">
      <c r="B18" s="250"/>
      <c r="C18" s="231" t="s">
        <v>112</v>
      </c>
      <c r="D18" s="231"/>
      <c r="E18" s="231"/>
      <c r="F18" s="231"/>
      <c r="G18" s="254">
        <v>7.3164524549999999E-2</v>
      </c>
      <c r="H18" s="252"/>
      <c r="I18" s="458">
        <f>'(2.2)_Forward_Price_Curve'!AA8</f>
        <v>6.5699999999999995E-2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459"/>
      <c r="AO18" s="460"/>
      <c r="AP18" s="460"/>
      <c r="AQ18" s="460"/>
      <c r="AR18" s="460"/>
      <c r="AS18" s="460"/>
      <c r="AT18" s="460"/>
      <c r="AU18" s="460"/>
      <c r="AV18" s="460"/>
      <c r="AW18" s="461"/>
      <c r="AZ18" s="138"/>
      <c r="BA18" s="139"/>
      <c r="BB18" s="139"/>
      <c r="BC18" s="139"/>
      <c r="BD18" s="139"/>
      <c r="BE18" s="141"/>
      <c r="BG18" s="459"/>
      <c r="BH18" s="460"/>
      <c r="BI18" s="460"/>
      <c r="BJ18" s="460"/>
      <c r="BK18" s="460"/>
      <c r="BL18" s="462"/>
    </row>
    <row r="19" spans="1:64" ht="12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s="458">
        <f>'(2.2)_Forward_Price_Curve'!L103</f>
        <v>0.158</v>
      </c>
    </row>
    <row r="20" spans="1:64">
      <c r="B20" s="231"/>
      <c r="C20" s="231"/>
      <c r="D20" s="231"/>
      <c r="E20" s="231"/>
      <c r="F20" s="231"/>
      <c r="G20" t="s">
        <v>113</v>
      </c>
      <c r="H20" s="231"/>
    </row>
    <row r="23" spans="1:64">
      <c r="B23" s="244"/>
      <c r="C23" s="241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v>2009</v>
      </c>
      <c r="E28" s="169">
        <f>'(2.2)_Forward_Price_Curve'!V23</f>
        <v>1.7000000000000001E-2</v>
      </c>
      <c r="G28" s="18">
        <v>313921</v>
      </c>
      <c r="I28" s="268">
        <f>$G$15</f>
        <v>176.69367656848465</v>
      </c>
      <c r="J28" s="268"/>
      <c r="K28" s="268">
        <f>$G$16</f>
        <v>12.45</v>
      </c>
      <c r="L28" s="269"/>
      <c r="M28" s="268">
        <f>$G$17</f>
        <v>0</v>
      </c>
      <c r="O28" s="270">
        <v>5.1866999999999992</v>
      </c>
      <c r="Q28" s="28">
        <f>-'(2.2)_Forward_Price_Curve'!AO20</f>
        <v>-33.844219890731516</v>
      </c>
      <c r="S28" s="18">
        <f t="shared" ref="S28:S68" si="0">(I28*$G$11*1000+(K28+M28+O28+Q28)*G28)/1000</f>
        <v>12404.793128661649</v>
      </c>
      <c r="U28" s="18">
        <f t="shared" ref="U28:U68" si="1">AX28</f>
        <v>20781.274985056596</v>
      </c>
      <c r="W28" s="18">
        <f t="shared" ref="W28:W68" si="2">S28-U28</f>
        <v>-8376.4818563949466</v>
      </c>
      <c r="Y28" s="271">
        <f t="shared" ref="Y28:Y68" si="3">+W28*1000/G28</f>
        <v>-26.683407151464689</v>
      </c>
      <c r="Z28" s="235"/>
      <c r="AB28" s="146">
        <f>$C$28</f>
        <v>2009</v>
      </c>
      <c r="AC28" s="117"/>
      <c r="AD28" s="151">
        <f t="shared" ref="AD28:AD68" si="4">G28</f>
        <v>313921</v>
      </c>
      <c r="AF28" s="152">
        <v>58.163412158772744</v>
      </c>
      <c r="AG28" s="272"/>
      <c r="AH28" s="152">
        <v>8.2001037061794015</v>
      </c>
      <c r="AI28" s="272"/>
      <c r="AJ28" s="152">
        <v>2.3050946065283835</v>
      </c>
      <c r="AK28" s="272"/>
      <c r="AL28" s="153">
        <f>((AF28+AH28)*$AF$11*1000+AJ28*AD28)/1000</f>
        <v>5642.5028623825328</v>
      </c>
      <c r="AN28" s="154">
        <f>INDEX('(2.2)_Forward_Price_Curve'!$I:$I,MATCH($AB28,'(2.2)_Forward_Price_Curve'!$C:$C,0),1)</f>
        <v>7.7758276535043622</v>
      </c>
      <c r="AO28" s="279"/>
      <c r="AP28" s="154">
        <f t="shared" ref="AP28:AP68" si="5">AN28*$AF$14/1000</f>
        <v>56.499329593768707</v>
      </c>
      <c r="AQ28" s="272"/>
      <c r="AR28" s="152">
        <v>2.3860545125109165</v>
      </c>
      <c r="AS28" s="152"/>
      <c r="AT28" s="153">
        <f t="shared" ref="AT28:AT68" si="6">AL28-BF28</f>
        <v>2295.9163210291922</v>
      </c>
      <c r="AU28" s="272"/>
      <c r="AV28" s="153">
        <f t="shared" ref="AV28:AV68" si="7">(AP28+AR28)*AD28/1000</f>
        <v>18485.358664027404</v>
      </c>
      <c r="AW28" s="273"/>
      <c r="AX28" s="155">
        <f t="shared" ref="AX28:AX68" si="8">AT28+AV28</f>
        <v>20781.274985056596</v>
      </c>
      <c r="AZ28" s="146">
        <f>$C$28</f>
        <v>2009</v>
      </c>
      <c r="BA28" s="117"/>
      <c r="BB28" s="152">
        <v>39.191870478599988</v>
      </c>
      <c r="BD28" s="152">
        <v>5.9588572499999986</v>
      </c>
      <c r="BE28" s="272"/>
      <c r="BF28" s="153">
        <f t="shared" ref="BF28:BF68" si="9">(BB28+BD28)*$BD$11</f>
        <v>3346.5865413533406</v>
      </c>
      <c r="BG28" s="272"/>
      <c r="BH28" s="156"/>
    </row>
    <row r="29" spans="1:64" ht="12">
      <c r="B29" s="2"/>
      <c r="C29">
        <f>+IF(C28&gt;$G$13+$G$14,XX,C28+1)</f>
        <v>2010</v>
      </c>
      <c r="E29" s="169">
        <f>'(2.2)_Forward_Price_Curve'!V24</f>
        <v>1.9E-2</v>
      </c>
      <c r="G29" s="18">
        <v>323799</v>
      </c>
      <c r="I29" s="28">
        <f t="shared" ref="I29:K37" si="10">I28*(1+$E29)</f>
        <v>180.05085642328584</v>
      </c>
      <c r="K29" s="28">
        <f t="shared" si="10"/>
        <v>12.686549999999999</v>
      </c>
      <c r="M29" s="28">
        <f t="shared" ref="M29:M68" si="11">M28*(1+$E29)</f>
        <v>0</v>
      </c>
      <c r="O29" s="270">
        <v>5.2748738999999985</v>
      </c>
      <c r="Q29" s="28">
        <f>-'(2.2)_Forward_Price_Curve'!AO21</f>
        <v>-35.45584940933778</v>
      </c>
      <c r="S29" s="18">
        <f t="shared" si="0"/>
        <v>12160.357300407233</v>
      </c>
      <c r="U29" s="18">
        <f t="shared" si="1"/>
        <v>20742.436827519035</v>
      </c>
      <c r="W29" s="18">
        <f t="shared" si="2"/>
        <v>-8582.0795271118022</v>
      </c>
      <c r="Y29" s="271">
        <f t="shared" si="3"/>
        <v>-26.504342283675374</v>
      </c>
      <c r="Z29" s="235"/>
      <c r="AB29" s="146">
        <f>+IF(AB28&gt;$G$13+$G$14,XX,AB28+1)</f>
        <v>2010</v>
      </c>
      <c r="AC29" s="117"/>
      <c r="AD29" s="151">
        <f t="shared" si="4"/>
        <v>323799</v>
      </c>
      <c r="AF29" s="154">
        <f t="shared" ref="AF29:AF37" si="12">AF28*(1+$E29)</f>
        <v>59.268516989789418</v>
      </c>
      <c r="AH29" s="154">
        <f t="shared" ref="AH29:AH37" si="13">AH28*(1+$E29)</f>
        <v>8.3559056765968087</v>
      </c>
      <c r="AJ29" s="154">
        <f t="shared" ref="AJ29:AJ37" si="14">AJ28*(1+$E29)</f>
        <v>2.3488914040524227</v>
      </c>
      <c r="AL29" s="153">
        <f t="shared" ref="AL29:AL66" si="15">((AF29+AH29)*$AF$11*1000+AJ29*AD29)/1000</f>
        <v>5772.9127660570302</v>
      </c>
      <c r="AN29" s="154">
        <f>INDEX('(2.2)_Forward_Price_Curve'!$I:$I,MATCH($AB29,'(2.2)_Forward_Price_Curve'!$C:$C,0),1)</f>
        <v>7.4774457529777205</v>
      </c>
      <c r="AP29" s="154">
        <f t="shared" si="5"/>
        <v>54.331280339864243</v>
      </c>
      <c r="AR29" s="154">
        <f>AR28*(1+$E29)</f>
        <v>2.4313895482486236</v>
      </c>
      <c r="AS29" s="154"/>
      <c r="AT29" s="153">
        <f t="shared" si="6"/>
        <v>2362.7410804179767</v>
      </c>
      <c r="AV29" s="153">
        <f t="shared" si="7"/>
        <v>18379.695747101057</v>
      </c>
      <c r="AW29" s="273"/>
      <c r="AX29" s="155">
        <f t="shared" si="8"/>
        <v>20742.436827519035</v>
      </c>
      <c r="AZ29" s="146">
        <f>+IF(AZ28&gt;$G$13+$G$14,XX,AZ28+1)</f>
        <v>2010</v>
      </c>
      <c r="BA29" s="117"/>
      <c r="BB29" s="154">
        <f t="shared" ref="BB29:BB68" si="16">BB28*(1+$E29)</f>
        <v>39.936516017693386</v>
      </c>
      <c r="BD29" s="154">
        <f t="shared" ref="BD29:BD68" si="17">BD28*(1+$E29)</f>
        <v>6.0720755377499982</v>
      </c>
      <c r="BF29" s="153">
        <f t="shared" si="9"/>
        <v>3410.1716856390535</v>
      </c>
      <c r="BH29" s="157"/>
    </row>
    <row r="30" spans="1:64" ht="12">
      <c r="B30" s="2"/>
      <c r="C30">
        <f>+IF(C29&gt;$G$13+$G$14,XX,C29+1)</f>
        <v>2011</v>
      </c>
      <c r="E30" s="169">
        <f>'(2.2)_Forward_Price_Curve'!V25</f>
        <v>1.9E-2</v>
      </c>
      <c r="G30" s="18">
        <v>323799</v>
      </c>
      <c r="I30" s="28">
        <f t="shared" si="10"/>
        <v>183.47182269532826</v>
      </c>
      <c r="K30" s="28">
        <f t="shared" si="10"/>
        <v>12.927594449999997</v>
      </c>
      <c r="M30" s="28">
        <f t="shared" si="11"/>
        <v>0</v>
      </c>
      <c r="O30" s="270">
        <v>5.3750965040999983</v>
      </c>
      <c r="Q30" s="28">
        <f>-'(2.2)_Forward_Price_Curve'!AO22</f>
        <v>-35.45584940933778</v>
      </c>
      <c r="S30" s="18">
        <f t="shared" si="0"/>
        <v>12609.534892189957</v>
      </c>
      <c r="U30" s="18">
        <f t="shared" si="1"/>
        <v>19872.247902857129</v>
      </c>
      <c r="W30" s="18">
        <f t="shared" si="2"/>
        <v>-7262.7130106671721</v>
      </c>
      <c r="Y30" s="271">
        <f t="shared" si="3"/>
        <v>-22.429695615697305</v>
      </c>
      <c r="Z30" s="235"/>
      <c r="AB30" s="146">
        <f>+IF(AB29&gt;$G$13+$G$14,XX,AB29+1)</f>
        <v>2011</v>
      </c>
      <c r="AC30" s="117"/>
      <c r="AD30" s="151">
        <f t="shared" si="4"/>
        <v>323799</v>
      </c>
      <c r="AF30" s="154">
        <f t="shared" si="12"/>
        <v>60.394618812595411</v>
      </c>
      <c r="AH30" s="154">
        <f t="shared" si="13"/>
        <v>8.5146678844521482</v>
      </c>
      <c r="AJ30" s="154">
        <f t="shared" si="14"/>
        <v>2.3935203407294185</v>
      </c>
      <c r="AL30" s="153">
        <f t="shared" si="15"/>
        <v>5882.5981086121137</v>
      </c>
      <c r="AN30" s="154">
        <f>INDEX('(2.2)_Forward_Price_Curve'!$I:$I,MATCH($AB30,'(2.2)_Forward_Price_Curve'!$C:$C,0),1)</f>
        <v>7.0821436233211914</v>
      </c>
      <c r="AP30" s="154">
        <f t="shared" si="5"/>
        <v>51.459006633731178</v>
      </c>
      <c r="AR30" s="154">
        <f t="shared" ref="AR30:AR68" si="18">AR29*(1+$E30)</f>
        <v>2.4775859496653472</v>
      </c>
      <c r="AS30" s="154"/>
      <c r="AT30" s="153">
        <f t="shared" si="6"/>
        <v>2407.633160945918</v>
      </c>
      <c r="AV30" s="153">
        <f t="shared" si="7"/>
        <v>17464.614741911209</v>
      </c>
      <c r="AW30" s="273"/>
      <c r="AX30" s="155">
        <f t="shared" si="8"/>
        <v>19872.247902857129</v>
      </c>
      <c r="AZ30" s="146">
        <f>+IF(AZ29&gt;$G$13+$G$14,XX,AZ29+1)</f>
        <v>2011</v>
      </c>
      <c r="BA30" s="117"/>
      <c r="BB30" s="154">
        <f t="shared" si="16"/>
        <v>40.695309822029557</v>
      </c>
      <c r="BD30" s="154">
        <f t="shared" si="17"/>
        <v>6.1874449729672474</v>
      </c>
      <c r="BF30" s="153">
        <f t="shared" si="9"/>
        <v>3474.9649476661957</v>
      </c>
      <c r="BH30" s="157"/>
    </row>
    <row r="31" spans="1:64" ht="12">
      <c r="B31" s="2"/>
      <c r="C31">
        <f>+IF(C30&gt;$G$13+$G$14,XX,C30+1)</f>
        <v>2012</v>
      </c>
      <c r="E31" s="169">
        <f>'(2.2)_Forward_Price_Curve'!V26</f>
        <v>0.02</v>
      </c>
      <c r="G31" s="18">
        <v>324797</v>
      </c>
      <c r="I31" s="28">
        <f t="shared" si="10"/>
        <v>187.14125914923483</v>
      </c>
      <c r="K31" s="28">
        <f t="shared" si="10"/>
        <v>13.186146338999997</v>
      </c>
      <c r="M31" s="28">
        <f t="shared" si="11"/>
        <v>0</v>
      </c>
      <c r="O31" s="270">
        <v>5.4772233376778976</v>
      </c>
      <c r="Q31" s="28">
        <f>-'(2.2)_Forward_Price_Curve'!AO23</f>
        <v>-35.45584940933778</v>
      </c>
      <c r="S31" s="18">
        <f t="shared" si="0"/>
        <v>13072.837616045517</v>
      </c>
      <c r="U31" s="18">
        <f t="shared" si="1"/>
        <v>19096.736925658905</v>
      </c>
      <c r="W31" s="18">
        <f t="shared" si="2"/>
        <v>-6023.8993096133872</v>
      </c>
      <c r="Y31" s="271">
        <f t="shared" si="3"/>
        <v>-18.546659327559635</v>
      </c>
      <c r="Z31" s="235"/>
      <c r="AB31" s="146">
        <f>+IF(AB30&gt;$G$13+$G$14,XX,AB30+1)</f>
        <v>2012</v>
      </c>
      <c r="AC31" s="117"/>
      <c r="AD31" s="151">
        <f t="shared" si="4"/>
        <v>324797</v>
      </c>
      <c r="AF31" s="154">
        <f t="shared" si="12"/>
        <v>61.602511188847323</v>
      </c>
      <c r="AH31" s="154">
        <f t="shared" si="13"/>
        <v>8.6849612421411919</v>
      </c>
      <c r="AJ31" s="154">
        <f t="shared" si="14"/>
        <v>2.4413907475440069</v>
      </c>
      <c r="AL31" s="153">
        <f t="shared" si="15"/>
        <v>6002.6865787504057</v>
      </c>
      <c r="AN31" s="154">
        <f>INDEX('(2.2)_Forward_Price_Curve'!$I:$I,MATCH($AB31,'(2.2)_Forward_Price_Curve'!$C:$C,0),1)</f>
        <v>6.7024699037828679</v>
      </c>
      <c r="AP31" s="154">
        <f t="shared" si="5"/>
        <v>48.700289288881038</v>
      </c>
      <c r="AR31" s="154">
        <f t="shared" si="18"/>
        <v>2.527137668658654</v>
      </c>
      <c r="AS31" s="154"/>
      <c r="AT31" s="153">
        <f t="shared" si="6"/>
        <v>2458.2223321308861</v>
      </c>
      <c r="AV31" s="153">
        <f t="shared" si="7"/>
        <v>16638.51459352802</v>
      </c>
      <c r="AW31" s="273"/>
      <c r="AX31" s="155">
        <f t="shared" si="8"/>
        <v>19096.736925658905</v>
      </c>
      <c r="AZ31" s="146">
        <f>+IF(AZ30&gt;$G$13+$G$14,XX,AZ30+1)</f>
        <v>2012</v>
      </c>
      <c r="BA31" s="117"/>
      <c r="BB31" s="154">
        <f t="shared" si="16"/>
        <v>41.509216018470148</v>
      </c>
      <c r="BD31" s="154">
        <f t="shared" si="17"/>
        <v>6.3111938724265926</v>
      </c>
      <c r="BF31" s="153">
        <f t="shared" si="9"/>
        <v>3544.4642466195196</v>
      </c>
      <c r="BH31" s="157"/>
    </row>
    <row r="32" spans="1:64" ht="12">
      <c r="B32" s="2"/>
      <c r="C32">
        <f>+IF(C31&gt;$G$13+$G$14,XX,C31+1)</f>
        <v>2013</v>
      </c>
      <c r="E32" s="169">
        <f>'(2.2)_Forward_Price_Curve'!V27</f>
        <v>1.9E-2</v>
      </c>
      <c r="G32" s="18">
        <v>323799</v>
      </c>
      <c r="I32" s="28">
        <f t="shared" si="10"/>
        <v>190.69694307307026</v>
      </c>
      <c r="K32" s="28">
        <f t="shared" si="10"/>
        <v>13.436683119440996</v>
      </c>
      <c r="M32" s="28">
        <f t="shared" si="11"/>
        <v>0</v>
      </c>
      <c r="O32" s="270">
        <v>5.5867678044314557</v>
      </c>
      <c r="Q32" s="28">
        <f>-'(2.2)_Forward_Price_Curve'!AO24</f>
        <v>-37.067478927944045</v>
      </c>
      <c r="S32" s="18">
        <f t="shared" si="0"/>
        <v>13036.359140543578</v>
      </c>
      <c r="U32" s="18">
        <f t="shared" si="1"/>
        <v>19098.383357130759</v>
      </c>
      <c r="W32" s="18">
        <f t="shared" si="2"/>
        <v>-6062.0242165871805</v>
      </c>
      <c r="Y32" s="271">
        <f t="shared" si="3"/>
        <v>-18.721565590342095</v>
      </c>
      <c r="Z32" s="235"/>
      <c r="AB32" s="146">
        <f>+IF(AB31&gt;$G$13+$G$14,XX,AB31+1)</f>
        <v>2013</v>
      </c>
      <c r="AC32" s="117"/>
      <c r="AD32" s="151">
        <f t="shared" si="4"/>
        <v>323799</v>
      </c>
      <c r="AF32" s="154">
        <f t="shared" si="12"/>
        <v>62.772958901435416</v>
      </c>
      <c r="AH32" s="154">
        <f t="shared" si="13"/>
        <v>8.8499755057418739</v>
      </c>
      <c r="AJ32" s="154">
        <f t="shared" si="14"/>
        <v>2.4877771717473429</v>
      </c>
      <c r="AL32" s="153">
        <f t="shared" si="15"/>
        <v>6114.2548221292591</v>
      </c>
      <c r="AN32" s="154">
        <f>INDEX('(2.2)_Forward_Price_Curve'!$I:$I,MATCH($AB32,'(2.2)_Forward_Price_Curve'!$C:$C,0),1)</f>
        <v>6.6994948806584134</v>
      </c>
      <c r="AP32" s="154">
        <f t="shared" si="5"/>
        <v>48.678672707399592</v>
      </c>
      <c r="AR32" s="154">
        <f t="shared" si="18"/>
        <v>2.5751532843631684</v>
      </c>
      <c r="AS32" s="154"/>
      <c r="AT32" s="153">
        <f t="shared" si="6"/>
        <v>2502.4457548239693</v>
      </c>
      <c r="AV32" s="153">
        <f t="shared" si="7"/>
        <v>16595.937602306789</v>
      </c>
      <c r="AW32" s="273"/>
      <c r="AX32" s="155">
        <f t="shared" si="8"/>
        <v>19098.383357130759</v>
      </c>
      <c r="AZ32" s="146">
        <f>+IF(AZ31&gt;$G$13+$G$14,XX,AZ31+1)</f>
        <v>2013</v>
      </c>
      <c r="BA32" s="117"/>
      <c r="BB32" s="154">
        <f t="shared" si="16"/>
        <v>42.297891122821078</v>
      </c>
      <c r="BD32" s="154">
        <f t="shared" si="17"/>
        <v>6.431106556002697</v>
      </c>
      <c r="BF32" s="153">
        <f t="shared" si="9"/>
        <v>3611.8090673052898</v>
      </c>
      <c r="BH32" s="157"/>
    </row>
    <row r="33" spans="2:60" ht="12">
      <c r="B33" s="2"/>
      <c r="C33">
        <f>+IF(C32&gt;$G$13+$G$14,XX,C32+1)</f>
        <v>2014</v>
      </c>
      <c r="E33" s="169">
        <f>'(2.2)_Forward_Price_Curve'!V28</f>
        <v>1.7999999999999999E-2</v>
      </c>
      <c r="G33" s="18">
        <v>323799</v>
      </c>
      <c r="I33" s="28">
        <f t="shared" si="10"/>
        <v>194.12948804838553</v>
      </c>
      <c r="K33" s="28">
        <f t="shared" si="10"/>
        <v>13.678543415590934</v>
      </c>
      <c r="M33" s="28">
        <f t="shared" si="11"/>
        <v>0</v>
      </c>
      <c r="O33" s="270">
        <v>5.6929163927156532</v>
      </c>
      <c r="Q33" s="28">
        <f>-'(2.2)_Forward_Price_Curve'!AO25</f>
        <v>-37.067478927944045</v>
      </c>
      <c r="S33" s="18">
        <f t="shared" si="0"/>
        <v>13488.866021870677</v>
      </c>
      <c r="U33" s="18">
        <f t="shared" si="1"/>
        <v>19663.129271002799</v>
      </c>
      <c r="W33" s="18">
        <f t="shared" si="2"/>
        <v>-6174.2632491321219</v>
      </c>
      <c r="Y33" s="271">
        <f t="shared" si="3"/>
        <v>-19.068197397558738</v>
      </c>
      <c r="Z33" s="235"/>
      <c r="AB33" s="146">
        <f>+IF(AB32&gt;$G$13+$G$14,XX,AB32+1)</f>
        <v>2014</v>
      </c>
      <c r="AC33" s="117"/>
      <c r="AD33" s="151">
        <f t="shared" si="4"/>
        <v>323799</v>
      </c>
      <c r="AF33" s="154">
        <f t="shared" si="12"/>
        <v>63.902872161661257</v>
      </c>
      <c r="AH33" s="154">
        <f t="shared" si="13"/>
        <v>9.0092750648452284</v>
      </c>
      <c r="AJ33" s="154">
        <f t="shared" si="14"/>
        <v>2.5325571608387953</v>
      </c>
      <c r="AL33" s="153">
        <f t="shared" si="15"/>
        <v>6224.3114089275859</v>
      </c>
      <c r="AN33" s="154">
        <f>INDEX('(2.2)_Forward_Price_Curve'!$I:$I,MATCH($AB33,'(2.2)_Forward_Price_Curve'!$C:$C,0),1)</f>
        <v>6.9140085811973453</v>
      </c>
      <c r="AP33" s="154">
        <f t="shared" si="5"/>
        <v>50.2373338312307</v>
      </c>
      <c r="AR33" s="154">
        <f t="shared" si="18"/>
        <v>2.6215060434817055</v>
      </c>
      <c r="AS33" s="154"/>
      <c r="AT33" s="153">
        <f t="shared" si="6"/>
        <v>2547.4897784108007</v>
      </c>
      <c r="AV33" s="153">
        <f t="shared" si="7"/>
        <v>17115.639492591999</v>
      </c>
      <c r="AW33" s="273"/>
      <c r="AX33" s="155">
        <f t="shared" si="8"/>
        <v>19663.129271002799</v>
      </c>
      <c r="AZ33" s="146">
        <f>+IF(AZ32&gt;$G$13+$G$14,XX,AZ32+1)</f>
        <v>2014</v>
      </c>
      <c r="BA33" s="117"/>
      <c r="BB33" s="154">
        <f t="shared" si="16"/>
        <v>43.059253163031855</v>
      </c>
      <c r="BD33" s="154">
        <f t="shared" si="17"/>
        <v>6.5468664740107458</v>
      </c>
      <c r="BF33" s="153">
        <f t="shared" si="9"/>
        <v>3676.8216305167853</v>
      </c>
      <c r="BH33" s="157"/>
    </row>
    <row r="34" spans="2:60" ht="12">
      <c r="B34" s="2"/>
      <c r="C34">
        <f>+IF(C33&gt;$G$13+$G$14,XX,C33+1)</f>
        <v>2015</v>
      </c>
      <c r="E34" s="169">
        <f>'(2.2)_Forward_Price_Curve'!V29</f>
        <v>1.7999999999999999E-2</v>
      </c>
      <c r="G34" s="18">
        <v>323799</v>
      </c>
      <c r="I34" s="28">
        <f t="shared" si="10"/>
        <v>197.62381883325648</v>
      </c>
      <c r="K34" s="28">
        <f t="shared" si="10"/>
        <v>13.924757197071571</v>
      </c>
      <c r="M34" s="28">
        <f t="shared" si="11"/>
        <v>0</v>
      </c>
      <c r="O34" s="270">
        <v>5.7953888877845348</v>
      </c>
      <c r="Q34" s="28">
        <f>-'(2.2)_Forward_Price_Curve'!AO26</f>
        <v>-37.067478927944045</v>
      </c>
      <c r="S34" s="18">
        <f t="shared" si="0"/>
        <v>13947.709037233357</v>
      </c>
      <c r="U34" s="18">
        <f t="shared" si="1"/>
        <v>20670.9845558425</v>
      </c>
      <c r="W34" s="18">
        <f t="shared" si="2"/>
        <v>-6723.2755186091435</v>
      </c>
      <c r="Y34" s="271">
        <f t="shared" si="3"/>
        <v>-20.763731569921909</v>
      </c>
      <c r="Z34" s="235"/>
      <c r="AB34" s="146">
        <f>+IF(AB33&gt;$G$13+$G$14,XX,AB33+1)</f>
        <v>2015</v>
      </c>
      <c r="AC34" s="117"/>
      <c r="AD34" s="151">
        <f t="shared" si="4"/>
        <v>323799</v>
      </c>
      <c r="AF34" s="154">
        <f t="shared" si="12"/>
        <v>65.053123860571162</v>
      </c>
      <c r="AH34" s="154">
        <f t="shared" si="13"/>
        <v>9.1714420160124419</v>
      </c>
      <c r="AJ34" s="154">
        <f t="shared" si="14"/>
        <v>2.5781431897338938</v>
      </c>
      <c r="AL34" s="153">
        <f t="shared" si="15"/>
        <v>6336.349014288282</v>
      </c>
      <c r="AN34" s="154">
        <f>INDEX('(2.2)_Forward_Price_Curve'!$I:$I,MATCH($AB34,'(2.2)_Forward_Price_Curve'!$C:$C,0),1)</f>
        <v>7.3164011858738007</v>
      </c>
      <c r="AP34" s="154">
        <f t="shared" si="5"/>
        <v>53.161127080102943</v>
      </c>
      <c r="AR34" s="154">
        <f t="shared" si="18"/>
        <v>2.6686931522643764</v>
      </c>
      <c r="AS34" s="154"/>
      <c r="AT34" s="153">
        <f t="shared" si="6"/>
        <v>2593.3445944221949</v>
      </c>
      <c r="AV34" s="153">
        <f t="shared" si="7"/>
        <v>18077.639961420304</v>
      </c>
      <c r="AW34" s="273"/>
      <c r="AX34" s="155">
        <f t="shared" si="8"/>
        <v>20670.9845558425</v>
      </c>
      <c r="AZ34" s="146">
        <f>+IF(AZ33&gt;$G$13+$G$14,XX,AZ33+1)</f>
        <v>2015</v>
      </c>
      <c r="BA34" s="117"/>
      <c r="BB34" s="154">
        <f t="shared" si="16"/>
        <v>43.83431971996643</v>
      </c>
      <c r="BD34" s="154">
        <f t="shared" si="17"/>
        <v>6.664710070542939</v>
      </c>
      <c r="BF34" s="153">
        <f t="shared" si="9"/>
        <v>3743.0044198660871</v>
      </c>
      <c r="BH34" s="157"/>
    </row>
    <row r="35" spans="2:60" ht="12">
      <c r="B35" s="2"/>
      <c r="C35">
        <f>+IF(C34&gt;$G$13+$G$14,XX,C34+1)</f>
        <v>2016</v>
      </c>
      <c r="E35" s="169">
        <f>'(2.2)_Forward_Price_Curve'!V30</f>
        <v>1.7999999999999999E-2</v>
      </c>
      <c r="G35" s="18">
        <v>324686.12054794526</v>
      </c>
      <c r="I35" s="28">
        <f t="shared" si="10"/>
        <v>201.1810475722551</v>
      </c>
      <c r="K35" s="28">
        <f t="shared" si="10"/>
        <v>14.175402826618859</v>
      </c>
      <c r="M35" s="28">
        <f t="shared" si="11"/>
        <v>0</v>
      </c>
      <c r="O35" s="270">
        <v>5.8997058877646564</v>
      </c>
      <c r="Q35" s="28">
        <f>-'(2.2)_Forward_Price_Curve'!AO27</f>
        <v>-37.067478927944045</v>
      </c>
      <c r="S35" s="18">
        <f t="shared" si="0"/>
        <v>14399.736946097824</v>
      </c>
      <c r="U35" s="18">
        <f t="shared" si="1"/>
        <v>22211.90414417554</v>
      </c>
      <c r="W35" s="18">
        <f t="shared" si="2"/>
        <v>-7812.1671980777155</v>
      </c>
      <c r="Y35" s="271">
        <f t="shared" si="3"/>
        <v>-24.060674921655977</v>
      </c>
      <c r="Z35" s="235"/>
      <c r="AB35" s="146">
        <f>+IF(AB34&gt;$G$13+$G$14,XX,AB34+1)</f>
        <v>2016</v>
      </c>
      <c r="AC35" s="117"/>
      <c r="AD35" s="151">
        <f t="shared" si="4"/>
        <v>324686.12054794526</v>
      </c>
      <c r="AF35" s="154">
        <f t="shared" si="12"/>
        <v>66.224080090061449</v>
      </c>
      <c r="AH35" s="154">
        <f t="shared" si="13"/>
        <v>9.3365279723006669</v>
      </c>
      <c r="AJ35" s="154">
        <f t="shared" si="14"/>
        <v>2.6245497671491038</v>
      </c>
      <c r="AL35" s="153">
        <f t="shared" si="15"/>
        <v>6452.7315885730159</v>
      </c>
      <c r="AN35" s="154">
        <f>INDEX('(2.2)_Forward_Price_Curve'!$I:$I,MATCH($AB35,'(2.2)_Forward_Price_Curve'!$C:$C,0),1)</f>
        <v>7.9211828417083421</v>
      </c>
      <c r="AP35" s="154">
        <f t="shared" si="5"/>
        <v>57.555483491778489</v>
      </c>
      <c r="AR35" s="154">
        <f t="shared" si="18"/>
        <v>2.716729629005135</v>
      </c>
      <c r="AS35" s="154"/>
      <c r="AT35" s="153">
        <f t="shared" si="6"/>
        <v>2642.3530891493392</v>
      </c>
      <c r="AV35" s="153">
        <f t="shared" si="7"/>
        <v>19569.551055026201</v>
      </c>
      <c r="AW35" s="273"/>
      <c r="AX35" s="155">
        <f t="shared" si="8"/>
        <v>22211.90414417554</v>
      </c>
      <c r="AZ35" s="146">
        <f>+IF(AZ34&gt;$G$13+$G$14,XX,AZ34+1)</f>
        <v>2016</v>
      </c>
      <c r="BA35" s="117"/>
      <c r="BB35" s="154">
        <f t="shared" si="16"/>
        <v>44.623337474925826</v>
      </c>
      <c r="BD35" s="154">
        <f t="shared" si="17"/>
        <v>6.7846748518127118</v>
      </c>
      <c r="BF35" s="153">
        <f t="shared" si="9"/>
        <v>3810.3784994236767</v>
      </c>
      <c r="BH35" s="157"/>
    </row>
    <row r="36" spans="2:60" ht="12">
      <c r="B36" s="2"/>
      <c r="C36">
        <f>+IF(C35&gt;$G$13+$G$14,XX,C35+1)</f>
        <v>2017</v>
      </c>
      <c r="E36" s="169">
        <f>'(2.2)_Forward_Price_Curve'!V31</f>
        <v>1.7999999999999999E-2</v>
      </c>
      <c r="G36" s="18">
        <v>323799</v>
      </c>
      <c r="I36" s="28">
        <f t="shared" si="10"/>
        <v>204.80230642855568</v>
      </c>
      <c r="K36" s="28">
        <f t="shared" si="10"/>
        <v>14.430560077497999</v>
      </c>
      <c r="M36" s="28">
        <f t="shared" si="11"/>
        <v>0</v>
      </c>
      <c r="O36" s="270">
        <v>6.0059005937444203</v>
      </c>
      <c r="Q36" s="28">
        <f>-'(2.2)_Forward_Price_Curve'!AO28</f>
        <v>-38.679108446550309</v>
      </c>
      <c r="S36" s="18">
        <f t="shared" si="0"/>
        <v>14368.477229430091</v>
      </c>
      <c r="U36" s="18">
        <f t="shared" si="1"/>
        <v>23691.26335261836</v>
      </c>
      <c r="W36" s="18">
        <f t="shared" si="2"/>
        <v>-9322.7861231882689</v>
      </c>
      <c r="Y36" s="271">
        <f t="shared" si="3"/>
        <v>-28.791892881658896</v>
      </c>
      <c r="Z36" s="235"/>
      <c r="AB36" s="146">
        <f>+IF(AB35&gt;$G$13+$G$14,XX,AB35+1)</f>
        <v>2017</v>
      </c>
      <c r="AC36" s="117"/>
      <c r="AD36" s="151">
        <f t="shared" si="4"/>
        <v>323799</v>
      </c>
      <c r="AF36" s="154">
        <f t="shared" si="12"/>
        <v>67.416113531682555</v>
      </c>
      <c r="AH36" s="154">
        <f t="shared" si="13"/>
        <v>9.5045854758020791</v>
      </c>
      <c r="AJ36" s="154">
        <f t="shared" si="14"/>
        <v>2.6717916629577876</v>
      </c>
      <c r="AL36" s="153">
        <f t="shared" si="15"/>
        <v>6566.5105558832902</v>
      </c>
      <c r="AN36" s="154">
        <f>INDEX('(2.2)_Forward_Price_Curve'!$I:$I,MATCH($AB36,'(2.2)_Forward_Price_Curve'!$C:$C,0),1)</f>
        <v>8.5467545643478058</v>
      </c>
      <c r="AP36" s="154">
        <f t="shared" si="5"/>
        <v>62.100900972324112</v>
      </c>
      <c r="AR36" s="154">
        <f t="shared" si="18"/>
        <v>2.7656307623272274</v>
      </c>
      <c r="AS36" s="154"/>
      <c r="AT36" s="153">
        <f t="shared" si="6"/>
        <v>2687.5452434699869</v>
      </c>
      <c r="AV36" s="153">
        <f t="shared" si="7"/>
        <v>21003.718109148373</v>
      </c>
      <c r="AW36" s="273"/>
      <c r="AX36" s="155">
        <f t="shared" si="8"/>
        <v>23691.26335261836</v>
      </c>
      <c r="AZ36" s="146">
        <f>+IF(AZ35&gt;$G$13+$G$14,XX,AZ35+1)</f>
        <v>2017</v>
      </c>
      <c r="BA36" s="117"/>
      <c r="BB36" s="154">
        <f t="shared" si="16"/>
        <v>45.426557549474495</v>
      </c>
      <c r="BD36" s="154">
        <f t="shared" si="17"/>
        <v>6.9067989991453409</v>
      </c>
      <c r="BF36" s="153">
        <f t="shared" si="9"/>
        <v>3878.9653124133033</v>
      </c>
      <c r="BH36" s="157"/>
    </row>
    <row r="37" spans="2:60" ht="12">
      <c r="B37" s="2"/>
      <c r="C37">
        <f>+IF(C36&gt;$G$13+$G$14,XX,C36+1)</f>
        <v>2018</v>
      </c>
      <c r="E37" s="169">
        <f>'(2.2)_Forward_Price_Curve'!V32</f>
        <v>1.7999999999999999E-2</v>
      </c>
      <c r="G37" s="18">
        <v>323799</v>
      </c>
      <c r="I37" s="28">
        <f t="shared" si="10"/>
        <v>208.48874794426968</v>
      </c>
      <c r="K37" s="28">
        <f t="shared" si="10"/>
        <v>14.690310158892963</v>
      </c>
      <c r="M37" s="28">
        <f t="shared" si="11"/>
        <v>0</v>
      </c>
      <c r="O37" s="270">
        <v>6.1140068044318197</v>
      </c>
      <c r="Q37" s="28">
        <f>-'(2.2)_Forward_Price_Curve'!AO29</f>
        <v>-38.679108446550309</v>
      </c>
      <c r="S37" s="18">
        <f t="shared" si="0"/>
        <v>14852.546439005755</v>
      </c>
      <c r="U37" s="18">
        <f t="shared" si="1"/>
        <v>25074.214985085437</v>
      </c>
      <c r="W37" s="18">
        <f t="shared" si="2"/>
        <v>-10221.668546079682</v>
      </c>
      <c r="Y37" s="271">
        <f t="shared" si="3"/>
        <v>-31.567943526940116</v>
      </c>
      <c r="Z37" s="235"/>
      <c r="AB37" s="146">
        <f>+IF(AB36&gt;$G$13+$G$14,XX,AB36+1)</f>
        <v>2018</v>
      </c>
      <c r="AC37" s="117"/>
      <c r="AD37" s="151">
        <f t="shared" si="4"/>
        <v>323799</v>
      </c>
      <c r="AF37" s="154">
        <f t="shared" si="12"/>
        <v>68.629603575252844</v>
      </c>
      <c r="AH37" s="154">
        <f t="shared" si="13"/>
        <v>9.6756680143665168</v>
      </c>
      <c r="AJ37" s="154">
        <f t="shared" si="14"/>
        <v>2.7198839128910279</v>
      </c>
      <c r="AL37" s="153">
        <f t="shared" si="15"/>
        <v>6684.7077458891908</v>
      </c>
      <c r="AN37" s="154">
        <f>INDEX('(2.2)_Forward_Price_Curve'!$I:$I,MATCH($AB37,'(2.2)_Forward_Price_Curve'!$C:$C,0),1)</f>
        <v>9.1071488375904099</v>
      </c>
      <c r="AP37" s="154">
        <f t="shared" si="5"/>
        <v>66.172737715275218</v>
      </c>
      <c r="AR37" s="154">
        <f t="shared" si="18"/>
        <v>2.8154121160491177</v>
      </c>
      <c r="AS37" s="154"/>
      <c r="AT37" s="153">
        <f t="shared" si="6"/>
        <v>2735.9210578524476</v>
      </c>
      <c r="AV37" s="153">
        <f t="shared" si="7"/>
        <v>22338.29392723299</v>
      </c>
      <c r="AW37" s="273"/>
      <c r="AX37" s="155">
        <f t="shared" si="8"/>
        <v>25074.214985085437</v>
      </c>
      <c r="AZ37" s="146">
        <f>+IF(AZ36&gt;$G$13+$G$14,XX,AZ36+1)</f>
        <v>2018</v>
      </c>
      <c r="BA37" s="117"/>
      <c r="BB37" s="154">
        <f t="shared" si="16"/>
        <v>46.24423558536504</v>
      </c>
      <c r="BD37" s="154">
        <f t="shared" si="17"/>
        <v>7.0311213811299575</v>
      </c>
      <c r="BF37" s="153">
        <f t="shared" si="9"/>
        <v>3948.7866880367433</v>
      </c>
      <c r="BH37" s="157"/>
    </row>
    <row r="38" spans="2:60" ht="12">
      <c r="B38" s="2"/>
      <c r="C38" s="353">
        <f>+IF(C37&gt;$G$13+$G$14,XX,C37+1)</f>
        <v>2019</v>
      </c>
      <c r="E38" s="355">
        <v>1.7999999999999999E-2</v>
      </c>
      <c r="G38" s="357">
        <v>330173.67391304346</v>
      </c>
      <c r="I38" s="538">
        <v>233.64815473251235</v>
      </c>
      <c r="K38" s="464">
        <v>10.777120355497136</v>
      </c>
      <c r="M38" s="28">
        <f t="shared" si="11"/>
        <v>0</v>
      </c>
      <c r="O38" s="464">
        <v>1.1100000000000001</v>
      </c>
      <c r="Q38" s="464">
        <v>-22.382808254915417</v>
      </c>
      <c r="S38" s="18">
        <f t="shared" si="0"/>
        <v>19665.767484523116</v>
      </c>
      <c r="U38" s="18">
        <f t="shared" si="1"/>
        <v>29537.446756032885</v>
      </c>
      <c r="W38" s="18">
        <f t="shared" si="2"/>
        <v>-9871.679271509769</v>
      </c>
      <c r="Y38" s="271">
        <f t="shared" si="3"/>
        <v>-29.898444520169811</v>
      </c>
      <c r="Z38" s="235"/>
      <c r="AB38" s="377">
        <f>+IF(AB37&gt;$G$13+$G$14,XX,AB37+1)</f>
        <v>2019</v>
      </c>
      <c r="AC38" s="117"/>
      <c r="AD38" s="151">
        <f t="shared" si="4"/>
        <v>330173.67391304346</v>
      </c>
      <c r="AF38" s="399">
        <f>AR15*AR16</f>
        <v>98.875745606933918</v>
      </c>
      <c r="AH38" s="399">
        <f>AV11</f>
        <v>19.805241420865066</v>
      </c>
      <c r="AJ38" s="399">
        <f>AV13</f>
        <v>2.02116486562735</v>
      </c>
      <c r="AL38" s="153">
        <f t="shared" si="15"/>
        <v>9464.0085701570279</v>
      </c>
      <c r="AN38" s="399">
        <f>INDEX('(2.2)_Forward_Price_Curve'!$I:$I,MATCH($AB38,'(2.2)_Forward_Price_Curve'!$C:$C,0),1)</f>
        <v>9.7289597532905745</v>
      </c>
      <c r="AP38" s="154">
        <f t="shared" si="5"/>
        <v>70.69082909237946</v>
      </c>
      <c r="AR38" s="399">
        <f>AV15</f>
        <v>2.2807762714164963</v>
      </c>
      <c r="AS38" s="154"/>
      <c r="AT38" s="153">
        <f t="shared" si="6"/>
        <v>5444.1437217356233</v>
      </c>
      <c r="AV38" s="153">
        <f t="shared" si="7"/>
        <v>24093.30303429726</v>
      </c>
      <c r="AW38" s="273"/>
      <c r="AX38" s="155">
        <f t="shared" si="8"/>
        <v>29537.446756032885</v>
      </c>
      <c r="AZ38" s="383">
        <f>+IF(AZ37&gt;$G$13+$G$14,XX,AZ37+1)</f>
        <v>2019</v>
      </c>
      <c r="BA38" s="117"/>
      <c r="BB38" s="399">
        <f t="shared" si="16"/>
        <v>47.076631825901615</v>
      </c>
      <c r="BD38" s="399">
        <f t="shared" si="17"/>
        <v>7.1576815659902966</v>
      </c>
      <c r="BF38" s="153">
        <f t="shared" si="9"/>
        <v>4019.8648484214045</v>
      </c>
      <c r="BH38" s="157"/>
    </row>
    <row r="39" spans="2:60" ht="12">
      <c r="B39" s="2"/>
      <c r="C39" s="354">
        <f>+IF(C38&gt;$I$13+$I$14,XX,C38+1)</f>
        <v>2020</v>
      </c>
      <c r="E39" s="356">
        <f>'(2.2)_Forward_Price_Curve'!S33</f>
        <v>2.3E-2</v>
      </c>
      <c r="G39" s="470">
        <v>348043.67391304346</v>
      </c>
      <c r="I39" s="360">
        <v>306.3420991805142</v>
      </c>
      <c r="K39" s="471">
        <v>13.948531212618697</v>
      </c>
      <c r="M39" s="28">
        <f t="shared" si="11"/>
        <v>0</v>
      </c>
      <c r="O39" s="471">
        <v>0.63</v>
      </c>
      <c r="Q39" s="471">
        <v>-33.150783021494966</v>
      </c>
      <c r="S39" s="18">
        <f t="shared" si="0"/>
        <v>23863.913066471443</v>
      </c>
      <c r="U39" s="18">
        <f t="shared" si="1"/>
        <v>13232.276673815386</v>
      </c>
      <c r="W39" s="18">
        <f t="shared" si="2"/>
        <v>10631.636392656057</v>
      </c>
      <c r="Y39" s="271">
        <f t="shared" si="3"/>
        <v>30.546845667743135</v>
      </c>
      <c r="Z39" s="235"/>
      <c r="AB39" s="378">
        <f>+IF(AB38&gt;$I$13+$I$14,XX,AB38+1)</f>
        <v>2020</v>
      </c>
      <c r="AC39" s="117"/>
      <c r="AD39" s="151">
        <f t="shared" si="4"/>
        <v>348043.67391304346</v>
      </c>
      <c r="AF39" s="154">
        <f t="shared" ref="AF39:AF68" si="19">AF38*(1+$E39)</f>
        <v>101.14988775589339</v>
      </c>
      <c r="AH39" s="154">
        <f t="shared" ref="AH39:AH68" si="20">AH38*(1+$E39)</f>
        <v>20.260761973544962</v>
      </c>
      <c r="AJ39" s="154">
        <f t="shared" ref="AJ39:AJ68" si="21">AJ38*(1+$E39)</f>
        <v>2.0676516575367789</v>
      </c>
      <c r="AL39" s="153">
        <f t="shared" si="15"/>
        <v>9718.629702390821</v>
      </c>
      <c r="AN39" s="154">
        <f>INDEX('(2.2)_Forward_Price_Curve'!$K:$K,MATCH($AB39,'(2.2)_Forward_Price_Curve'!$C:$C,0),1)</f>
        <v>2.6944208333333339</v>
      </c>
      <c r="AP39" s="154">
        <f t="shared" si="5"/>
        <v>19.577719248729689</v>
      </c>
      <c r="AR39" s="154">
        <f>AR38*(1+$E39)</f>
        <v>2.3332341256590756</v>
      </c>
      <c r="AS39" s="154"/>
      <c r="AT39" s="153">
        <f t="shared" si="6"/>
        <v>5606.307962455724</v>
      </c>
      <c r="AV39" s="153">
        <f t="shared" si="7"/>
        <v>7625.9687113596619</v>
      </c>
      <c r="AW39" s="273"/>
      <c r="AX39" s="155">
        <f t="shared" si="8"/>
        <v>13232.276673815386</v>
      </c>
      <c r="AZ39" s="384">
        <f>+IF(AZ38&gt;$I$13+$I$14,XX,AZ38+1)</f>
        <v>2020</v>
      </c>
      <c r="BA39" s="117"/>
      <c r="BB39" s="154">
        <f t="shared" si="16"/>
        <v>48.159394357897348</v>
      </c>
      <c r="BD39" s="154">
        <f t="shared" si="17"/>
        <v>7.3223082420080727</v>
      </c>
      <c r="BF39" s="153">
        <f t="shared" si="9"/>
        <v>4112.321739935097</v>
      </c>
      <c r="BH39" s="157"/>
    </row>
    <row r="40" spans="2:60" ht="12">
      <c r="B40" s="2"/>
      <c r="C40" s="354">
        <f>+IF(C39&gt;$I$13+$I$14,XX,C39+1)</f>
        <v>2021</v>
      </c>
      <c r="E40" s="356">
        <f>'(2.2)_Forward_Price_Curve'!S34</f>
        <v>2.5999999999999999E-2</v>
      </c>
      <c r="G40" s="470">
        <v>348055.67391304352</v>
      </c>
      <c r="I40" s="360">
        <v>313.76794066935872</v>
      </c>
      <c r="K40" s="471">
        <v>14.244270562919027</v>
      </c>
      <c r="M40" s="28">
        <f t="shared" si="11"/>
        <v>0</v>
      </c>
      <c r="O40" s="471">
        <v>0.6399999999999999</v>
      </c>
      <c r="Q40" s="471">
        <v>-34.476814342354764</v>
      </c>
      <c r="S40" s="18">
        <f t="shared" si="0"/>
        <v>24243.730097444204</v>
      </c>
      <c r="U40" s="18">
        <f t="shared" si="1"/>
        <v>13860.581968197368</v>
      </c>
      <c r="W40" s="18">
        <f t="shared" si="2"/>
        <v>10383.148129246836</v>
      </c>
      <c r="Y40" s="271">
        <f t="shared" si="3"/>
        <v>29.831859979506927</v>
      </c>
      <c r="Z40" s="235"/>
      <c r="AB40" s="378">
        <f>+IF(AB39&gt;$I$13+$I$14,XX,AB39+1)</f>
        <v>2021</v>
      </c>
      <c r="AC40" s="117"/>
      <c r="AD40" s="151">
        <f t="shared" si="4"/>
        <v>348055.67391304352</v>
      </c>
      <c r="AF40" s="154">
        <f t="shared" si="19"/>
        <v>103.77978483754661</v>
      </c>
      <c r="AH40" s="154">
        <f t="shared" si="20"/>
        <v>20.787541784857133</v>
      </c>
      <c r="AJ40" s="154">
        <f t="shared" si="21"/>
        <v>2.1214106006327351</v>
      </c>
      <c r="AL40" s="153">
        <f t="shared" si="15"/>
        <v>9971.3395315801918</v>
      </c>
      <c r="AN40" s="154">
        <f>INDEX('(2.2)_Forward_Price_Curve'!$K:$K,MATCH($AB40,'(2.2)_Forward_Price_Curve'!$C:$C,0),1)</f>
        <v>2.8767624999999999</v>
      </c>
      <c r="AP40" s="154">
        <f t="shared" si="5"/>
        <v>20.902617688194734</v>
      </c>
      <c r="AR40" s="154">
        <f t="shared" si="18"/>
        <v>2.3938982129262119</v>
      </c>
      <c r="AS40" s="154"/>
      <c r="AT40" s="153">
        <f t="shared" si="6"/>
        <v>5752.0974264067818</v>
      </c>
      <c r="AV40" s="153">
        <f t="shared" si="7"/>
        <v>8108.4845417905863</v>
      </c>
      <c r="AW40" s="273"/>
      <c r="AX40" s="155">
        <f t="shared" si="8"/>
        <v>13860.581968197368</v>
      </c>
      <c r="AZ40" s="384">
        <f>+IF(AZ39&gt;$I$13+$I$14,XX,AZ39+1)</f>
        <v>2021</v>
      </c>
      <c r="BA40" s="117"/>
      <c r="BB40" s="154">
        <f t="shared" si="16"/>
        <v>49.41153861120268</v>
      </c>
      <c r="BD40" s="154">
        <f t="shared" si="17"/>
        <v>7.512688256300283</v>
      </c>
      <c r="BF40" s="153">
        <f t="shared" si="9"/>
        <v>4219.24210517341</v>
      </c>
      <c r="BH40" s="157"/>
    </row>
    <row r="41" spans="2:60" ht="12">
      <c r="B41" s="2"/>
      <c r="C41" s="354">
        <f>+IF(C40&gt;$I$13+$I$14,XX,C40+1)</f>
        <v>2022</v>
      </c>
      <c r="E41" s="356">
        <f>'(2.2)_Forward_Price_Curve'!S35</f>
        <v>2.4E-2</v>
      </c>
      <c r="G41" s="470">
        <v>348055.67391304352</v>
      </c>
      <c r="I41" s="360">
        <v>321.21291068984897</v>
      </c>
      <c r="K41" s="471">
        <v>14.571888785866163</v>
      </c>
      <c r="M41" s="28">
        <f t="shared" si="11"/>
        <v>0</v>
      </c>
      <c r="O41" s="471">
        <v>0.66</v>
      </c>
      <c r="Q41" s="471">
        <v>-34.476814342354764</v>
      </c>
      <c r="S41" s="18">
        <f t="shared" si="0"/>
        <v>25101.772624325051</v>
      </c>
      <c r="U41" s="18">
        <f t="shared" si="1"/>
        <v>14355.215499602175</v>
      </c>
      <c r="W41" s="18">
        <f t="shared" si="2"/>
        <v>10746.557124722876</v>
      </c>
      <c r="Y41" s="271">
        <f t="shared" si="3"/>
        <v>30.875971662532763</v>
      </c>
      <c r="Z41" s="235"/>
      <c r="AB41" s="378">
        <f>+IF(AB40&gt;$I$13+$I$14,XX,AB40+1)</f>
        <v>2022</v>
      </c>
      <c r="AC41" s="117"/>
      <c r="AD41" s="151">
        <f t="shared" si="4"/>
        <v>348055.67391304352</v>
      </c>
      <c r="AF41" s="154">
        <f t="shared" si="19"/>
        <v>106.27049967364773</v>
      </c>
      <c r="AH41" s="154">
        <f t="shared" si="20"/>
        <v>21.286442787693705</v>
      </c>
      <c r="AJ41" s="154">
        <f t="shared" si="21"/>
        <v>2.1723244550479208</v>
      </c>
      <c r="AL41" s="153">
        <f t="shared" si="15"/>
        <v>10210.651680338115</v>
      </c>
      <c r="AN41" s="154">
        <f>INDEX('(2.2)_Forward_Price_Curve'!$K:$K,MATCH($AB41,'(2.2)_Forward_Price_Curve'!$C:$C,0),1)</f>
        <v>3.0098541666666665</v>
      </c>
      <c r="AP41" s="154">
        <f t="shared" si="5"/>
        <v>21.869664577125601</v>
      </c>
      <c r="AR41" s="154">
        <f t="shared" si="18"/>
        <v>2.4513517700364411</v>
      </c>
      <c r="AS41" s="154"/>
      <c r="AT41" s="153">
        <f t="shared" si="6"/>
        <v>5890.1477646405428</v>
      </c>
      <c r="AV41" s="153">
        <f t="shared" si="7"/>
        <v>8465.0677349616326</v>
      </c>
      <c r="AW41" s="273"/>
      <c r="AX41" s="155">
        <f t="shared" si="8"/>
        <v>14355.215499602175</v>
      </c>
      <c r="AZ41" s="384">
        <f>+IF(AZ40&gt;$I$13+$I$14,XX,AZ40+1)</f>
        <v>2022</v>
      </c>
      <c r="BA41" s="117"/>
      <c r="BB41" s="154">
        <f t="shared" si="16"/>
        <v>50.597415537871548</v>
      </c>
      <c r="BD41" s="154">
        <f t="shared" si="17"/>
        <v>7.6929927744514899</v>
      </c>
      <c r="BF41" s="153">
        <f t="shared" si="9"/>
        <v>4320.5039156975718</v>
      </c>
      <c r="BH41" s="157"/>
    </row>
    <row r="42" spans="2:60" ht="12">
      <c r="B42" s="2"/>
      <c r="C42" s="354">
        <f>+IF(C41&gt;$I$13+$I$14,XX,C41+1)</f>
        <v>2023</v>
      </c>
      <c r="E42" s="356">
        <f>'(2.2)_Forward_Price_Curve'!S36</f>
        <v>2.3E-2</v>
      </c>
      <c r="G42" s="470">
        <v>348055.67391304352</v>
      </c>
      <c r="I42" s="360">
        <v>328.7923179455297</v>
      </c>
      <c r="K42" s="471">
        <v>14.907042227941082</v>
      </c>
      <c r="M42" s="28">
        <f t="shared" si="11"/>
        <v>0</v>
      </c>
      <c r="O42" s="471">
        <v>0.67</v>
      </c>
      <c r="Q42" s="471">
        <v>-35.802845663214569</v>
      </c>
      <c r="S42" s="18">
        <f t="shared" si="0"/>
        <v>25510.733831510577</v>
      </c>
      <c r="U42" s="18">
        <f t="shared" si="1"/>
        <v>15691.968001355468</v>
      </c>
      <c r="W42" s="18">
        <f t="shared" si="2"/>
        <v>9818.7658301551091</v>
      </c>
      <c r="Y42" s="271">
        <f t="shared" si="3"/>
        <v>28.210331179971458</v>
      </c>
      <c r="Z42" s="235"/>
      <c r="AB42" s="378">
        <f>+IF(AB41&gt;$I$13+$I$14,XX,AB41+1)</f>
        <v>2023</v>
      </c>
      <c r="AC42" s="117"/>
      <c r="AD42" s="151">
        <f t="shared" si="4"/>
        <v>348055.67391304352</v>
      </c>
      <c r="AF42" s="154">
        <f t="shared" si="19"/>
        <v>108.71472116614163</v>
      </c>
      <c r="AH42" s="154">
        <f t="shared" si="20"/>
        <v>21.776030971810659</v>
      </c>
      <c r="AJ42" s="154">
        <f t="shared" si="21"/>
        <v>2.2222879175140227</v>
      </c>
      <c r="AL42" s="153">
        <f t="shared" si="15"/>
        <v>10445.496668985892</v>
      </c>
      <c r="AN42" s="154">
        <f>INDEX('(2.2)_Forward_Price_Curve'!$K:$K,MATCH($AB42,'(2.2)_Forward_Price_Curve'!$C:$C,0),1)</f>
        <v>3.4771000000000001</v>
      </c>
      <c r="AP42" s="154">
        <f t="shared" si="5"/>
        <v>25.264682768779807</v>
      </c>
      <c r="AR42" s="154">
        <f t="shared" si="18"/>
        <v>2.5077328607472791</v>
      </c>
      <c r="AS42" s="154"/>
      <c r="AT42" s="153">
        <f t="shared" si="6"/>
        <v>6025.6211632272762</v>
      </c>
      <c r="AV42" s="153">
        <f t="shared" si="7"/>
        <v>9666.3468381281928</v>
      </c>
      <c r="AW42" s="273"/>
      <c r="AX42" s="155">
        <f t="shared" si="8"/>
        <v>15691.968001355468</v>
      </c>
      <c r="AZ42" s="384">
        <f>+IF(AZ41&gt;$I$13+$I$14,XX,AZ41+1)</f>
        <v>2023</v>
      </c>
      <c r="BA42" s="117"/>
      <c r="BB42" s="154">
        <f t="shared" si="16"/>
        <v>51.76115609524259</v>
      </c>
      <c r="BD42" s="154">
        <f t="shared" si="17"/>
        <v>7.8699316082638733</v>
      </c>
      <c r="BF42" s="153">
        <f t="shared" si="9"/>
        <v>4419.8755057586159</v>
      </c>
      <c r="BH42" s="157"/>
    </row>
    <row r="43" spans="2:60" ht="12">
      <c r="B43" s="2"/>
      <c r="C43" s="354">
        <f>+IF(C42&gt;$I$13+$I$14,XX,C42+1)</f>
        <v>2024</v>
      </c>
      <c r="E43" s="356">
        <f>'(2.2)_Forward_Price_Curve'!S37</f>
        <v>2.3E-2</v>
      </c>
      <c r="G43" s="470">
        <v>348043.67391304346</v>
      </c>
      <c r="I43" s="360">
        <v>336.39078823153659</v>
      </c>
      <c r="K43" s="471">
        <v>15.291684758633549</v>
      </c>
      <c r="M43" s="28">
        <f t="shared" si="11"/>
        <v>0</v>
      </c>
      <c r="O43" s="471">
        <v>0.69</v>
      </c>
      <c r="Q43" s="471">
        <v>-35.802845663214569</v>
      </c>
      <c r="S43" s="18">
        <f t="shared" si="0"/>
        <v>26404.058372470165</v>
      </c>
      <c r="U43" s="18">
        <f t="shared" si="1"/>
        <v>17055.752180985422</v>
      </c>
      <c r="W43" s="18">
        <f t="shared" si="2"/>
        <v>9348.3061914847422</v>
      </c>
      <c r="Y43" s="271">
        <f t="shared" si="3"/>
        <v>26.859577955783671</v>
      </c>
      <c r="Z43" s="235"/>
      <c r="AB43" s="378">
        <f>+IF(AB42&gt;$I$13+$I$14,XX,AB42+1)</f>
        <v>2024</v>
      </c>
      <c r="AC43" s="117"/>
      <c r="AD43" s="151">
        <f t="shared" si="4"/>
        <v>348043.67391304346</v>
      </c>
      <c r="AF43" s="154">
        <f t="shared" si="19"/>
        <v>111.21515975296288</v>
      </c>
      <c r="AH43" s="154">
        <f t="shared" si="20"/>
        <v>22.276879684162303</v>
      </c>
      <c r="AJ43" s="154">
        <f t="shared" si="21"/>
        <v>2.2734005396168451</v>
      </c>
      <c r="AL43" s="153">
        <f t="shared" si="15"/>
        <v>10685.71581156609</v>
      </c>
      <c r="AN43" s="154">
        <f>INDEX('(2.2)_Forward_Price_Curve'!$K:$K,MATCH($AB43,'(2.2)_Forward_Price_Curve'!$C:$C,0),1)</f>
        <v>3.9537833333333325</v>
      </c>
      <c r="AP43" s="154">
        <f t="shared" si="5"/>
        <v>28.728274036741947</v>
      </c>
      <c r="AR43" s="154">
        <f t="shared" si="18"/>
        <v>2.5654107165444664</v>
      </c>
      <c r="AS43" s="154"/>
      <c r="AT43" s="153">
        <f t="shared" si="6"/>
        <v>6164.1831691750267</v>
      </c>
      <c r="AV43" s="153">
        <f t="shared" si="7"/>
        <v>10891.569011810396</v>
      </c>
      <c r="AW43" s="273"/>
      <c r="AX43" s="155">
        <f t="shared" si="8"/>
        <v>17055.752180985422</v>
      </c>
      <c r="AZ43" s="384">
        <f>+IF(AZ42&gt;$I$13+$I$14,XX,AZ42+1)</f>
        <v>2024</v>
      </c>
      <c r="BA43" s="117"/>
      <c r="BB43" s="154">
        <f t="shared" si="16"/>
        <v>52.951662685433163</v>
      </c>
      <c r="BD43" s="154">
        <f t="shared" si="17"/>
        <v>8.0509400352539409</v>
      </c>
      <c r="BF43" s="153">
        <f t="shared" si="9"/>
        <v>4521.5326423910628</v>
      </c>
      <c r="BH43" s="157"/>
    </row>
    <row r="44" spans="2:60" ht="12">
      <c r="B44" s="2"/>
      <c r="C44" s="354">
        <f>+IF(C43&gt;$I$13+$I$14,XX,C43+1)</f>
        <v>2025</v>
      </c>
      <c r="E44" s="356">
        <f>'(2.2)_Forward_Price_Curve'!S38</f>
        <v>2.3E-2</v>
      </c>
      <c r="G44" s="470">
        <v>348055.67391304352</v>
      </c>
      <c r="I44" s="360">
        <v>343.83892681169613</v>
      </c>
      <c r="K44" s="471">
        <v>15.585402091565767</v>
      </c>
      <c r="M44" s="28">
        <f t="shared" si="11"/>
        <v>0</v>
      </c>
      <c r="O44" s="471">
        <v>0.69999999999999984</v>
      </c>
      <c r="Q44" s="471">
        <v>-37.128876984074367</v>
      </c>
      <c r="S44" s="18">
        <f t="shared" si="0"/>
        <v>26785.364053956237</v>
      </c>
      <c r="U44" s="18">
        <f t="shared" si="1"/>
        <v>17610.176040887745</v>
      </c>
      <c r="W44" s="18">
        <f t="shared" si="2"/>
        <v>9175.1880130684913</v>
      </c>
      <c r="Y44" s="271">
        <f t="shared" si="3"/>
        <v>26.361265454792658</v>
      </c>
      <c r="Z44" s="235"/>
      <c r="AB44" s="378">
        <f>+IF(AB43&gt;$I$13+$I$14,XX,AB43+1)</f>
        <v>2025</v>
      </c>
      <c r="AC44" s="117"/>
      <c r="AD44" s="151">
        <f t="shared" si="4"/>
        <v>348055.67391304352</v>
      </c>
      <c r="AF44" s="154">
        <f t="shared" si="19"/>
        <v>113.77310842728102</v>
      </c>
      <c r="AH44" s="154">
        <f t="shared" si="20"/>
        <v>22.789247916898034</v>
      </c>
      <c r="AJ44" s="154">
        <f t="shared" si="21"/>
        <v>2.3256887520280323</v>
      </c>
      <c r="AL44" s="153">
        <f t="shared" si="15"/>
        <v>10931.515183497135</v>
      </c>
      <c r="AN44" s="154">
        <f>INDEX('(2.2)_Forward_Price_Curve'!$K:$K,MATCH($AB44,'(2.2)_Forward_Price_Curve'!$C:$C,0),1)</f>
        <v>4.1086708333333339</v>
      </c>
      <c r="AP44" s="154">
        <f t="shared" si="5"/>
        <v>29.853689915591971</v>
      </c>
      <c r="AR44" s="154">
        <f t="shared" si="18"/>
        <v>2.624415163024989</v>
      </c>
      <c r="AS44" s="154"/>
      <c r="AT44" s="153">
        <f t="shared" si="6"/>
        <v>6305.9872903310779</v>
      </c>
      <c r="AV44" s="153">
        <f t="shared" si="7"/>
        <v>11304.188750556668</v>
      </c>
      <c r="AW44" s="273"/>
      <c r="AX44" s="155">
        <f t="shared" si="8"/>
        <v>17610.176040887745</v>
      </c>
      <c r="AZ44" s="384">
        <f>+IF(AZ43&gt;$I$13+$I$14,XX,AZ43+1)</f>
        <v>2025</v>
      </c>
      <c r="BA44" s="117"/>
      <c r="BB44" s="154">
        <f t="shared" si="16"/>
        <v>54.169550927198124</v>
      </c>
      <c r="BD44" s="154">
        <f t="shared" si="17"/>
        <v>8.2361116560647805</v>
      </c>
      <c r="BF44" s="153">
        <f t="shared" si="9"/>
        <v>4625.5278931660569</v>
      </c>
      <c r="BH44" s="157"/>
    </row>
    <row r="45" spans="2:60" ht="12">
      <c r="B45" s="2"/>
      <c r="C45" s="354">
        <f>+IF(C44&gt;$I$13+$I$14,XX,C44+1)</f>
        <v>2026</v>
      </c>
      <c r="E45" s="356">
        <f>'(2.2)_Forward_Price_Curve'!S39</f>
        <v>2.3E-2</v>
      </c>
      <c r="G45" s="470">
        <v>348055.67391304352</v>
      </c>
      <c r="I45" s="360">
        <v>351.21141421750946</v>
      </c>
      <c r="K45" s="471">
        <v>15.928280937580213</v>
      </c>
      <c r="M45" s="28">
        <f t="shared" si="11"/>
        <v>0</v>
      </c>
      <c r="O45" s="471">
        <v>0.72</v>
      </c>
      <c r="Q45" s="471">
        <v>-38.454908304934165</v>
      </c>
      <c r="S45" s="18">
        <f t="shared" si="0"/>
        <v>27180.009623418442</v>
      </c>
      <c r="U45" s="18">
        <f t="shared" si="1"/>
        <v>17973.051330189359</v>
      </c>
      <c r="W45" s="18">
        <f t="shared" si="2"/>
        <v>9206.9582932290832</v>
      </c>
      <c r="Y45" s="271">
        <f t="shared" si="3"/>
        <v>26.452544760207825</v>
      </c>
      <c r="Z45" s="235"/>
      <c r="AB45" s="378">
        <f>+IF(AB44&gt;$I$13+$I$14,XX,AB44+1)</f>
        <v>2026</v>
      </c>
      <c r="AC45" s="117"/>
      <c r="AD45" s="151">
        <f t="shared" si="4"/>
        <v>348055.67391304352</v>
      </c>
      <c r="AF45" s="154">
        <f t="shared" si="19"/>
        <v>116.38988992110846</v>
      </c>
      <c r="AH45" s="154">
        <f t="shared" si="20"/>
        <v>23.313400618986687</v>
      </c>
      <c r="AJ45" s="154">
        <f t="shared" si="21"/>
        <v>2.3791795933246767</v>
      </c>
      <c r="AL45" s="153">
        <f t="shared" si="15"/>
        <v>11182.940032717566</v>
      </c>
      <c r="AN45" s="154">
        <f>INDEX('(2.2)_Forward_Price_Curve'!$K:$K,MATCH($AB45,'(2.2)_Forward_Price_Curve'!$C:$C,0),1)</f>
        <v>4.1864999999999997</v>
      </c>
      <c r="AP45" s="154">
        <f t="shared" si="5"/>
        <v>30.419198300738156</v>
      </c>
      <c r="AR45" s="154">
        <f t="shared" si="18"/>
        <v>2.6847767117745636</v>
      </c>
      <c r="AS45" s="154"/>
      <c r="AT45" s="153">
        <f t="shared" si="6"/>
        <v>6451.0249980086901</v>
      </c>
      <c r="AV45" s="153">
        <f t="shared" si="7"/>
        <v>11522.026332180667</v>
      </c>
      <c r="AW45" s="273"/>
      <c r="AX45" s="155">
        <f t="shared" si="8"/>
        <v>17973.051330189359</v>
      </c>
      <c r="AZ45" s="384">
        <f>+IF(AZ44&gt;$I$13+$I$14,XX,AZ44+1)</f>
        <v>2026</v>
      </c>
      <c r="BA45" s="117"/>
      <c r="BB45" s="154">
        <f t="shared" si="16"/>
        <v>55.415450598523677</v>
      </c>
      <c r="BD45" s="154">
        <f t="shared" si="17"/>
        <v>8.4255422241542703</v>
      </c>
      <c r="BF45" s="153">
        <f t="shared" si="9"/>
        <v>4731.9150347088762</v>
      </c>
      <c r="BH45" s="157"/>
    </row>
    <row r="46" spans="2:60" ht="12">
      <c r="B46" s="2"/>
      <c r="C46" s="354">
        <f>+IF(C45&gt;$I$13+$I$14,XX,C45+1)</f>
        <v>2027</v>
      </c>
      <c r="E46" s="356">
        <f>'(2.2)_Forward_Price_Curve'!S40</f>
        <v>2.1999999999999999E-2</v>
      </c>
      <c r="G46" s="470">
        <v>348055.67391304352</v>
      </c>
      <c r="I46" s="360">
        <v>358.67838273096015</v>
      </c>
      <c r="K46" s="471">
        <v>16.27870311820698</v>
      </c>
      <c r="M46" s="28">
        <f t="shared" si="11"/>
        <v>0</v>
      </c>
      <c r="O46" s="471">
        <v>0.74</v>
      </c>
      <c r="Q46" s="471">
        <v>-38.454908304934165</v>
      </c>
      <c r="S46" s="18">
        <f t="shared" si="0"/>
        <v>28048.167047960436</v>
      </c>
      <c r="U46" s="18">
        <f t="shared" si="1"/>
        <v>18820.411201989533</v>
      </c>
      <c r="W46" s="18">
        <f t="shared" si="2"/>
        <v>9227.7558459709035</v>
      </c>
      <c r="Y46" s="271">
        <f t="shared" si="3"/>
        <v>26.512298283280735</v>
      </c>
      <c r="Z46" s="235"/>
      <c r="AB46" s="378">
        <f>+IF(AB45&gt;$I$13+$I$14,XX,AB45+1)</f>
        <v>2027</v>
      </c>
      <c r="AC46" s="117"/>
      <c r="AD46" s="151">
        <f t="shared" si="4"/>
        <v>348055.67391304352</v>
      </c>
      <c r="AF46" s="154">
        <f t="shared" si="19"/>
        <v>118.95046749937285</v>
      </c>
      <c r="AH46" s="154">
        <f t="shared" si="20"/>
        <v>23.826295432604393</v>
      </c>
      <c r="AJ46" s="154">
        <f t="shared" si="21"/>
        <v>2.4315215443778198</v>
      </c>
      <c r="AL46" s="153">
        <f t="shared" si="15"/>
        <v>11428.964713437352</v>
      </c>
      <c r="AN46" s="154">
        <f>INDEX('(2.2)_Forward_Price_Curve'!$K:$K,MATCH($AB46,'(2.2)_Forward_Price_Curve'!$C:$C,0),1)</f>
        <v>4.4573125000000005</v>
      </c>
      <c r="AP46" s="154">
        <f t="shared" si="5"/>
        <v>32.386927702343002</v>
      </c>
      <c r="AR46" s="154">
        <f t="shared" si="18"/>
        <v>2.743841799433604</v>
      </c>
      <c r="AS46" s="154"/>
      <c r="AT46" s="153">
        <f t="shared" si="6"/>
        <v>6592.94754796488</v>
      </c>
      <c r="AV46" s="153">
        <f t="shared" si="7"/>
        <v>12227.463654024654</v>
      </c>
      <c r="AW46" s="273"/>
      <c r="AX46" s="155">
        <f t="shared" si="8"/>
        <v>18820.411201989533</v>
      </c>
      <c r="AZ46" s="384">
        <f>+IF(AZ45&gt;$I$13+$I$14,XX,AZ45+1)</f>
        <v>2027</v>
      </c>
      <c r="BA46" s="117"/>
      <c r="BB46" s="154">
        <f t="shared" si="16"/>
        <v>56.634590511691201</v>
      </c>
      <c r="BD46" s="154">
        <f t="shared" si="17"/>
        <v>8.6109041530856647</v>
      </c>
      <c r="BF46" s="153">
        <f t="shared" si="9"/>
        <v>4836.0171654724718</v>
      </c>
      <c r="BH46" s="157"/>
    </row>
    <row r="47" spans="2:60" ht="12">
      <c r="B47" s="2"/>
      <c r="C47" s="354">
        <f>+IF(C46&gt;$I$13+$I$14,XX,C46+1)</f>
        <v>2028</v>
      </c>
      <c r="E47" s="356">
        <f>'(2.2)_Forward_Price_Curve'!S41</f>
        <v>2.1999999999999999E-2</v>
      </c>
      <c r="G47" s="470">
        <v>348043.67391304346</v>
      </c>
      <c r="I47" s="360">
        <v>366.33713602386064</v>
      </c>
      <c r="K47" s="471">
        <v>16.682414955538515</v>
      </c>
      <c r="M47" s="28">
        <f t="shared" si="11"/>
        <v>0</v>
      </c>
      <c r="O47" s="471">
        <v>0.75000000000000011</v>
      </c>
      <c r="Q47" s="471">
        <v>-39.78093962579397</v>
      </c>
      <c r="S47" s="18">
        <f t="shared" si="0"/>
        <v>28489.113833590211</v>
      </c>
      <c r="U47" s="18">
        <f t="shared" si="1"/>
        <v>19381.259011872062</v>
      </c>
      <c r="W47" s="18">
        <f t="shared" si="2"/>
        <v>9107.8548217181487</v>
      </c>
      <c r="Y47" s="271">
        <f t="shared" si="3"/>
        <v>26.168712447259391</v>
      </c>
      <c r="Z47" s="235"/>
      <c r="AB47" s="378">
        <f>+IF(AB46&gt;$I$13+$I$14,XX,AB46+1)</f>
        <v>2028</v>
      </c>
      <c r="AC47" s="117"/>
      <c r="AD47" s="151">
        <f t="shared" si="4"/>
        <v>348043.67391304346</v>
      </c>
      <c r="AF47" s="154">
        <f t="shared" si="19"/>
        <v>121.56737778435905</v>
      </c>
      <c r="AH47" s="154">
        <f t="shared" si="20"/>
        <v>24.350473932121691</v>
      </c>
      <c r="AJ47" s="154">
        <f t="shared" si="21"/>
        <v>2.4850150183541317</v>
      </c>
      <c r="AL47" s="153">
        <f t="shared" si="15"/>
        <v>11680.372116952756</v>
      </c>
      <c r="AN47" s="154">
        <f>INDEX('(2.2)_Forward_Price_Curve'!$K:$K,MATCH($AB47,'(2.2)_Forward_Price_Curve'!$C:$C,0),1)</f>
        <v>4.6136041666666676</v>
      </c>
      <c r="AP47" s="154">
        <f t="shared" si="5"/>
        <v>33.522546286144795</v>
      </c>
      <c r="AR47" s="154">
        <f t="shared" si="18"/>
        <v>2.8042063190211435</v>
      </c>
      <c r="AS47" s="154"/>
      <c r="AT47" s="153">
        <f t="shared" si="6"/>
        <v>6737.96257383989</v>
      </c>
      <c r="AV47" s="153">
        <f t="shared" si="7"/>
        <v>12643.296438032174</v>
      </c>
      <c r="AW47" s="273"/>
      <c r="AX47" s="155">
        <f t="shared" si="8"/>
        <v>19381.259011872062</v>
      </c>
      <c r="AZ47" s="384">
        <f>+IF(AZ46&gt;$I$13+$I$14,XX,AZ46+1)</f>
        <v>2028</v>
      </c>
      <c r="BA47" s="117"/>
      <c r="BB47" s="154">
        <f t="shared" si="16"/>
        <v>57.880551502948407</v>
      </c>
      <c r="BD47" s="154">
        <f t="shared" si="17"/>
        <v>8.8003440444535492</v>
      </c>
      <c r="BF47" s="153">
        <f t="shared" si="9"/>
        <v>4942.4095431128662</v>
      </c>
      <c r="BH47" s="157"/>
    </row>
    <row r="48" spans="2:60" ht="12">
      <c r="B48" s="2"/>
      <c r="C48" s="354">
        <f>+IF(C47&gt;$I$13+$I$14,XX,C47+1)</f>
        <v>2029</v>
      </c>
      <c r="E48" s="356">
        <f>'(2.2)_Forward_Price_Curve'!S42</f>
        <v>2.1999999999999999E-2</v>
      </c>
      <c r="G48" s="470">
        <v>348055.67391304352</v>
      </c>
      <c r="I48" s="360">
        <v>374.23305348540669</v>
      </c>
      <c r="K48" s="471">
        <v>16.986208113130484</v>
      </c>
      <c r="M48" s="28">
        <f t="shared" si="11"/>
        <v>0</v>
      </c>
      <c r="O48" s="471">
        <v>0.76999999999999991</v>
      </c>
      <c r="Q48" s="471">
        <v>-39.78093962579397</v>
      </c>
      <c r="S48" s="18">
        <f t="shared" si="0"/>
        <v>29383.23952566132</v>
      </c>
      <c r="U48" s="18">
        <f t="shared" si="1"/>
        <v>19906.912768344355</v>
      </c>
      <c r="W48" s="18">
        <f t="shared" si="2"/>
        <v>9476.3267573169651</v>
      </c>
      <c r="Y48" s="271">
        <f t="shared" si="3"/>
        <v>27.226468256582663</v>
      </c>
      <c r="Z48" s="235"/>
      <c r="AB48" s="378">
        <f>+IF(AB47&gt;$I$13+$I$14,XX,AB47+1)</f>
        <v>2029</v>
      </c>
      <c r="AC48" s="117"/>
      <c r="AD48" s="151">
        <f t="shared" si="4"/>
        <v>348055.67391304352</v>
      </c>
      <c r="AF48" s="154">
        <f t="shared" si="19"/>
        <v>124.24186009561495</v>
      </c>
      <c r="AH48" s="154">
        <f t="shared" si="20"/>
        <v>24.88618435862837</v>
      </c>
      <c r="AJ48" s="154">
        <f t="shared" si="21"/>
        <v>2.5396853487579225</v>
      </c>
      <c r="AL48" s="153">
        <f t="shared" si="15"/>
        <v>11937.370779749903</v>
      </c>
      <c r="AN48" s="154">
        <f>INDEX('(2.2)_Forward_Price_Curve'!$K:$K,MATCH($AB48,'(2.2)_Forward_Price_Curve'!$C:$C,0),1)</f>
        <v>4.7541666666666673</v>
      </c>
      <c r="AP48" s="154">
        <f t="shared" si="5"/>
        <v>34.543876409433338</v>
      </c>
      <c r="AR48" s="154">
        <f t="shared" si="18"/>
        <v>2.8658988580396088</v>
      </c>
      <c r="AS48" s="154"/>
      <c r="AT48" s="153">
        <f t="shared" si="6"/>
        <v>6886.2282266885531</v>
      </c>
      <c r="AV48" s="153">
        <f t="shared" si="7"/>
        <v>13020.684541655803</v>
      </c>
      <c r="AW48" s="273"/>
      <c r="AX48" s="155">
        <f t="shared" si="8"/>
        <v>19906.912768344355</v>
      </c>
      <c r="AZ48" s="384">
        <f>+IF(AZ47&gt;$I$13+$I$14,XX,AZ47+1)</f>
        <v>2029</v>
      </c>
      <c r="BA48" s="117"/>
      <c r="BB48" s="154">
        <f t="shared" si="16"/>
        <v>59.153923636013275</v>
      </c>
      <c r="BD48" s="154">
        <f t="shared" si="17"/>
        <v>8.9939516134315269</v>
      </c>
      <c r="BF48" s="153">
        <f t="shared" si="9"/>
        <v>5051.1425530613496</v>
      </c>
      <c r="BH48" s="157"/>
    </row>
    <row r="49" spans="2:60" ht="12">
      <c r="B49" s="2"/>
      <c r="C49" s="354">
        <f>+IF(C48&gt;$I$13+$I$14,XX,C48+1)</f>
        <v>2030</v>
      </c>
      <c r="E49" s="356">
        <f>'(2.2)_Forward_Price_Curve'!S43</f>
        <v>2.1999999999999999E-2</v>
      </c>
      <c r="G49" s="470">
        <v>348055.67391304352</v>
      </c>
      <c r="I49" s="360">
        <v>382.38792823476797</v>
      </c>
      <c r="K49" s="471">
        <v>17.359904691619363</v>
      </c>
      <c r="M49" s="28">
        <f t="shared" si="11"/>
        <v>0</v>
      </c>
      <c r="O49" s="471">
        <v>0.78</v>
      </c>
      <c r="Q49" s="471">
        <v>0</v>
      </c>
      <c r="S49" s="18">
        <f t="shared" si="0"/>
        <v>44170.101647401985</v>
      </c>
      <c r="U49" s="18">
        <f t="shared" si="1"/>
        <v>20834.907401817814</v>
      </c>
      <c r="W49" s="18">
        <f t="shared" si="2"/>
        <v>23335.194245584171</v>
      </c>
      <c r="Y49" s="271">
        <f t="shared" si="3"/>
        <v>67.044429942015881</v>
      </c>
      <c r="Z49" s="235"/>
      <c r="AB49" s="378">
        <f>+IF(AB48&gt;$I$13+$I$14,XX,AB48+1)</f>
        <v>2030</v>
      </c>
      <c r="AC49" s="117"/>
      <c r="AD49" s="151">
        <f t="shared" si="4"/>
        <v>348055.67391304352</v>
      </c>
      <c r="AF49" s="154">
        <f t="shared" si="19"/>
        <v>126.97518101771848</v>
      </c>
      <c r="AH49" s="154">
        <f t="shared" si="20"/>
        <v>25.433680414518193</v>
      </c>
      <c r="AJ49" s="154">
        <f t="shared" si="21"/>
        <v>2.5955584264305966</v>
      </c>
      <c r="AL49" s="153">
        <f t="shared" si="15"/>
        <v>12199.992936904398</v>
      </c>
      <c r="AN49" s="154">
        <f>INDEX('(2.2)_Forward_Price_Curve'!$K:$K,MATCH($AB49,'(2.2)_Forward_Price_Curve'!$C:$C,0),1)</f>
        <v>5.052529166666667</v>
      </c>
      <c r="AP49" s="154">
        <f t="shared" si="5"/>
        <v>36.711784698697393</v>
      </c>
      <c r="AR49" s="154">
        <f t="shared" si="18"/>
        <v>2.9289486329164802</v>
      </c>
      <c r="AS49" s="154"/>
      <c r="AT49" s="153">
        <f t="shared" si="6"/>
        <v>7037.7252476756985</v>
      </c>
      <c r="AV49" s="153">
        <f t="shared" si="7"/>
        <v>13797.182154142114</v>
      </c>
      <c r="AW49" s="273"/>
      <c r="AX49" s="155">
        <f t="shared" si="8"/>
        <v>20834.907401817814</v>
      </c>
      <c r="AZ49" s="384">
        <f>+IF(AZ48&gt;$I$13+$I$14,XX,AZ48+1)</f>
        <v>2030</v>
      </c>
      <c r="BA49" s="117"/>
      <c r="BB49" s="154">
        <f t="shared" si="16"/>
        <v>60.455309956005571</v>
      </c>
      <c r="BD49" s="154">
        <f t="shared" si="17"/>
        <v>9.1918185489270208</v>
      </c>
      <c r="BF49" s="153">
        <f t="shared" si="9"/>
        <v>5162.2676892287</v>
      </c>
      <c r="BH49" s="157"/>
    </row>
    <row r="50" spans="2:60" ht="12">
      <c r="B50" s="2"/>
      <c r="C50" s="354">
        <f>+IF(C49&gt;$I$13+$I$14,XX,C49+1)</f>
        <v>2031</v>
      </c>
      <c r="E50" s="356">
        <f>'(2.2)_Forward_Price_Curve'!S44</f>
        <v>2.1999999999999999E-2</v>
      </c>
      <c r="G50" s="470">
        <v>348055.67391304352</v>
      </c>
      <c r="I50" s="360">
        <v>390.62059853986057</v>
      </c>
      <c r="K50" s="471">
        <v>17.741822594834986</v>
      </c>
      <c r="M50" s="28">
        <f t="shared" si="11"/>
        <v>0</v>
      </c>
      <c r="O50" s="471">
        <v>0.8</v>
      </c>
      <c r="Q50" s="471">
        <v>0</v>
      </c>
      <c r="S50" s="18">
        <f t="shared" si="0"/>
        <v>45125.025814267581</v>
      </c>
      <c r="U50" s="18">
        <f t="shared" si="1"/>
        <v>21359.520371709594</v>
      </c>
      <c r="W50" s="18">
        <f t="shared" si="2"/>
        <v>23765.505442557987</v>
      </c>
      <c r="Y50" s="271">
        <f t="shared" si="3"/>
        <v>68.28075857914456</v>
      </c>
      <c r="Z50" s="235"/>
      <c r="AB50" s="378">
        <f>+IF(AB49&gt;$I$13+$I$14,XX,AB49+1)</f>
        <v>2031</v>
      </c>
      <c r="AC50" s="117"/>
      <c r="AD50" s="151">
        <f t="shared" si="4"/>
        <v>348055.67391304352</v>
      </c>
      <c r="AF50" s="154">
        <f t="shared" si="19"/>
        <v>129.7686350001083</v>
      </c>
      <c r="AH50" s="154">
        <f t="shared" si="20"/>
        <v>25.993221383637593</v>
      </c>
      <c r="AJ50" s="154">
        <f t="shared" si="21"/>
        <v>2.6526607118120697</v>
      </c>
      <c r="AL50" s="153">
        <f t="shared" si="15"/>
        <v>12468.392781516299</v>
      </c>
      <c r="AN50" s="154">
        <f>INDEX('(2.2)_Forward_Price_Curve'!$K:$K,MATCH($AB50,'(2.2)_Forward_Price_Curve'!$C:$C,0),1)</f>
        <v>5.1898791666666666</v>
      </c>
      <c r="AP50" s="154">
        <f t="shared" si="5"/>
        <v>37.709772728461253</v>
      </c>
      <c r="AR50" s="154">
        <f t="shared" si="18"/>
        <v>2.9933855028406429</v>
      </c>
      <c r="AS50" s="154"/>
      <c r="AT50" s="153">
        <f t="shared" si="6"/>
        <v>7192.5552031245679</v>
      </c>
      <c r="AV50" s="153">
        <f t="shared" si="7"/>
        <v>14166.965168585026</v>
      </c>
      <c r="AW50" s="273"/>
      <c r="AX50" s="155">
        <f t="shared" si="8"/>
        <v>21359.520371709594</v>
      </c>
      <c r="AZ50" s="384">
        <f>+IF(AZ49&gt;$I$13+$I$14,XX,AZ49+1)</f>
        <v>2031</v>
      </c>
      <c r="BA50" s="117"/>
      <c r="BB50" s="154">
        <f t="shared" si="16"/>
        <v>61.785326775037696</v>
      </c>
      <c r="BD50" s="154">
        <f t="shared" si="17"/>
        <v>9.3940385570034159</v>
      </c>
      <c r="BF50" s="153">
        <f t="shared" si="9"/>
        <v>5275.8375783917309</v>
      </c>
      <c r="BH50" s="157"/>
    </row>
    <row r="51" spans="2:60" ht="12">
      <c r="B51" s="2"/>
      <c r="C51" s="354">
        <f>+IF(C50&gt;$I$13+$I$14,XX,C50+1)</f>
        <v>2032</v>
      </c>
      <c r="E51" s="356">
        <f>'(2.2)_Forward_Price_Curve'!S45</f>
        <v>2.1999999999999999E-2</v>
      </c>
      <c r="G51" s="470">
        <v>348043.67391304346</v>
      </c>
      <c r="I51" s="360">
        <v>398.87692747494418</v>
      </c>
      <c r="K51" s="471">
        <v>18.1818197951869</v>
      </c>
      <c r="M51" s="28">
        <f t="shared" si="11"/>
        <v>0</v>
      </c>
      <c r="O51" s="471">
        <v>0.82</v>
      </c>
      <c r="Q51" s="471">
        <v>0</v>
      </c>
      <c r="S51" s="18">
        <f t="shared" si="0"/>
        <v>46102.278992569925</v>
      </c>
      <c r="U51" s="18">
        <f t="shared" si="1"/>
        <v>21901.302811622416</v>
      </c>
      <c r="W51" s="18">
        <f t="shared" si="2"/>
        <v>24200.976180947509</v>
      </c>
      <c r="Y51" s="271">
        <f t="shared" si="3"/>
        <v>69.534308464385333</v>
      </c>
      <c r="Z51" s="235"/>
      <c r="AB51" s="378">
        <f>+IF(AB50&gt;$I$13+$I$14,XX,AB50+1)</f>
        <v>2032</v>
      </c>
      <c r="AC51" s="117"/>
      <c r="AD51" s="151">
        <f t="shared" si="4"/>
        <v>348043.67391304346</v>
      </c>
      <c r="AF51" s="154">
        <f t="shared" si="19"/>
        <v>132.62354497011069</v>
      </c>
      <c r="AH51" s="154">
        <f t="shared" si="20"/>
        <v>26.56507225407762</v>
      </c>
      <c r="AJ51" s="154">
        <f t="shared" si="21"/>
        <v>2.7110192474719352</v>
      </c>
      <c r="AL51" s="153">
        <f t="shared" si="15"/>
        <v>12742.664890478685</v>
      </c>
      <c r="AN51" s="154">
        <f>INDEX('(2.2)_Forward_Price_Curve'!$K:$K,MATCH($AB51,'(2.2)_Forward_Price_Curve'!$C:$C,0),1)</f>
        <v>5.3326874999999996</v>
      </c>
      <c r="AP51" s="154">
        <f t="shared" si="5"/>
        <v>38.747421124654863</v>
      </c>
      <c r="AR51" s="154">
        <f t="shared" si="18"/>
        <v>3.059239983903137</v>
      </c>
      <c r="AS51" s="154"/>
      <c r="AT51" s="153">
        <f t="shared" si="6"/>
        <v>7350.7588853623365</v>
      </c>
      <c r="AV51" s="153">
        <f t="shared" si="7"/>
        <v>14550.543926260078</v>
      </c>
      <c r="AW51" s="273"/>
      <c r="AX51" s="155">
        <f t="shared" si="8"/>
        <v>21901.302811622416</v>
      </c>
      <c r="AZ51" s="384">
        <f>+IF(AZ50&gt;$I$13+$I$14,XX,AZ50+1)</f>
        <v>2032</v>
      </c>
      <c r="BA51" s="117"/>
      <c r="BB51" s="154">
        <f t="shared" si="16"/>
        <v>63.144603964088525</v>
      </c>
      <c r="BD51" s="154">
        <f t="shared" si="17"/>
        <v>9.6007074052574914</v>
      </c>
      <c r="BF51" s="153">
        <f t="shared" si="9"/>
        <v>5391.9060051163488</v>
      </c>
      <c r="BH51" s="157"/>
    </row>
    <row r="52" spans="2:60" ht="12">
      <c r="B52" s="2"/>
      <c r="C52" s="354">
        <f>+IF(C51&gt;$I$13+$I$14,XX,C51+1)</f>
        <v>2033</v>
      </c>
      <c r="E52" s="356">
        <f>'(2.2)_Forward_Price_Curve'!S46</f>
        <v>2.1999999999999999E-2</v>
      </c>
      <c r="G52" s="470">
        <v>348055.67391304352</v>
      </c>
      <c r="I52" s="360">
        <v>407.21767892013338</v>
      </c>
      <c r="K52" s="471">
        <v>18.531049831143626</v>
      </c>
      <c r="M52" s="28">
        <f t="shared" si="11"/>
        <v>0</v>
      </c>
      <c r="O52" s="471">
        <v>0.84000000000000008</v>
      </c>
      <c r="Q52" s="471">
        <v>0</v>
      </c>
      <c r="S52" s="18">
        <f t="shared" si="0"/>
        <v>47056.754016475054</v>
      </c>
      <c r="U52" s="18">
        <f t="shared" si="1"/>
        <v>22552.701918702805</v>
      </c>
      <c r="W52" s="18">
        <f t="shared" si="2"/>
        <v>24504.052097772248</v>
      </c>
      <c r="Y52" s="271">
        <f t="shared" si="3"/>
        <v>70.402679612383551</v>
      </c>
      <c r="Z52" s="235"/>
      <c r="AB52" s="378">
        <f>+IF(AB51&gt;$I$13+$I$14,XX,AB51+1)</f>
        <v>2033</v>
      </c>
      <c r="AC52" s="117"/>
      <c r="AD52" s="151">
        <f t="shared" si="4"/>
        <v>348055.67391304352</v>
      </c>
      <c r="AF52" s="154">
        <f t="shared" si="19"/>
        <v>135.54126295945312</v>
      </c>
      <c r="AH52" s="154">
        <f t="shared" si="20"/>
        <v>27.149503843667329</v>
      </c>
      <c r="AJ52" s="154">
        <f t="shared" si="21"/>
        <v>2.7706616709163177</v>
      </c>
      <c r="AL52" s="153">
        <f t="shared" si="15"/>
        <v>13023.036766009269</v>
      </c>
      <c r="AN52" s="154">
        <f>INDEX('(2.2)_Forward_Price_Curve'!$K:$K,MATCH($AB52,'(2.2)_Forward_Price_Curve'!$C:$C,0),1)</f>
        <v>5.5168416666666671</v>
      </c>
      <c r="AP52" s="154">
        <f t="shared" si="5"/>
        <v>40.085489227781714</v>
      </c>
      <c r="AR52" s="154">
        <f t="shared" si="18"/>
        <v>3.126543263549006</v>
      </c>
      <c r="AS52" s="154"/>
      <c r="AT52" s="153">
        <f t="shared" si="6"/>
        <v>7512.508828780361</v>
      </c>
      <c r="AV52" s="153">
        <f t="shared" si="7"/>
        <v>15040.193089922444</v>
      </c>
      <c r="AW52" s="273"/>
      <c r="AX52" s="155">
        <f t="shared" si="8"/>
        <v>22552.701918702805</v>
      </c>
      <c r="AZ52" s="384">
        <f>+IF(AZ51&gt;$I$13+$I$14,XX,AZ51+1)</f>
        <v>2033</v>
      </c>
      <c r="BA52" s="117"/>
      <c r="BB52" s="154">
        <f t="shared" si="16"/>
        <v>64.533785251298468</v>
      </c>
      <c r="BD52" s="154">
        <f t="shared" si="17"/>
        <v>9.8119229681731568</v>
      </c>
      <c r="BF52" s="153">
        <f t="shared" si="9"/>
        <v>5510.5279372289078</v>
      </c>
      <c r="BH52" s="157"/>
    </row>
    <row r="53" spans="2:60" ht="12">
      <c r="B53" s="2"/>
      <c r="C53" s="354">
        <f>+IF(C52&gt;$I$13+$I$14,XX,C52+1)</f>
        <v>2034</v>
      </c>
      <c r="E53" s="356">
        <f>'(2.2)_Forward_Price_Curve'!S47</f>
        <v>2.1999999999999999E-2</v>
      </c>
      <c r="G53" s="470">
        <v>348055.67391304352</v>
      </c>
      <c r="I53" s="360">
        <v>106.37462484796858</v>
      </c>
      <c r="K53" s="471">
        <v>18.938732927428788</v>
      </c>
      <c r="M53" s="28">
        <f t="shared" si="11"/>
        <v>0</v>
      </c>
      <c r="O53" s="471">
        <v>0.85999999999999988</v>
      </c>
      <c r="Q53" s="471">
        <v>0</v>
      </c>
      <c r="S53" s="18">
        <f t="shared" si="0"/>
        <v>17422.14919162948</v>
      </c>
      <c r="U53" s="18">
        <f t="shared" si="1"/>
        <v>23175.521907632345</v>
      </c>
      <c r="W53" s="18">
        <f t="shared" si="2"/>
        <v>-5753.3727160028648</v>
      </c>
      <c r="Y53" s="271">
        <f t="shared" si="3"/>
        <v>-16.530035701817802</v>
      </c>
      <c r="Z53" s="235"/>
      <c r="AB53" s="378">
        <f>+IF(AB52&gt;$I$13+$I$14,XX,AB52+1)</f>
        <v>2034</v>
      </c>
      <c r="AC53" s="117"/>
      <c r="AD53" s="151">
        <f t="shared" si="4"/>
        <v>348055.67391304352</v>
      </c>
      <c r="AF53" s="154">
        <f t="shared" si="19"/>
        <v>138.5231707445611</v>
      </c>
      <c r="AH53" s="154">
        <f t="shared" si="20"/>
        <v>27.746792928228011</v>
      </c>
      <c r="AJ53" s="154">
        <f t="shared" si="21"/>
        <v>2.8316162276764767</v>
      </c>
      <c r="AL53" s="153">
        <f t="shared" si="15"/>
        <v>13309.543574861475</v>
      </c>
      <c r="AN53" s="154">
        <f>INDEX('(2.2)_Forward_Price_Curve'!$K:$K,MATCH($AB53,'(2.2)_Forward_Price_Curve'!$C:$C,0),1)</f>
        <v>5.688295833333334</v>
      </c>
      <c r="AP53" s="154">
        <f t="shared" si="5"/>
        <v>41.331278860009391</v>
      </c>
      <c r="AR53" s="154">
        <f t="shared" si="18"/>
        <v>3.1953272153470844</v>
      </c>
      <c r="AS53" s="154"/>
      <c r="AT53" s="153">
        <f t="shared" si="6"/>
        <v>7677.7840230135289</v>
      </c>
      <c r="AV53" s="153">
        <f t="shared" si="7"/>
        <v>15497.737884618815</v>
      </c>
      <c r="AW53" s="273"/>
      <c r="AX53" s="155">
        <f t="shared" si="8"/>
        <v>23175.521907632345</v>
      </c>
      <c r="AZ53" s="384">
        <f>+IF(AZ52&gt;$I$13+$I$14,XX,AZ52+1)</f>
        <v>2034</v>
      </c>
      <c r="BA53" s="117"/>
      <c r="BB53" s="154">
        <f t="shared" si="16"/>
        <v>65.953528526827043</v>
      </c>
      <c r="BD53" s="154">
        <f t="shared" si="17"/>
        <v>10.027785273472967</v>
      </c>
      <c r="BF53" s="153">
        <f t="shared" si="9"/>
        <v>5631.7595518479457</v>
      </c>
      <c r="BH53" s="157"/>
    </row>
    <row r="54" spans="2:60" ht="12">
      <c r="B54" s="2"/>
      <c r="C54" s="354">
        <f>+IF(C53&gt;$I$13+$I$14,XX,C53+1)</f>
        <v>2035</v>
      </c>
      <c r="E54" s="356">
        <f>'(2.2)_Forward_Price_Curve'!S48</f>
        <v>2.1999999999999999E-2</v>
      </c>
      <c r="G54" s="470">
        <v>348055.67391304352</v>
      </c>
      <c r="I54" s="360">
        <v>108.39574272007999</v>
      </c>
      <c r="K54" s="471">
        <v>19.355385051832222</v>
      </c>
      <c r="M54" s="28">
        <f t="shared" si="11"/>
        <v>0</v>
      </c>
      <c r="O54" s="471">
        <v>0.86999999999999988</v>
      </c>
      <c r="Q54" s="471">
        <v>0</v>
      </c>
      <c r="S54" s="18">
        <f t="shared" si="0"/>
        <v>17770.738553654181</v>
      </c>
      <c r="U54" s="18">
        <f t="shared" si="1"/>
        <v>23767.731170693431</v>
      </c>
      <c r="W54" s="18">
        <f t="shared" si="2"/>
        <v>-5996.99261703925</v>
      </c>
      <c r="Y54" s="271">
        <f t="shared" si="3"/>
        <v>-17.229980909713625</v>
      </c>
      <c r="Z54" s="235"/>
      <c r="AB54" s="378">
        <f>+IF(AB53&gt;$I$13+$I$14,XX,AB53+1)</f>
        <v>2035</v>
      </c>
      <c r="AC54" s="117"/>
      <c r="AD54" s="151">
        <f t="shared" si="4"/>
        <v>348055.67391304352</v>
      </c>
      <c r="AF54" s="154">
        <f t="shared" si="19"/>
        <v>141.57068050094145</v>
      </c>
      <c r="AH54" s="154">
        <f t="shared" si="20"/>
        <v>28.357222372649026</v>
      </c>
      <c r="AJ54" s="154">
        <f t="shared" si="21"/>
        <v>2.893911784685359</v>
      </c>
      <c r="AL54" s="153">
        <f t="shared" si="15"/>
        <v>13602.353533508427</v>
      </c>
      <c r="AN54" s="154">
        <f>INDEX('(2.2)_Forward_Price_Curve'!$K:$K,MATCH($AB54,'(2.2)_Forward_Price_Curve'!$C:$C,0),1)</f>
        <v>5.846000000000001</v>
      </c>
      <c r="AP54" s="154">
        <f t="shared" si="5"/>
        <v>42.477160698940715</v>
      </c>
      <c r="AR54" s="154">
        <f t="shared" si="18"/>
        <v>3.2656244140847202</v>
      </c>
      <c r="AS54" s="154"/>
      <c r="AT54" s="153">
        <f t="shared" si="6"/>
        <v>7846.6952715198277</v>
      </c>
      <c r="AV54" s="153">
        <f t="shared" si="7"/>
        <v>15921.035899173603</v>
      </c>
      <c r="AW54" s="273"/>
      <c r="AX54" s="155">
        <f t="shared" si="8"/>
        <v>23767.731170693431</v>
      </c>
      <c r="AZ54" s="384">
        <f>+IF(AZ53&gt;$I$13+$I$14,XX,AZ53+1)</f>
        <v>2035</v>
      </c>
      <c r="BA54" s="117"/>
      <c r="BB54" s="154">
        <f t="shared" si="16"/>
        <v>67.404506154417234</v>
      </c>
      <c r="BD54" s="154">
        <f t="shared" si="17"/>
        <v>10.248396549489373</v>
      </c>
      <c r="BF54" s="153">
        <f t="shared" si="9"/>
        <v>5755.6582619885994</v>
      </c>
      <c r="BH54" s="157"/>
    </row>
    <row r="55" spans="2:60" ht="12">
      <c r="B55" s="2"/>
      <c r="C55" s="354">
        <f>+IF(C54&gt;$I$13+$I$14,XX,C54+1)</f>
        <v>2036</v>
      </c>
      <c r="E55" s="356">
        <f>'(2.2)_Forward_Price_Curve'!S49</f>
        <v>2.1999999999999999E-2</v>
      </c>
      <c r="G55" s="470">
        <v>348043.67391304346</v>
      </c>
      <c r="I55" s="360">
        <v>110.45526183176149</v>
      </c>
      <c r="K55" s="471">
        <v>19.83539860111766</v>
      </c>
      <c r="M55" s="28">
        <f t="shared" si="11"/>
        <v>0</v>
      </c>
      <c r="O55" s="471">
        <v>0.89000000000000024</v>
      </c>
      <c r="Q55" s="471">
        <v>0</v>
      </c>
      <c r="S55" s="18">
        <f t="shared" si="0"/>
        <v>18148.414793789634</v>
      </c>
      <c r="U55" s="18">
        <f t="shared" si="1"/>
        <v>24535.686897840598</v>
      </c>
      <c r="W55" s="18">
        <f t="shared" si="2"/>
        <v>-6387.2721040509641</v>
      </c>
      <c r="Y55" s="271">
        <f t="shared" si="3"/>
        <v>-18.35192702179895</v>
      </c>
      <c r="Z55" s="235"/>
      <c r="AB55" s="378">
        <f>+IF(AB54&gt;$I$13+$I$14,XX,AB54+1)</f>
        <v>2036</v>
      </c>
      <c r="AC55" s="117"/>
      <c r="AD55" s="151">
        <f t="shared" si="4"/>
        <v>348043.67391304346</v>
      </c>
      <c r="AF55" s="154">
        <f t="shared" si="19"/>
        <v>144.68523547196216</v>
      </c>
      <c r="AH55" s="154">
        <f t="shared" si="20"/>
        <v>28.981081264847305</v>
      </c>
      <c r="AJ55" s="154">
        <f t="shared" si="21"/>
        <v>2.957577843948437</v>
      </c>
      <c r="AL55" s="153">
        <f t="shared" si="15"/>
        <v>13901.569820311481</v>
      </c>
      <c r="AN55" s="154">
        <f>INDEX('(2.2)_Forward_Price_Curve'!$K:$K,MATCH($AB55,'(2.2)_Forward_Price_Curve'!$C:$C,0),1)</f>
        <v>6.0717541666666675</v>
      </c>
      <c r="AP55" s="154">
        <f t="shared" si="5"/>
        <v>44.117495289422315</v>
      </c>
      <c r="AR55" s="154">
        <f t="shared" si="18"/>
        <v>3.3374681511945838</v>
      </c>
      <c r="AS55" s="154"/>
      <c r="AT55" s="153">
        <f t="shared" si="6"/>
        <v>8019.2870765591324</v>
      </c>
      <c r="AV55" s="153">
        <f t="shared" si="7"/>
        <v>16516.399821281466</v>
      </c>
      <c r="AW55" s="273"/>
      <c r="AX55" s="155">
        <f t="shared" si="8"/>
        <v>24535.686897840598</v>
      </c>
      <c r="AZ55" s="384">
        <f>+IF(AZ54&gt;$I$13+$I$14,XX,AZ54+1)</f>
        <v>2036</v>
      </c>
      <c r="BA55" s="117"/>
      <c r="BB55" s="154">
        <f t="shared" si="16"/>
        <v>68.88740528981441</v>
      </c>
      <c r="BD55" s="154">
        <f t="shared" si="17"/>
        <v>10.473861273578139</v>
      </c>
      <c r="BF55" s="153">
        <f t="shared" si="9"/>
        <v>5882.2827437523483</v>
      </c>
      <c r="BH55" s="157"/>
    </row>
    <row r="56" spans="2:60" ht="12">
      <c r="B56" s="2"/>
      <c r="C56" s="354">
        <f>+IF(C55&gt;$I$13+$I$14,XX,C55+1)</f>
        <v>2037</v>
      </c>
      <c r="E56" s="356">
        <f>'(2.2)_Forward_Price_Curve'!S50</f>
        <v>2.1999999999999999E-2</v>
      </c>
      <c r="G56" s="470">
        <v>348043.67391304346</v>
      </c>
      <c r="I56" s="360">
        <v>112.55391180656498</v>
      </c>
      <c r="K56" s="471">
        <v>20.216390000477926</v>
      </c>
      <c r="M56" s="28">
        <f t="shared" si="11"/>
        <v>0</v>
      </c>
      <c r="O56" s="471">
        <v>0.91000000000000025</v>
      </c>
      <c r="Q56" s="471">
        <v>0</v>
      </c>
      <c r="S56" s="18">
        <f t="shared" si="0"/>
        <v>18495.743661136054</v>
      </c>
      <c r="U56" s="18">
        <f t="shared" si="1"/>
        <v>25163.278727697303</v>
      </c>
      <c r="W56" s="18">
        <f t="shared" si="2"/>
        <v>-6667.5350665612496</v>
      </c>
      <c r="Y56" s="271">
        <f t="shared" si="3"/>
        <v>-19.157179303385622</v>
      </c>
      <c r="Z56" s="235"/>
      <c r="AB56" s="378">
        <f>+IF(AB55&gt;$I$13+$I$14,XX,AB55+1)</f>
        <v>2037</v>
      </c>
      <c r="AC56" s="117"/>
      <c r="AD56" s="151">
        <f t="shared" si="4"/>
        <v>348043.67391304346</v>
      </c>
      <c r="AF56" s="154">
        <f t="shared" si="19"/>
        <v>147.86831065234534</v>
      </c>
      <c r="AH56" s="154">
        <f t="shared" si="20"/>
        <v>29.618665052673947</v>
      </c>
      <c r="AJ56" s="154">
        <f t="shared" si="21"/>
        <v>3.0226445565153028</v>
      </c>
      <c r="AL56" s="153">
        <f t="shared" si="15"/>
        <v>14207.404356358338</v>
      </c>
      <c r="AN56" s="154">
        <f>INDEX('(2.2)_Forward_Price_Curve'!$K:$K,MATCH($AB56,'(2.2)_Forward_Price_Curve'!$C:$C,0),1)</f>
        <v>6.240054166666666</v>
      </c>
      <c r="AP56" s="154">
        <f t="shared" si="5"/>
        <v>45.340366679369573</v>
      </c>
      <c r="AR56" s="154">
        <f t="shared" si="18"/>
        <v>3.4108924505208646</v>
      </c>
      <c r="AS56" s="154"/>
      <c r="AT56" s="153">
        <f t="shared" si="6"/>
        <v>8195.7113922434382</v>
      </c>
      <c r="AV56" s="153">
        <f t="shared" si="7"/>
        <v>16967.567335453867</v>
      </c>
      <c r="AW56" s="273"/>
      <c r="AX56" s="155">
        <f t="shared" si="8"/>
        <v>25163.278727697303</v>
      </c>
      <c r="AZ56" s="384">
        <f>+IF(AZ55&gt;$I$13+$I$14,XX,AZ55+1)</f>
        <v>2037</v>
      </c>
      <c r="BA56" s="117"/>
      <c r="BB56" s="154">
        <f t="shared" si="16"/>
        <v>70.402928206190325</v>
      </c>
      <c r="BD56" s="154">
        <f t="shared" si="17"/>
        <v>10.704286221596858</v>
      </c>
      <c r="BF56" s="153">
        <f t="shared" si="9"/>
        <v>6011.6929641149</v>
      </c>
      <c r="BH56" s="157"/>
    </row>
    <row r="57" spans="2:60" ht="12">
      <c r="B57" s="2"/>
      <c r="C57" s="354">
        <f>+IF(C56&gt;$I$13+$I$14,XX,C56+1)</f>
        <v>2038</v>
      </c>
      <c r="E57" s="356">
        <f>'(2.2)_Forward_Price_Curve'!S51</f>
        <v>2.1999999999999999E-2</v>
      </c>
      <c r="G57" s="470">
        <v>348043.67391304346</v>
      </c>
      <c r="I57" s="360">
        <v>114.6924361308897</v>
      </c>
      <c r="K57" s="471">
        <v>20.681366970488916</v>
      </c>
      <c r="M57" s="28">
        <f t="shared" si="11"/>
        <v>0</v>
      </c>
      <c r="O57" s="471">
        <v>0.92999999999999994</v>
      </c>
      <c r="Q57" s="471">
        <v>0</v>
      </c>
      <c r="S57" s="18">
        <f t="shared" si="0"/>
        <v>18876.250735650043</v>
      </c>
      <c r="U57" s="18">
        <f t="shared" si="1"/>
        <v>26179.83224343507</v>
      </c>
      <c r="W57" s="18">
        <f t="shared" si="2"/>
        <v>-7303.5815077850275</v>
      </c>
      <c r="Y57" s="271">
        <f t="shared" si="3"/>
        <v>-20.984669612497488</v>
      </c>
      <c r="Z57" s="235"/>
      <c r="AB57" s="378">
        <f>+IF(AB56&gt;$I$13+$I$14,XX,AB56+1)</f>
        <v>2038</v>
      </c>
      <c r="AC57" s="117"/>
      <c r="AD57" s="151">
        <f t="shared" si="4"/>
        <v>348043.67391304346</v>
      </c>
      <c r="AF57" s="154">
        <f t="shared" si="19"/>
        <v>151.12141348669695</v>
      </c>
      <c r="AH57" s="154">
        <f t="shared" si="20"/>
        <v>30.270275683832775</v>
      </c>
      <c r="AJ57" s="154">
        <f t="shared" si="21"/>
        <v>3.0891427367586397</v>
      </c>
      <c r="AL57" s="153">
        <f t="shared" si="15"/>
        <v>14519.967252198221</v>
      </c>
      <c r="AN57" s="154">
        <f>INDEX('(2.2)_Forward_Price_Curve'!$K:$K,MATCH($AB57,'(2.2)_Forward_Price_Curve'!$C:$C,0),1)</f>
        <v>6.5604041666666673</v>
      </c>
      <c r="AP57" s="154">
        <f t="shared" si="5"/>
        <v>47.66803661264116</v>
      </c>
      <c r="AR57" s="154">
        <f t="shared" si="18"/>
        <v>3.4859320844323238</v>
      </c>
      <c r="AS57" s="154"/>
      <c r="AT57" s="153">
        <f t="shared" si="6"/>
        <v>8376.0170428727924</v>
      </c>
      <c r="AV57" s="153">
        <f t="shared" si="7"/>
        <v>17803.815200562276</v>
      </c>
      <c r="AW57" s="273"/>
      <c r="AX57" s="155">
        <f t="shared" si="8"/>
        <v>26179.83224343507</v>
      </c>
      <c r="AZ57" s="384">
        <f>+IF(AZ56&gt;$I$13+$I$14,XX,AZ56+1)</f>
        <v>2038</v>
      </c>
      <c r="BA57" s="117"/>
      <c r="BB57" s="154">
        <f t="shared" si="16"/>
        <v>71.951792626726515</v>
      </c>
      <c r="BD57" s="154">
        <f t="shared" si="17"/>
        <v>10.93978051847199</v>
      </c>
      <c r="BF57" s="153">
        <f t="shared" si="9"/>
        <v>6143.9502093254287</v>
      </c>
      <c r="BH57" s="157"/>
    </row>
    <row r="58" spans="2:60" ht="12">
      <c r="B58" s="2"/>
      <c r="C58" s="354">
        <f>+IF(C57&gt;$I$13+$I$14,XX,C57+1)</f>
        <v>2039</v>
      </c>
      <c r="E58" s="356">
        <f>'(2.2)_Forward_Price_Curve'!S52</f>
        <v>2.1999999999999999E-2</v>
      </c>
      <c r="G58" s="470">
        <v>348043.67391304346</v>
      </c>
      <c r="I58" s="360">
        <v>116.87159241737659</v>
      </c>
      <c r="K58" s="471">
        <v>21.157038410810159</v>
      </c>
      <c r="M58" s="28">
        <f t="shared" si="11"/>
        <v>0</v>
      </c>
      <c r="O58" s="471">
        <v>0.95999999999999985</v>
      </c>
      <c r="Q58" s="471">
        <v>0</v>
      </c>
      <c r="S58" s="18">
        <f t="shared" si="0"/>
        <v>19267.982953894549</v>
      </c>
      <c r="U58" s="18">
        <f t="shared" si="1"/>
        <v>26926.531657657506</v>
      </c>
      <c r="W58" s="18">
        <f t="shared" si="2"/>
        <v>-7658.5487037629573</v>
      </c>
      <c r="Y58" s="271">
        <f t="shared" si="3"/>
        <v>-22.004562294318262</v>
      </c>
      <c r="Z58" s="235"/>
      <c r="AB58" s="378">
        <f>+IF(AB57&gt;$I$13+$I$14,XX,AB57+1)</f>
        <v>2039</v>
      </c>
      <c r="AC58" s="117"/>
      <c r="AD58" s="151">
        <f t="shared" si="4"/>
        <v>348043.67391304346</v>
      </c>
      <c r="AF58" s="154">
        <f t="shared" si="19"/>
        <v>154.44608458340429</v>
      </c>
      <c r="AH58" s="154">
        <f t="shared" si="20"/>
        <v>30.936221748877095</v>
      </c>
      <c r="AJ58" s="154">
        <f t="shared" si="21"/>
        <v>3.1571038769673296</v>
      </c>
      <c r="AL58" s="153">
        <f t="shared" si="15"/>
        <v>14839.406531746583</v>
      </c>
      <c r="AN58" s="154">
        <f>INDEX('(2.2)_Forward_Price_Curve'!$K:$K,MATCH($AB58,'(2.2)_Forward_Price_Curve'!$C:$C,0),1)</f>
        <v>6.7722499999999988</v>
      </c>
      <c r="AP58" s="154">
        <f t="shared" si="5"/>
        <v>49.207312956449051</v>
      </c>
      <c r="AR58" s="154">
        <f t="shared" si="18"/>
        <v>3.562622590289835</v>
      </c>
      <c r="AS58" s="154"/>
      <c r="AT58" s="153">
        <f t="shared" si="6"/>
        <v>8560.289417815995</v>
      </c>
      <c r="AV58" s="153">
        <f t="shared" si="7"/>
        <v>18366.242239841511</v>
      </c>
      <c r="AW58" s="273"/>
      <c r="AX58" s="155">
        <f t="shared" si="8"/>
        <v>26926.531657657506</v>
      </c>
      <c r="AZ58" s="384">
        <f>+IF(AZ57&gt;$I$13+$I$14,XX,AZ57+1)</f>
        <v>2039</v>
      </c>
      <c r="BA58" s="117"/>
      <c r="BB58" s="154">
        <f t="shared" si="16"/>
        <v>73.5347320645145</v>
      </c>
      <c r="BD58" s="154">
        <f t="shared" si="17"/>
        <v>11.180455689878373</v>
      </c>
      <c r="BF58" s="153">
        <f t="shared" si="9"/>
        <v>6279.1171139305879</v>
      </c>
      <c r="BH58" s="157"/>
    </row>
    <row r="59" spans="2:60" ht="12">
      <c r="B59" s="2"/>
      <c r="C59" s="354">
        <f>+IF(C58&gt;$I$13+$I$14,XX,C58+1)</f>
        <v>2040</v>
      </c>
      <c r="E59" s="356">
        <f>'(2.2)_Forward_Price_Curve'!S53</f>
        <v>2.1999999999999999E-2</v>
      </c>
      <c r="G59" s="470">
        <v>348043.67391304346</v>
      </c>
      <c r="I59" s="360">
        <v>119.09215267330676</v>
      </c>
      <c r="K59" s="471">
        <v>21.702947966297856</v>
      </c>
      <c r="M59" s="28">
        <f t="shared" si="11"/>
        <v>0</v>
      </c>
      <c r="O59" s="471">
        <v>0.9800000000000002</v>
      </c>
      <c r="Q59" s="471">
        <v>0</v>
      </c>
      <c r="S59" s="18">
        <f t="shared" si="0"/>
        <v>19684.779660026074</v>
      </c>
      <c r="U59" s="18">
        <f t="shared" si="1"/>
        <v>27909.729598083126</v>
      </c>
      <c r="W59" s="18">
        <f t="shared" si="2"/>
        <v>-8224.9499380570523</v>
      </c>
      <c r="Y59" s="271">
        <f t="shared" si="3"/>
        <v>-23.631947811561155</v>
      </c>
      <c r="Z59" s="235"/>
      <c r="AB59" s="378">
        <f>+IF(AB58&gt;$I$13+$I$14,XX,AB58+1)</f>
        <v>2040</v>
      </c>
      <c r="AC59" s="117"/>
      <c r="AD59" s="151">
        <f t="shared" si="4"/>
        <v>348043.67391304346</v>
      </c>
      <c r="AF59" s="154">
        <f t="shared" si="19"/>
        <v>157.84389844423919</v>
      </c>
      <c r="AH59" s="154">
        <f t="shared" si="20"/>
        <v>31.616818627352391</v>
      </c>
      <c r="AJ59" s="154">
        <f t="shared" si="21"/>
        <v>3.2265601622606108</v>
      </c>
      <c r="AL59" s="153">
        <f t="shared" si="15"/>
        <v>15165.873475445005</v>
      </c>
      <c r="AN59" s="154">
        <f>INDEX('(2.2)_Forward_Price_Curve'!$K:$K,MATCH($AB59,'(2.2)_Forward_Price_Curve'!$C:$C,0),1)</f>
        <v>7.075779166666667</v>
      </c>
      <c r="AP59" s="154">
        <f t="shared" si="5"/>
        <v>51.412762355921451</v>
      </c>
      <c r="AR59" s="154">
        <f t="shared" si="18"/>
        <v>3.6410002872762113</v>
      </c>
      <c r="AS59" s="154"/>
      <c r="AT59" s="153">
        <f t="shared" si="6"/>
        <v>8748.6157850079435</v>
      </c>
      <c r="AV59" s="153">
        <f t="shared" si="7"/>
        <v>19161.113813075182</v>
      </c>
      <c r="AW59" s="273"/>
      <c r="AX59" s="155">
        <f t="shared" si="8"/>
        <v>27909.729598083126</v>
      </c>
      <c r="AZ59" s="384">
        <f>+IF(AZ58&gt;$I$13+$I$14,XX,AZ58+1)</f>
        <v>2040</v>
      </c>
      <c r="BA59" s="117"/>
      <c r="BB59" s="154">
        <f t="shared" si="16"/>
        <v>75.152496169933826</v>
      </c>
      <c r="BD59" s="154">
        <f t="shared" si="17"/>
        <v>11.426425715055698</v>
      </c>
      <c r="BF59" s="153">
        <f t="shared" si="9"/>
        <v>6417.2576904370617</v>
      </c>
      <c r="BH59" s="157"/>
    </row>
    <row r="60" spans="2:60" ht="12">
      <c r="B60" s="2"/>
      <c r="C60" s="354">
        <f>+IF(C59&gt;$I$13+$I$14,XX,C59+1)</f>
        <v>2041</v>
      </c>
      <c r="E60" s="356">
        <f>'(2.2)_Forward_Price_Curve'!S54</f>
        <v>2.1999999999999999E-2</v>
      </c>
      <c r="G60" s="470">
        <v>348043.67391304346</v>
      </c>
      <c r="I60" s="360">
        <v>121.35490357409957</v>
      </c>
      <c r="K60" s="471">
        <v>22.141454251026737</v>
      </c>
      <c r="M60" s="28">
        <f t="shared" si="11"/>
        <v>0</v>
      </c>
      <c r="O60" s="471">
        <v>1</v>
      </c>
      <c r="Q60" s="471">
        <v>0</v>
      </c>
      <c r="S60" s="18">
        <f t="shared" si="0"/>
        <v>20068.372211053822</v>
      </c>
      <c r="U60" s="18">
        <f t="shared" si="1"/>
        <v>28541.655438390651</v>
      </c>
      <c r="W60" s="18">
        <f t="shared" si="2"/>
        <v>-8473.2832273368294</v>
      </c>
      <c r="Y60" s="271">
        <f t="shared" si="3"/>
        <v>-24.345459671977334</v>
      </c>
      <c r="Z60" s="235"/>
      <c r="AB60" s="378">
        <f>+IF(AB59&gt;$I$13+$I$14,XX,AB59+1)</f>
        <v>2041</v>
      </c>
      <c r="AC60" s="117"/>
      <c r="AD60" s="151">
        <f t="shared" si="4"/>
        <v>348043.67391304346</v>
      </c>
      <c r="AF60" s="154">
        <f t="shared" si="19"/>
        <v>161.31646421001244</v>
      </c>
      <c r="AH60" s="154">
        <f t="shared" si="20"/>
        <v>32.312388637154143</v>
      </c>
      <c r="AJ60" s="154">
        <f t="shared" si="21"/>
        <v>3.2975444858303442</v>
      </c>
      <c r="AL60" s="153">
        <f t="shared" si="15"/>
        <v>15499.522691904795</v>
      </c>
      <c r="AN60" s="154">
        <f>INDEX('(2.2)_Forward_Price_Curve'!$K:$K,MATCH($AB60,'(2.2)_Forward_Price_Curve'!$C:$C,0),1)</f>
        <v>7.2385291666666687</v>
      </c>
      <c r="AP60" s="154">
        <f t="shared" si="5"/>
        <v>52.59530732748366</v>
      </c>
      <c r="AR60" s="154">
        <f t="shared" si="18"/>
        <v>3.7211022935962879</v>
      </c>
      <c r="AS60" s="154"/>
      <c r="AT60" s="153">
        <f t="shared" si="6"/>
        <v>8941.0853322781186</v>
      </c>
      <c r="AV60" s="153">
        <f t="shared" si="7"/>
        <v>19600.570106112533</v>
      </c>
      <c r="AW60" s="273"/>
      <c r="AX60" s="155">
        <f t="shared" si="8"/>
        <v>28541.655438390651</v>
      </c>
      <c r="AZ60" s="384">
        <f>+IF(AZ59&gt;$I$13+$I$14,XX,AZ59+1)</f>
        <v>2041</v>
      </c>
      <c r="BA60" s="117"/>
      <c r="BB60" s="154">
        <f t="shared" si="16"/>
        <v>76.805851085672373</v>
      </c>
      <c r="BD60" s="154">
        <f t="shared" si="17"/>
        <v>11.677807080786923</v>
      </c>
      <c r="BF60" s="153">
        <f t="shared" si="9"/>
        <v>6558.4373596266769</v>
      </c>
      <c r="BH60" s="157"/>
    </row>
    <row r="61" spans="2:60" ht="12">
      <c r="B61" s="2"/>
      <c r="C61" s="354">
        <f>+IF(C60&gt;$I$13+$I$14,XX,C60+1)</f>
        <v>2042</v>
      </c>
      <c r="E61" s="356">
        <f>'(2.2)_Forward_Price_Curve'!S55</f>
        <v>2.1999999999999999E-2</v>
      </c>
      <c r="G61" s="470">
        <v>348043.67391304346</v>
      </c>
      <c r="I61" s="360">
        <v>123.66064674200746</v>
      </c>
      <c r="K61" s="471">
        <v>22.650707698800353</v>
      </c>
      <c r="M61" s="28">
        <f t="shared" si="11"/>
        <v>0</v>
      </c>
      <c r="O61" s="471">
        <v>1.0199999999999998</v>
      </c>
      <c r="Q61" s="471">
        <v>0</v>
      </c>
      <c r="S61" s="18">
        <f t="shared" si="0"/>
        <v>20480.844099070975</v>
      </c>
      <c r="U61" s="18">
        <f t="shared" si="1"/>
        <v>29187.838535135401</v>
      </c>
      <c r="W61" s="18">
        <f t="shared" si="2"/>
        <v>-8706.9944360644258</v>
      </c>
      <c r="Y61" s="271">
        <f t="shared" si="3"/>
        <v>-25.016959332063063</v>
      </c>
      <c r="Z61" s="235"/>
      <c r="AB61" s="378">
        <f>+IF(AB60&gt;$I$13+$I$14,XX,AB60+1)</f>
        <v>2042</v>
      </c>
      <c r="AC61" s="117"/>
      <c r="AD61" s="151">
        <f t="shared" si="4"/>
        <v>348043.67391304346</v>
      </c>
      <c r="AF61" s="154">
        <f t="shared" si="19"/>
        <v>164.86542642263271</v>
      </c>
      <c r="AH61" s="154">
        <f t="shared" si="20"/>
        <v>33.023261187171535</v>
      </c>
      <c r="AJ61" s="154">
        <f t="shared" si="21"/>
        <v>3.3700904645186118</v>
      </c>
      <c r="AL61" s="153">
        <f t="shared" si="15"/>
        <v>15840.512191126703</v>
      </c>
      <c r="AN61" s="154">
        <f>INDEX('(2.2)_Forward_Price_Curve'!$K:$K,MATCH($AB61,'(2.2)_Forward_Price_Curve'!$C:$C,0),1)</f>
        <v>7.4050000000000002</v>
      </c>
      <c r="AP61" s="154">
        <f t="shared" si="5"/>
        <v>53.804887953413605</v>
      </c>
      <c r="AR61" s="154">
        <f t="shared" si="18"/>
        <v>3.8029665440554061</v>
      </c>
      <c r="AS61" s="154"/>
      <c r="AT61" s="153">
        <f t="shared" si="6"/>
        <v>9137.7892095882398</v>
      </c>
      <c r="AV61" s="153">
        <f t="shared" si="7"/>
        <v>20050.049325547159</v>
      </c>
      <c r="AW61" s="273"/>
      <c r="AX61" s="155">
        <f t="shared" si="8"/>
        <v>29187.838535135401</v>
      </c>
      <c r="AZ61" s="384">
        <f>+IF(AZ60&gt;$I$13+$I$14,XX,AZ60+1)</f>
        <v>2042</v>
      </c>
      <c r="BA61" s="117"/>
      <c r="BB61" s="154">
        <f t="shared" si="16"/>
        <v>78.495579809557171</v>
      </c>
      <c r="BD61" s="154">
        <f t="shared" si="17"/>
        <v>11.934718836564237</v>
      </c>
      <c r="BF61" s="153">
        <f t="shared" si="9"/>
        <v>6702.7229815384635</v>
      </c>
      <c r="BH61" s="157"/>
    </row>
    <row r="62" spans="2:60" ht="12">
      <c r="B62" s="2"/>
      <c r="C62" s="354">
        <f>+IF(C61&gt;$I$13+$I$14,XX,C61+1)</f>
        <v>2043</v>
      </c>
      <c r="E62" s="356">
        <f>'(2.2)_Forward_Price_Curve'!S56</f>
        <v>2.1999999999999999E-2</v>
      </c>
      <c r="G62" s="470">
        <v>348043.67391304346</v>
      </c>
      <c r="I62" s="360">
        <v>126.01019903010558</v>
      </c>
      <c r="K62" s="471">
        <v>23.171673975872757</v>
      </c>
      <c r="M62" s="28">
        <f t="shared" si="11"/>
        <v>0</v>
      </c>
      <c r="O62" s="471">
        <v>1.05</v>
      </c>
      <c r="Q62" s="471">
        <v>0</v>
      </c>
      <c r="S62" s="18">
        <f t="shared" si="0"/>
        <v>20905.210102867164</v>
      </c>
      <c r="U62" s="18">
        <f t="shared" si="1"/>
        <v>29829.970982908377</v>
      </c>
      <c r="W62" s="18">
        <f t="shared" si="2"/>
        <v>-8924.7608800412127</v>
      </c>
      <c r="Y62" s="271">
        <f t="shared" si="3"/>
        <v>-25.642646452097296</v>
      </c>
      <c r="Z62" s="235"/>
      <c r="AB62" s="378">
        <f>+IF(AB61&gt;$I$13+$I$14,XX,AB61+1)</f>
        <v>2043</v>
      </c>
      <c r="AC62" s="117"/>
      <c r="AD62" s="151">
        <f t="shared" si="4"/>
        <v>348043.67391304346</v>
      </c>
      <c r="AF62" s="154">
        <f t="shared" si="19"/>
        <v>168.49246580393063</v>
      </c>
      <c r="AH62" s="154">
        <f t="shared" si="20"/>
        <v>33.749772933289307</v>
      </c>
      <c r="AJ62" s="154">
        <f t="shared" si="21"/>
        <v>3.4442324547380214</v>
      </c>
      <c r="AL62" s="153">
        <f t="shared" si="15"/>
        <v>16189.00345933149</v>
      </c>
      <c r="AN62" s="154">
        <f>INDEX('(2.2)_Forward_Price_Curve'!$K:$K,MATCH($AB62,'(2.2)_Forward_Price_Curve'!$C:$C,0),1)</f>
        <v>7.5679100000000004</v>
      </c>
      <c r="AP62" s="154">
        <f t="shared" si="5"/>
        <v>54.988595488388711</v>
      </c>
      <c r="AR62" s="154">
        <f t="shared" si="18"/>
        <v>3.8866318080246249</v>
      </c>
      <c r="AS62" s="154"/>
      <c r="AT62" s="153">
        <f t="shared" si="6"/>
        <v>9338.8205721991799</v>
      </c>
      <c r="AV62" s="153">
        <f t="shared" si="7"/>
        <v>20491.150410709197</v>
      </c>
      <c r="AW62" s="273"/>
      <c r="AX62" s="155">
        <f t="shared" si="8"/>
        <v>29829.970982908377</v>
      </c>
      <c r="AZ62" s="384">
        <f>+IF(AZ61&gt;$I$13+$I$14,XX,AZ61+1)</f>
        <v>2043</v>
      </c>
      <c r="BA62" s="117"/>
      <c r="BB62" s="154">
        <f t="shared" si="16"/>
        <v>80.222482565367429</v>
      </c>
      <c r="BD62" s="154">
        <f t="shared" si="17"/>
        <v>12.197282650968651</v>
      </c>
      <c r="BF62" s="153">
        <f t="shared" si="9"/>
        <v>6850.1828871323096</v>
      </c>
      <c r="BH62" s="157"/>
    </row>
    <row r="63" spans="2:60" ht="12">
      <c r="B63" s="2"/>
      <c r="C63" s="354">
        <f>+IF(C62&gt;$I$13+$I$14,XX,C62+1)</f>
        <v>2044</v>
      </c>
      <c r="E63" s="356">
        <f>'(2.2)_Forward_Price_Curve'!S57</f>
        <v>2.3E-2</v>
      </c>
      <c r="G63" s="470">
        <v>348043.67391304346</v>
      </c>
      <c r="I63" s="360">
        <v>128.40439281167758</v>
      </c>
      <c r="K63" s="471">
        <v>23.769566648488571</v>
      </c>
      <c r="M63" s="28">
        <f t="shared" si="11"/>
        <v>0</v>
      </c>
      <c r="O63" s="471">
        <v>1.0700000000000003</v>
      </c>
      <c r="Q63" s="471">
        <v>0</v>
      </c>
      <c r="S63" s="18">
        <f t="shared" si="0"/>
        <v>21357.288923103944</v>
      </c>
      <c r="U63" s="18">
        <f t="shared" si="1"/>
        <v>30496.921882718168</v>
      </c>
      <c r="W63" s="18">
        <f t="shared" si="2"/>
        <v>-9139.6329596142241</v>
      </c>
      <c r="Y63" s="271">
        <f t="shared" si="3"/>
        <v>-26.260017476708125</v>
      </c>
      <c r="Z63" s="235"/>
      <c r="AB63" s="378">
        <f>+IF(AB62&gt;$I$13+$I$14,XX,AB62+1)</f>
        <v>2044</v>
      </c>
      <c r="AC63" s="117"/>
      <c r="AD63" s="151">
        <f t="shared" si="4"/>
        <v>348043.67391304346</v>
      </c>
      <c r="AF63" s="154">
        <f t="shared" si="19"/>
        <v>172.36779251742101</v>
      </c>
      <c r="AH63" s="154">
        <f t="shared" si="20"/>
        <v>34.526017710754957</v>
      </c>
      <c r="AJ63" s="154">
        <f t="shared" si="21"/>
        <v>3.5234498011969957</v>
      </c>
      <c r="AL63" s="153">
        <f t="shared" si="15"/>
        <v>16561.350538896113</v>
      </c>
      <c r="AN63" s="154">
        <f>INDEX('(2.2)_Forward_Price_Curve'!$K:$K,MATCH($AB63,'(2.2)_Forward_Price_Curve'!$C:$C,0),1)</f>
        <v>7.7344040200000004</v>
      </c>
      <c r="AP63" s="154">
        <f t="shared" si="5"/>
        <v>56.198344589133256</v>
      </c>
      <c r="AR63" s="154">
        <f t="shared" si="18"/>
        <v>3.9760243396091908</v>
      </c>
      <c r="AS63" s="154"/>
      <c r="AT63" s="153">
        <f t="shared" si="6"/>
        <v>9553.6134453597588</v>
      </c>
      <c r="AV63" s="153">
        <f t="shared" si="7"/>
        <v>20943.30843735841</v>
      </c>
      <c r="AW63" s="273"/>
      <c r="AX63" s="155">
        <f t="shared" si="8"/>
        <v>30496.921882718168</v>
      </c>
      <c r="AZ63" s="384">
        <f>+IF(AZ62&gt;$I$13+$I$14,XX,AZ62+1)</f>
        <v>2044</v>
      </c>
      <c r="BA63" s="117"/>
      <c r="BB63" s="154">
        <f t="shared" si="16"/>
        <v>82.067599664370874</v>
      </c>
      <c r="BD63" s="154">
        <f t="shared" si="17"/>
        <v>12.477820151940929</v>
      </c>
      <c r="BF63" s="153">
        <f t="shared" si="9"/>
        <v>7007.7370935363533</v>
      </c>
      <c r="BH63" s="157"/>
    </row>
    <row r="64" spans="2:60" ht="12">
      <c r="B64" s="2"/>
      <c r="C64" s="354">
        <f>+IF(C63&gt;$I$13+$I$14,XX,C63+1)</f>
        <v>2045</v>
      </c>
      <c r="E64" s="356">
        <f>'(2.2)_Forward_Price_Curve'!S58</f>
        <v>2.3E-2</v>
      </c>
      <c r="G64" s="470">
        <v>348043.67391304346</v>
      </c>
      <c r="I64" s="360">
        <v>130.8440762750995</v>
      </c>
      <c r="K64" s="471">
        <v>24.249828794296143</v>
      </c>
      <c r="M64" s="28">
        <f t="shared" si="11"/>
        <v>0</v>
      </c>
      <c r="O64" s="471">
        <v>1.1000000000000001</v>
      </c>
      <c r="Q64" s="471">
        <v>0</v>
      </c>
      <c r="S64" s="18">
        <f t="shared" si="0"/>
        <v>21776.411097868338</v>
      </c>
      <c r="U64" s="18">
        <f t="shared" si="1"/>
        <v>31178.791607702053</v>
      </c>
      <c r="W64" s="18">
        <f t="shared" si="2"/>
        <v>-9402.3805098337143</v>
      </c>
      <c r="Y64" s="271">
        <f t="shared" si="3"/>
        <v>-27.01494442959719</v>
      </c>
      <c r="Z64" s="235"/>
      <c r="AB64" s="378">
        <f>+IF(AB63&gt;$I$13+$I$14,XX,AB63+1)</f>
        <v>2045</v>
      </c>
      <c r="AC64" s="117"/>
      <c r="AD64" s="151">
        <f t="shared" si="4"/>
        <v>348043.67391304346</v>
      </c>
      <c r="AF64" s="154">
        <f t="shared" si="19"/>
        <v>176.33225174532168</v>
      </c>
      <c r="AH64" s="154">
        <f t="shared" si="20"/>
        <v>35.32011611810232</v>
      </c>
      <c r="AJ64" s="154">
        <f t="shared" si="21"/>
        <v>3.6044891466245264</v>
      </c>
      <c r="AL64" s="153">
        <f t="shared" si="15"/>
        <v>16942.26160129072</v>
      </c>
      <c r="AN64" s="154">
        <f>INDEX('(2.2)_Forward_Price_Curve'!$K:$K,MATCH($AB64,'(2.2)_Forward_Price_Curve'!$C:$C,0),1)</f>
        <v>7.9045609084400006</v>
      </c>
      <c r="AP64" s="154">
        <f t="shared" si="5"/>
        <v>57.43470817009419</v>
      </c>
      <c r="AR64" s="154">
        <f t="shared" si="18"/>
        <v>4.0674728994202018</v>
      </c>
      <c r="AS64" s="154"/>
      <c r="AT64" s="153">
        <f t="shared" si="6"/>
        <v>9773.3465546030311</v>
      </c>
      <c r="AV64" s="153">
        <f t="shared" si="7"/>
        <v>21405.445053099022</v>
      </c>
      <c r="AW64" s="273"/>
      <c r="AX64" s="155">
        <f t="shared" si="8"/>
        <v>31178.791607702053</v>
      </c>
      <c r="AZ64" s="384">
        <f>+IF(AZ63&gt;$I$13+$I$14,XX,AZ63+1)</f>
        <v>2045</v>
      </c>
      <c r="BA64" s="117"/>
      <c r="BB64" s="154">
        <f t="shared" si="16"/>
        <v>83.9551544566514</v>
      </c>
      <c r="BD64" s="154">
        <f t="shared" si="17"/>
        <v>12.764810015435568</v>
      </c>
      <c r="BF64" s="153">
        <f t="shared" si="9"/>
        <v>7168.915046687689</v>
      </c>
      <c r="BH64" s="157"/>
    </row>
    <row r="65" spans="2:60" ht="12">
      <c r="B65" s="2"/>
      <c r="C65" s="354">
        <f>+IF(C64&gt;$I$13+$I$14,XX,C64+1)</f>
        <v>2046</v>
      </c>
      <c r="E65" s="356">
        <f>'(2.2)_Forward_Price_Curve'!S59</f>
        <v>2.3E-2</v>
      </c>
      <c r="G65" s="470">
        <v>348043.67391304346</v>
      </c>
      <c r="I65" s="360">
        <v>133.33011372432634</v>
      </c>
      <c r="K65" s="471">
        <v>24.807574856564948</v>
      </c>
      <c r="M65" s="28">
        <f t="shared" si="11"/>
        <v>0</v>
      </c>
      <c r="O65" s="471">
        <v>1.1200000000000001</v>
      </c>
      <c r="Q65" s="471">
        <v>0</v>
      </c>
      <c r="S65" s="18">
        <f t="shared" si="0"/>
        <v>22223.609667442623</v>
      </c>
      <c r="U65" s="18">
        <f t="shared" si="1"/>
        <v>31875.914027837556</v>
      </c>
      <c r="W65" s="18">
        <f t="shared" si="2"/>
        <v>-9652.3043603949336</v>
      </c>
      <c r="Y65" s="271">
        <f t="shared" si="3"/>
        <v>-27.733026294873849</v>
      </c>
      <c r="Z65" s="235"/>
      <c r="AB65" s="378">
        <f>+IF(AB64&gt;$I$13+$I$14,XX,AB64+1)</f>
        <v>2046</v>
      </c>
      <c r="AC65" s="117"/>
      <c r="AD65" s="151">
        <f t="shared" si="4"/>
        <v>348043.67391304346</v>
      </c>
      <c r="AF65" s="154">
        <f t="shared" si="19"/>
        <v>180.38789353546406</v>
      </c>
      <c r="AH65" s="154">
        <f t="shared" si="20"/>
        <v>36.132478788818666</v>
      </c>
      <c r="AJ65" s="154">
        <f t="shared" si="21"/>
        <v>3.68739239699689</v>
      </c>
      <c r="AL65" s="153">
        <f t="shared" si="15"/>
        <v>17331.933618120405</v>
      </c>
      <c r="AN65" s="154">
        <f>INDEX('(2.2)_Forward_Price_Curve'!$K:$K,MATCH($AB65,'(2.2)_Forward_Price_Curve'!$C:$C,0),1)</f>
        <v>8.0784612484256808</v>
      </c>
      <c r="AP65" s="154">
        <f t="shared" si="5"/>
        <v>58.698271749836266</v>
      </c>
      <c r="AR65" s="154">
        <f t="shared" si="18"/>
        <v>4.1610247761068662</v>
      </c>
      <c r="AS65" s="154"/>
      <c r="AT65" s="153">
        <f t="shared" si="6"/>
        <v>9998.1335253589004</v>
      </c>
      <c r="AV65" s="153">
        <f t="shared" si="7"/>
        <v>21877.780502478654</v>
      </c>
      <c r="AW65" s="273"/>
      <c r="AX65" s="155">
        <f t="shared" si="8"/>
        <v>31875.914027837556</v>
      </c>
      <c r="AZ65" s="384">
        <f>+IF(AZ64&gt;$I$13+$I$14,XX,AZ64+1)</f>
        <v>2046</v>
      </c>
      <c r="BA65" s="117"/>
      <c r="BB65" s="154">
        <f t="shared" si="16"/>
        <v>85.886123009154375</v>
      </c>
      <c r="BD65" s="154">
        <f t="shared" si="17"/>
        <v>13.058400645790584</v>
      </c>
      <c r="BF65" s="153">
        <f t="shared" si="9"/>
        <v>7333.8000927615049</v>
      </c>
      <c r="BH65" s="157"/>
    </row>
    <row r="66" spans="2:60" ht="12">
      <c r="B66" s="2"/>
      <c r="C66" s="354">
        <f>+IF(C65&gt;$I$13+$I$14,XX,C65+1)</f>
        <v>2047</v>
      </c>
      <c r="E66" s="356">
        <f>'(2.2)_Forward_Price_Curve'!S60</f>
        <v>2.3E-2</v>
      </c>
      <c r="G66" s="470">
        <v>348043.67391304346</v>
      </c>
      <c r="I66" s="360">
        <v>135.86338588508852</v>
      </c>
      <c r="K66" s="471">
        <v>25.378149078265942</v>
      </c>
      <c r="M66" s="28">
        <f t="shared" si="11"/>
        <v>0</v>
      </c>
      <c r="O66" s="471">
        <v>1.1499999999999997</v>
      </c>
      <c r="Q66" s="471">
        <v>0</v>
      </c>
      <c r="S66" s="18">
        <f t="shared" si="0"/>
        <v>22683.429669936359</v>
      </c>
      <c r="U66" s="18">
        <f t="shared" si="1"/>
        <v>32588.630488325663</v>
      </c>
      <c r="W66" s="18">
        <f t="shared" si="2"/>
        <v>-9905.2008183893049</v>
      </c>
      <c r="Y66" s="271">
        <f t="shared" si="3"/>
        <v>-28.45964906365187</v>
      </c>
      <c r="Z66" s="235"/>
      <c r="AB66" s="378">
        <f>+IF(AB65&gt;$I$13+$I$14,XX,AB65+1)</f>
        <v>2047</v>
      </c>
      <c r="AC66" s="117"/>
      <c r="AD66" s="151">
        <f t="shared" si="4"/>
        <v>348043.67391304346</v>
      </c>
      <c r="AF66" s="154">
        <f t="shared" si="19"/>
        <v>184.53681508677971</v>
      </c>
      <c r="AH66" s="154">
        <f t="shared" si="20"/>
        <v>36.963525800961492</v>
      </c>
      <c r="AJ66" s="154">
        <f t="shared" si="21"/>
        <v>3.7722024221278181</v>
      </c>
      <c r="AL66" s="153">
        <f t="shared" si="15"/>
        <v>17730.568091337173</v>
      </c>
      <c r="AN66" s="154">
        <f>INDEX('(2.2)_Forward_Price_Curve'!$K:$K,MATCH($AB66,'(2.2)_Forward_Price_Curve'!$C:$C,0),1)</f>
        <v>8.2561873958910468</v>
      </c>
      <c r="AP66" s="154">
        <f t="shared" si="5"/>
        <v>59.98963372833267</v>
      </c>
      <c r="AR66" s="154">
        <f t="shared" si="18"/>
        <v>4.256728345957324</v>
      </c>
      <c r="AS66" s="154"/>
      <c r="AT66" s="153">
        <f t="shared" si="6"/>
        <v>10228.090596442154</v>
      </c>
      <c r="AV66" s="153">
        <f t="shared" si="7"/>
        <v>22360.539891883509</v>
      </c>
      <c r="AW66" s="273"/>
      <c r="AX66" s="155">
        <f t="shared" si="8"/>
        <v>32588.630488325663</v>
      </c>
      <c r="AZ66" s="384">
        <f>+IF(AZ65&gt;$I$13+$I$14,XX,AZ65+1)</f>
        <v>2047</v>
      </c>
      <c r="BA66" s="117"/>
      <c r="BB66" s="154">
        <f t="shared" si="16"/>
        <v>87.861503838364911</v>
      </c>
      <c r="BD66" s="154">
        <f t="shared" si="17"/>
        <v>13.358743860643767</v>
      </c>
      <c r="BF66" s="153">
        <f t="shared" si="9"/>
        <v>7502.4774948950189</v>
      </c>
      <c r="BH66" s="157"/>
    </row>
    <row r="67" spans="2:60" ht="12">
      <c r="B67" s="2"/>
      <c r="C67" s="354">
        <f>+IF(C66&gt;$I$13+$I$14,XX,C66+1)</f>
        <v>2048</v>
      </c>
      <c r="E67" s="356">
        <f>'(2.2)_Forward_Price_Curve'!S61</f>
        <v>2.1999999999999999E-2</v>
      </c>
      <c r="G67" s="470">
        <v>348043.67391304346</v>
      </c>
      <c r="I67" s="360">
        <v>138.44479021690523</v>
      </c>
      <c r="K67" s="471">
        <v>26.032974853660757</v>
      </c>
      <c r="M67" s="28">
        <f t="shared" si="11"/>
        <v>0</v>
      </c>
      <c r="O67" s="471">
        <v>1.17</v>
      </c>
      <c r="Q67" s="471">
        <v>0</v>
      </c>
      <c r="S67" s="18">
        <f t="shared" si="0"/>
        <v>23173.857540905839</v>
      </c>
      <c r="U67" s="18">
        <f t="shared" si="1"/>
        <v>33305.58035906883</v>
      </c>
      <c r="W67" s="18">
        <f t="shared" si="2"/>
        <v>-10131.722818162991</v>
      </c>
      <c r="Y67" s="271">
        <f t="shared" si="3"/>
        <v>-29.110492669647943</v>
      </c>
      <c r="Z67" s="235"/>
      <c r="AB67" s="378">
        <f>+IF(AB66&gt;$I$13+$I$14,XX,AB66+1)</f>
        <v>2048</v>
      </c>
      <c r="AC67" s="117"/>
      <c r="AD67" s="151">
        <f t="shared" si="4"/>
        <v>348043.67391304346</v>
      </c>
      <c r="AF67" s="154">
        <f t="shared" si="19"/>
        <v>188.59662501868885</v>
      </c>
      <c r="AH67" s="154">
        <f t="shared" si="20"/>
        <v>37.776723368582644</v>
      </c>
      <c r="AJ67" s="154">
        <f t="shared" si="21"/>
        <v>3.85519087541463</v>
      </c>
      <c r="AL67" s="153">
        <f>((AF67+AH67)*$AF$11*1000+AJ67*AD67)/1000</f>
        <v>18120.640589346593</v>
      </c>
      <c r="AN67" s="154">
        <f>INDEX('(2.2)_Forward_Price_Curve'!$K:$K,MATCH($AB67,'(2.2)_Forward_Price_Curve'!$C:$C,0),1)</f>
        <v>8.4378235186006503</v>
      </c>
      <c r="AP67" s="154">
        <f t="shared" si="5"/>
        <v>61.309405670356</v>
      </c>
      <c r="AR67" s="154">
        <f t="shared" si="18"/>
        <v>4.3503763695683855</v>
      </c>
      <c r="AS67" s="154"/>
      <c r="AT67" s="153">
        <f t="shared" si="6"/>
        <v>10453.108589563883</v>
      </c>
      <c r="AV67" s="153">
        <f t="shared" si="7"/>
        <v>22852.471769504951</v>
      </c>
      <c r="AW67" s="273"/>
      <c r="AX67" s="155">
        <f t="shared" si="8"/>
        <v>33305.58035906883</v>
      </c>
      <c r="AZ67" s="384">
        <f>+IF(AZ66&gt;$I$13+$I$14,XX,AZ66+1)</f>
        <v>2048</v>
      </c>
      <c r="BA67" s="117"/>
      <c r="BB67" s="154">
        <f t="shared" si="16"/>
        <v>89.794456922808934</v>
      </c>
      <c r="BD67" s="154">
        <f t="shared" si="17"/>
        <v>13.652636225577929</v>
      </c>
      <c r="BF67" s="153">
        <f t="shared" si="9"/>
        <v>7667.5319997827091</v>
      </c>
      <c r="BH67" s="157"/>
    </row>
    <row r="68" spans="2:60" ht="12">
      <c r="B68" s="2"/>
      <c r="C68" s="354">
        <f>+IF(C67&gt;$I$13+$I$14,XX,C67+1)</f>
        <v>2049</v>
      </c>
      <c r="E68" s="356">
        <f>'(2.2)_Forward_Price_Curve'!S62</f>
        <v>2.1999999999999999E-2</v>
      </c>
      <c r="G68" s="470">
        <v>144621.97288053375</v>
      </c>
      <c r="I68" s="360">
        <v>117.56270102585535</v>
      </c>
      <c r="K68" s="471">
        <v>11.066237073636906</v>
      </c>
      <c r="M68" s="28">
        <f t="shared" si="11"/>
        <v>0</v>
      </c>
      <c r="O68" s="471">
        <v>1.2000000000000002</v>
      </c>
      <c r="Q68" s="471">
        <v>0</v>
      </c>
      <c r="S68" s="18">
        <f t="shared" si="0"/>
        <v>13412.674806969393</v>
      </c>
      <c r="U68" s="18">
        <f t="shared" si="1"/>
        <v>14457.749295437201</v>
      </c>
      <c r="W68" s="18">
        <f t="shared" si="2"/>
        <v>-1045.0744884678079</v>
      </c>
      <c r="Y68" s="271">
        <f t="shared" si="3"/>
        <v>-7.2262497022572143</v>
      </c>
      <c r="Z68" s="235"/>
      <c r="AB68" s="378">
        <f>+IF(AB67&gt;$I$13+$I$14,XX,AB67+1)</f>
        <v>2049</v>
      </c>
      <c r="AC68" s="117"/>
      <c r="AD68" s="151">
        <f t="shared" si="4"/>
        <v>144621.97288053375</v>
      </c>
      <c r="AF68" s="154">
        <f t="shared" si="19"/>
        <v>192.7457507691</v>
      </c>
      <c r="AH68" s="154">
        <f t="shared" si="20"/>
        <v>38.607811282691465</v>
      </c>
      <c r="AJ68" s="154">
        <f t="shared" si="21"/>
        <v>3.9400050746737518</v>
      </c>
      <c r="AL68" s="153">
        <f>((AF68+AH68)*$AR$11*1000+AJ68*AD68)/1000</f>
        <v>12589.211142909993</v>
      </c>
      <c r="AN68" s="154">
        <f>INDEX('(2.2)_Forward_Price_Curve'!$K:$K,MATCH($AB68,'(2.2)_Forward_Price_Curve'!$C:$C,0),1)</f>
        <v>8.6234556360098651</v>
      </c>
      <c r="AP68" s="154">
        <f t="shared" si="5"/>
        <v>62.658212595103834</v>
      </c>
      <c r="AR68" s="154">
        <f t="shared" si="18"/>
        <v>4.4460846496988902</v>
      </c>
      <c r="AS68" s="154"/>
      <c r="AT68" s="153">
        <f t="shared" si="6"/>
        <v>4752.9934391320658</v>
      </c>
      <c r="AV68" s="153">
        <f t="shared" si="7"/>
        <v>9704.7558563051352</v>
      </c>
      <c r="AW68" s="273"/>
      <c r="AX68" s="155">
        <f t="shared" si="8"/>
        <v>14457.749295437201</v>
      </c>
      <c r="AZ68" s="384">
        <f>+IF(AZ67&gt;$I$13+$I$14,XX,AZ67+1)</f>
        <v>2049</v>
      </c>
      <c r="BA68" s="117"/>
      <c r="BB68" s="154">
        <f t="shared" si="16"/>
        <v>91.769934975110729</v>
      </c>
      <c r="BD68" s="154">
        <f t="shared" si="17"/>
        <v>13.952994222540644</v>
      </c>
      <c r="BF68" s="153">
        <f t="shared" si="9"/>
        <v>7836.2177037779275</v>
      </c>
      <c r="BH68" s="157"/>
    </row>
    <row r="69" spans="2:60">
      <c r="B69" s="2"/>
      <c r="E69" s="169"/>
      <c r="G69" s="267"/>
      <c r="H69" s="267"/>
      <c r="I69" s="267"/>
      <c r="K69" s="267"/>
      <c r="M69" s="267"/>
      <c r="O69" s="267"/>
      <c r="Q69" s="267"/>
      <c r="S69" s="267"/>
      <c r="U69" s="267"/>
      <c r="W69" s="267"/>
      <c r="Y69" s="267"/>
      <c r="Z69" s="235"/>
      <c r="AB69" s="2"/>
      <c r="AF69" s="274"/>
      <c r="AH69" s="274"/>
      <c r="AJ69" s="274"/>
      <c r="AL69" s="273"/>
      <c r="AN69" s="274"/>
      <c r="AP69" s="274"/>
      <c r="AR69" s="274"/>
      <c r="AS69" s="274"/>
      <c r="AT69" s="274"/>
      <c r="AV69" s="273"/>
      <c r="AW69" s="273"/>
      <c r="AX69" s="275"/>
      <c r="AZ69" s="2"/>
      <c r="BB69" s="274"/>
      <c r="BF69" s="273"/>
      <c r="BH69" s="235"/>
    </row>
    <row r="70" spans="2:60" ht="12">
      <c r="B70" s="2"/>
      <c r="C70" s="4" t="s">
        <v>342</v>
      </c>
      <c r="E70" s="169"/>
      <c r="G70" s="466">
        <f>+-PMT($I$18,41,NPV($I$18,G28:G68))</f>
        <v>333470.10302253504</v>
      </c>
      <c r="I70" s="466">
        <f>+-PMT($I$18,41,NPV($I$18,I28:I68))</f>
        <v>231.76438322791344</v>
      </c>
      <c r="J70" s="28"/>
      <c r="K70" s="466">
        <f>+-PMT($I$18,41,NPV($I$18,K28:K68))</f>
        <v>15.190016355371666</v>
      </c>
      <c r="M70" s="28">
        <f>+-PMT($G$18,$G$14,NPV($G$18,M28:M51))</f>
        <v>0</v>
      </c>
      <c r="O70" s="466">
        <f>+-PMT($I$18,41,NPV($I$18,O28:O68))</f>
        <v>3.2421528227403971</v>
      </c>
      <c r="Q70" s="466">
        <f>+-PMT($I$18,41,NPV($I$18,Q28:Q68))</f>
        <v>-28.420730913200078</v>
      </c>
      <c r="S70" s="466">
        <f>+-PMT($I$18,41,NPV($I$18,S28:S68))</f>
        <v>19684.218778822196</v>
      </c>
      <c r="U70" s="466">
        <f>+-PMT($I$18,41,NPV($I$18,U28:U68))</f>
        <v>20945.849711875107</v>
      </c>
      <c r="W70" s="285">
        <f>+-PMT($I$18,41,NPV($I$18,W28:W68))</f>
        <v>-1261.63093305291</v>
      </c>
      <c r="Y70" s="466">
        <f>+-PMT($I$18,41,NPV($I$18,Y28:Y68))</f>
        <v>-4.5792577629076945</v>
      </c>
      <c r="Z70" s="235"/>
      <c r="AB70" s="2"/>
      <c r="AD70" s="466">
        <f>+-PMT($I$18,41,NPV($I$18,AD28:AD68))</f>
        <v>333470.10302253504</v>
      </c>
      <c r="AF70" s="466">
        <f>+-PMT($I$18,41,NPV($I$18,AF28:AF68))</f>
        <v>94.182078616446063</v>
      </c>
      <c r="AH70" s="466">
        <f>+-PMT($I$18,41,NPV($I$18,AH28:AH68))</f>
        <v>16.973878524490814</v>
      </c>
      <c r="AJ70" s="466">
        <f>+-PMT($I$18,41,NPV($I$18,AJ28:AJ68))</f>
        <v>2.5370140171159856</v>
      </c>
      <c r="AL70" s="467">
        <f>+-PMT($I$18,41,NPV($I$18,AL28:AL68))</f>
        <v>9057.7673119010069</v>
      </c>
      <c r="AN70" s="466">
        <f>+-PMT($I$18,41,NPV($I$18,AN28:AN68))</f>
        <v>6.3870502564255052</v>
      </c>
      <c r="AP70" s="466">
        <f>+-PMT($I$18,41,NPV($I$18,AP28:AP68))</f>
        <v>46.408443403078429</v>
      </c>
      <c r="AR70" s="466">
        <f>+-PMT($I$18,41,NPV($I$18,AR28:AR68))</f>
        <v>2.7449700625634819</v>
      </c>
      <c r="AS70" s="154"/>
      <c r="AT70" s="467">
        <f>+-PMT($I$18,41,NPV($I$18,AT28:AT68))</f>
        <v>4690.5123471486258</v>
      </c>
      <c r="AV70" s="467">
        <f>+-PMT($I$18,41,NPV($I$18,AV28:AV68))</f>
        <v>16255.337364726483</v>
      </c>
      <c r="AW70" s="273"/>
      <c r="AX70" s="467">
        <f>+-PMT($I$18,41,NPV($I$18,AX28:AX68))</f>
        <v>20945.849711875107</v>
      </c>
      <c r="AY70" s="311"/>
      <c r="AZ70" s="2"/>
      <c r="BB70" s="466">
        <f>+-PMT($I$18,41,NPV($I$18,BB28:BB68))</f>
        <v>51.144917010388028</v>
      </c>
      <c r="BD70" s="466">
        <f>+-PMT($I$18,41,NPV($I$18,BD28:BD68))</f>
        <v>7.7762366482204612</v>
      </c>
      <c r="BF70" s="467">
        <f>+-PMT($I$18,41,NPV($I$18,BF28:BF68))</f>
        <v>4367.2549647523811</v>
      </c>
      <c r="BH70" s="157"/>
    </row>
    <row r="71" spans="2:60" ht="12">
      <c r="B71" s="2"/>
      <c r="E71" s="169"/>
      <c r="G71" s="466"/>
      <c r="I71" s="466"/>
      <c r="J71" s="28"/>
      <c r="K71" s="466"/>
      <c r="M71" s="28"/>
      <c r="O71" s="28"/>
      <c r="Q71" s="466"/>
      <c r="S71" s="18"/>
      <c r="U71" s="18"/>
      <c r="W71" s="18"/>
      <c r="Y71" s="271"/>
      <c r="Z71" s="235"/>
      <c r="AB71" s="2"/>
      <c r="AD71" s="151"/>
      <c r="AF71" s="154"/>
      <c r="AH71" s="154"/>
      <c r="AJ71" s="154"/>
      <c r="AL71" s="153"/>
      <c r="AN71" s="154"/>
      <c r="AP71" s="154"/>
      <c r="AR71" s="154"/>
      <c r="AS71" s="154"/>
      <c r="AT71" s="153"/>
      <c r="AV71" s="153"/>
      <c r="AW71" s="273"/>
      <c r="AX71" s="155"/>
      <c r="AZ71" s="2"/>
      <c r="BB71" s="154"/>
      <c r="BD71" s="154"/>
      <c r="BF71" s="153"/>
      <c r="BH71" s="157"/>
    </row>
    <row r="72" spans="2:60" ht="12">
      <c r="B72" s="2"/>
      <c r="E72" s="169"/>
      <c r="I72" s="466"/>
      <c r="W72" s="18"/>
      <c r="Y72" s="271"/>
      <c r="Z72" s="235"/>
      <c r="AB72" s="2"/>
      <c r="AX72" s="235"/>
      <c r="AZ72" s="2"/>
      <c r="BH72" s="235"/>
    </row>
    <row r="73" spans="2:60">
      <c r="B73" s="238"/>
      <c r="C73" s="277"/>
      <c r="D73" s="277"/>
      <c r="E73" s="278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39"/>
      <c r="AB73" s="238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39"/>
      <c r="AZ73" s="238"/>
      <c r="BA73" s="277"/>
      <c r="BB73" s="277"/>
      <c r="BC73" s="277"/>
      <c r="BD73" s="277"/>
      <c r="BE73" s="277"/>
      <c r="BF73" s="277"/>
      <c r="BG73" s="277"/>
      <c r="BH73" s="239"/>
    </row>
    <row r="74" spans="2:60">
      <c r="E74" s="169"/>
    </row>
    <row r="75" spans="2:60">
      <c r="E75" s="169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</sheetData>
  <pageMargins left="0.25" right="0.25" top="0.25" bottom="0.75" header="0.3" footer="0.3"/>
  <pageSetup paperSize="5" scale="4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FF00"/>
  </sheetPr>
  <dimension ref="A1:V88"/>
  <sheetViews>
    <sheetView topLeftCell="A45" zoomScaleNormal="100" workbookViewId="0"/>
  </sheetViews>
  <sheetFormatPr defaultColWidth="9.33203125" defaultRowHeight="11.25"/>
  <cols>
    <col min="1" max="1" width="2.83203125" customWidth="1"/>
    <col min="2" max="2" width="2" customWidth="1"/>
    <col min="3" max="3" width="37.33203125" customWidth="1"/>
    <col min="4" max="4" width="5.1640625" customWidth="1"/>
    <col min="5" max="5" width="15.83203125" customWidth="1"/>
    <col min="6" max="6" width="2" customWidth="1"/>
    <col min="7" max="7" width="7.83203125" customWidth="1"/>
    <col min="8" max="8" width="10.1640625" customWidth="1"/>
    <col min="9" max="9" width="2" customWidth="1"/>
    <col min="10" max="10" width="18.1640625" customWidth="1"/>
    <col min="11" max="11" width="2" customWidth="1"/>
    <col min="12" max="12" width="3.5" customWidth="1"/>
    <col min="13" max="13" width="2" customWidth="1"/>
    <col min="14" max="14" width="37.33203125" customWidth="1"/>
    <col min="15" max="15" width="5.83203125" customWidth="1"/>
    <col min="16" max="16" width="15.83203125" customWidth="1"/>
    <col min="17" max="17" width="2" customWidth="1"/>
    <col min="18" max="18" width="7.83203125" customWidth="1"/>
    <col min="19" max="19" width="10.1640625" customWidth="1"/>
    <col min="20" max="20" width="2" customWidth="1"/>
    <col min="21" max="21" width="17.5" customWidth="1"/>
    <col min="22" max="22" width="2" customWidth="1"/>
  </cols>
  <sheetData>
    <row r="1" spans="1:22" s="4" customFormat="1">
      <c r="A1" s="4" t="str">
        <f>+'Workpaper Index'!C3</f>
        <v>PACIFICORP</v>
      </c>
    </row>
    <row r="2" spans="1:22" s="4" customFormat="1">
      <c r="A2" s="4" t="str">
        <f>+'Workpaper Index'!C4</f>
        <v xml:space="preserve">WASHINGTON JUNE, 1 2024 RENEWABLES REPORT </v>
      </c>
    </row>
    <row r="3" spans="1:22" s="4" customFormat="1">
      <c r="A3" s="4" t="str">
        <f>+'Workpaper Index'!C5</f>
        <v>EVALUATION OF RENEWABLE RESOURCE COST</v>
      </c>
    </row>
    <row r="4" spans="1:22" s="4" customFormat="1"/>
    <row r="5" spans="1:22" s="4" customFormat="1">
      <c r="A5" s="4" t="str">
        <f>+'Workpaper Index'!C10&amp;" - "&amp;'Workpaper Index'!D10</f>
        <v>1.1 - TOTAL RESOURCE COST TO WASHINGTON REVENUE REQUIREMENT</v>
      </c>
    </row>
    <row r="6" spans="1:22" s="4" customFormat="1"/>
    <row r="8" spans="1:22">
      <c r="B8" s="5" t="s">
        <v>425</v>
      </c>
      <c r="C8" s="6"/>
      <c r="D8" s="6"/>
      <c r="E8" s="6"/>
      <c r="F8" s="6"/>
      <c r="G8" s="6"/>
      <c r="H8" s="6"/>
      <c r="I8" s="6"/>
      <c r="J8" s="6"/>
      <c r="K8" s="7"/>
      <c r="M8" s="5" t="s">
        <v>426</v>
      </c>
      <c r="N8" s="6"/>
      <c r="O8" s="6"/>
      <c r="P8" s="6"/>
      <c r="Q8" s="6"/>
      <c r="R8" s="6"/>
      <c r="S8" s="6"/>
      <c r="T8" s="6"/>
      <c r="U8" s="6"/>
      <c r="V8" s="7"/>
    </row>
    <row r="9" spans="1:22">
      <c r="B9" s="8"/>
      <c r="C9" s="9"/>
      <c r="D9" s="9"/>
      <c r="E9" s="9"/>
      <c r="F9" s="9"/>
      <c r="G9" s="9"/>
      <c r="H9" s="9"/>
      <c r="I9" s="9"/>
      <c r="J9" s="9"/>
      <c r="K9" s="10"/>
      <c r="M9" s="8"/>
      <c r="N9" s="9"/>
      <c r="O9" s="9"/>
      <c r="P9" s="9"/>
      <c r="Q9" s="9"/>
      <c r="R9" s="9"/>
      <c r="S9" s="9"/>
      <c r="T9" s="9"/>
      <c r="U9" s="9"/>
      <c r="V9" s="10"/>
    </row>
    <row r="10" spans="1:22" ht="22.5">
      <c r="B10" s="8"/>
      <c r="C10" s="9"/>
      <c r="D10" s="3"/>
      <c r="E10" s="11" t="s">
        <v>400</v>
      </c>
      <c r="F10" s="12"/>
      <c r="G10" s="13" t="s">
        <v>9</v>
      </c>
      <c r="H10" s="13"/>
      <c r="I10" s="12"/>
      <c r="J10" s="11" t="s">
        <v>10</v>
      </c>
      <c r="K10" s="10"/>
      <c r="M10" s="8"/>
      <c r="N10" s="9"/>
      <c r="O10" s="3"/>
      <c r="P10" s="11" t="s">
        <v>427</v>
      </c>
      <c r="Q10" s="12"/>
      <c r="R10" s="13" t="s">
        <v>9</v>
      </c>
      <c r="S10" s="13"/>
      <c r="T10" s="12"/>
      <c r="U10" s="11" t="s">
        <v>10</v>
      </c>
      <c r="V10" s="10"/>
    </row>
    <row r="11" spans="1:22" ht="4.5" customHeight="1">
      <c r="B11" s="8"/>
      <c r="C11" s="9"/>
      <c r="D11" s="14"/>
      <c r="E11" s="15"/>
      <c r="F11" s="15"/>
      <c r="G11" s="15"/>
      <c r="I11" s="15"/>
      <c r="J11" s="15"/>
      <c r="K11" s="10"/>
      <c r="M11" s="8"/>
      <c r="N11" s="9"/>
      <c r="O11" s="14"/>
      <c r="P11" s="15"/>
      <c r="Q11" s="15"/>
      <c r="R11" s="15"/>
      <c r="T11" s="15"/>
      <c r="U11" s="15"/>
      <c r="V11" s="10"/>
    </row>
    <row r="12" spans="1:22">
      <c r="B12" s="8"/>
      <c r="C12" s="1" t="s">
        <v>11</v>
      </c>
      <c r="D12" s="9"/>
      <c r="E12" s="9"/>
      <c r="F12" s="9"/>
      <c r="G12" s="9"/>
      <c r="H12" s="113"/>
      <c r="I12" s="9"/>
      <c r="J12" s="9"/>
      <c r="K12" s="10"/>
      <c r="M12" s="8"/>
      <c r="N12" s="1" t="s">
        <v>11</v>
      </c>
      <c r="O12" s="9"/>
      <c r="P12" s="9"/>
      <c r="Q12" s="9"/>
      <c r="R12" s="9"/>
      <c r="S12" s="113"/>
      <c r="T12" s="9"/>
      <c r="U12" s="9"/>
      <c r="V12" s="10"/>
    </row>
    <row r="13" spans="1:22">
      <c r="B13" s="8"/>
      <c r="C13" s="17" t="s">
        <v>223</v>
      </c>
      <c r="D13" s="9"/>
      <c r="E13" s="18">
        <v>22910</v>
      </c>
      <c r="F13" s="9"/>
      <c r="G13" s="14"/>
      <c r="H13" s="289">
        <v>-35.513823799757304</v>
      </c>
      <c r="I13" s="9"/>
      <c r="J13" s="159">
        <f>+E13*H13</f>
        <v>-813621.70325243985</v>
      </c>
      <c r="K13" s="10"/>
      <c r="M13" s="8"/>
      <c r="N13" s="17" t="s">
        <v>223</v>
      </c>
      <c r="O13" s="9"/>
      <c r="P13" s="597">
        <v>24061</v>
      </c>
      <c r="Q13" s="9"/>
      <c r="R13" s="14"/>
      <c r="S13" s="289">
        <f>SUMIF('(1.2)_Lvl_Resource_'!A:A,N13,'(1.2)_Lvl_Resource_'!M:IM)</f>
        <v>-35.513823799757304</v>
      </c>
      <c r="T13" s="9"/>
      <c r="U13" s="159">
        <f>+P13*S13</f>
        <v>-854498.1144459605</v>
      </c>
      <c r="V13" s="10"/>
    </row>
    <row r="14" spans="1:22">
      <c r="B14" s="8"/>
      <c r="C14" s="591" t="s">
        <v>382</v>
      </c>
      <c r="D14" s="364"/>
      <c r="E14" s="597">
        <f>0</f>
        <v>0</v>
      </c>
      <c r="F14" s="364"/>
      <c r="G14" s="592"/>
      <c r="H14" s="593">
        <f>SUMIF('(1.2)_Lvl_Resource_'!A:A,C14,'(1.2)_Lvl_Resource_'!M:IM)</f>
        <v>48.37010619682485</v>
      </c>
      <c r="I14" s="364"/>
      <c r="J14" s="594">
        <f t="shared" ref="J14" si="0">+E14*H14</f>
        <v>0</v>
      </c>
      <c r="K14" s="10"/>
      <c r="M14" s="8"/>
      <c r="N14" s="591" t="s">
        <v>382</v>
      </c>
      <c r="O14" s="364"/>
      <c r="P14" s="597">
        <v>16753</v>
      </c>
      <c r="Q14" s="364"/>
      <c r="R14" s="592"/>
      <c r="S14" s="593">
        <f>SUMIF('(1.2)_Lvl_Resource_'!A:A,N14,'(1.2)_Lvl_Resource_'!M:IM)</f>
        <v>48.37010619682485</v>
      </c>
      <c r="T14" s="364"/>
      <c r="U14" s="594">
        <f t="shared" ref="U14:U45" si="1">+P14*S14</f>
        <v>810344.38911540667</v>
      </c>
      <c r="V14" s="10"/>
    </row>
    <row r="15" spans="1:22">
      <c r="B15" s="8"/>
      <c r="C15" s="17" t="s">
        <v>281</v>
      </c>
      <c r="D15" s="9"/>
      <c r="E15" s="597">
        <v>59089</v>
      </c>
      <c r="F15" s="9"/>
      <c r="G15" s="14"/>
      <c r="H15" s="289">
        <v>-32.078001741936873</v>
      </c>
      <c r="I15" s="9"/>
      <c r="J15" s="159">
        <f t="shared" ref="J15:J21" si="2">+E15*H15</f>
        <v>-1895457.0449293079</v>
      </c>
      <c r="K15" s="10"/>
      <c r="M15" s="8"/>
      <c r="N15" s="17" t="s">
        <v>281</v>
      </c>
      <c r="O15" s="9"/>
      <c r="P15" s="597">
        <v>62347</v>
      </c>
      <c r="Q15" s="9"/>
      <c r="R15" s="14"/>
      <c r="S15" s="289">
        <f>SUMIF('(1.2)_Lvl_Resource_'!A:A,N15,'(1.2)_Lvl_Resource_'!M:IM)</f>
        <v>-32.078001741936873</v>
      </c>
      <c r="T15" s="9"/>
      <c r="U15" s="159">
        <f t="shared" si="1"/>
        <v>-1999967.1746045381</v>
      </c>
      <c r="V15" s="10"/>
    </row>
    <row r="16" spans="1:22">
      <c r="B16" s="8"/>
      <c r="C16" s="17" t="s">
        <v>263</v>
      </c>
      <c r="D16" s="9"/>
      <c r="E16" s="597">
        <v>44955</v>
      </c>
      <c r="F16" s="9"/>
      <c r="G16" s="14"/>
      <c r="H16" s="289">
        <v>33.484495796648424</v>
      </c>
      <c r="I16" s="9"/>
      <c r="J16" s="159">
        <f t="shared" si="2"/>
        <v>1505295.50853833</v>
      </c>
      <c r="K16" s="10"/>
      <c r="M16" s="8"/>
      <c r="N16" s="17" t="s">
        <v>263</v>
      </c>
      <c r="O16" s="9"/>
      <c r="P16" s="597">
        <v>62347</v>
      </c>
      <c r="Q16" s="9"/>
      <c r="R16" s="14"/>
      <c r="S16" s="289">
        <f>SUMIF('(1.2)_Lvl_Resource_'!A:A,N16,'(1.2)_Lvl_Resource_'!M:IM)</f>
        <v>33.484495796648424</v>
      </c>
      <c r="T16" s="9"/>
      <c r="U16" s="159">
        <f t="shared" si="1"/>
        <v>2087657.8594336393</v>
      </c>
      <c r="V16" s="10"/>
    </row>
    <row r="17" spans="2:22">
      <c r="B17" s="8"/>
      <c r="C17" s="17" t="s">
        <v>262</v>
      </c>
      <c r="D17" s="9"/>
      <c r="E17" s="597">
        <v>41883</v>
      </c>
      <c r="F17" s="9"/>
      <c r="G17" s="14"/>
      <c r="H17" s="289">
        <v>-31.823985208310333</v>
      </c>
      <c r="I17" s="9"/>
      <c r="J17" s="159">
        <f t="shared" si="2"/>
        <v>-1332883.9724796617</v>
      </c>
      <c r="K17" s="10"/>
      <c r="M17" s="8"/>
      <c r="N17" s="17" t="s">
        <v>262</v>
      </c>
      <c r="O17" s="9"/>
      <c r="P17" s="597">
        <v>37455</v>
      </c>
      <c r="Q17" s="9"/>
      <c r="R17" s="14"/>
      <c r="S17" s="289">
        <f>SUMIF('(1.2)_Lvl_Resource_'!A:A,N17,'(1.2)_Lvl_Resource_'!M:IM)</f>
        <v>-31.823985208310333</v>
      </c>
      <c r="T17" s="9"/>
      <c r="U17" s="159">
        <f t="shared" si="1"/>
        <v>-1191967.3659772635</v>
      </c>
      <c r="V17" s="10"/>
    </row>
    <row r="18" spans="2:22">
      <c r="B18" s="8"/>
      <c r="C18" s="17" t="s">
        <v>203</v>
      </c>
      <c r="D18" s="14"/>
      <c r="E18" s="597">
        <v>33434</v>
      </c>
      <c r="F18" s="9"/>
      <c r="G18" s="14"/>
      <c r="H18" s="289">
        <v>-23.515096713077824</v>
      </c>
      <c r="I18" s="9"/>
      <c r="J18" s="159">
        <f t="shared" si="2"/>
        <v>-786203.74350504403</v>
      </c>
      <c r="K18" s="10"/>
      <c r="M18" s="8"/>
      <c r="N18" s="17" t="s">
        <v>203</v>
      </c>
      <c r="O18" s="14"/>
      <c r="P18" s="597">
        <v>36987</v>
      </c>
      <c r="Q18" s="9"/>
      <c r="R18" s="14"/>
      <c r="S18" s="289">
        <f>SUMIF('(1.2)_Lvl_Resource_'!A:A,N18,'(1.2)_Lvl_Resource_'!M:IM)</f>
        <v>-23.515096713077824</v>
      </c>
      <c r="T18" s="9"/>
      <c r="U18" s="159">
        <f t="shared" si="1"/>
        <v>-869752.88212660945</v>
      </c>
      <c r="V18" s="10"/>
    </row>
    <row r="19" spans="2:22">
      <c r="B19" s="8"/>
      <c r="C19" s="17" t="s">
        <v>252</v>
      </c>
      <c r="D19" s="19"/>
      <c r="E19" s="597">
        <v>58315</v>
      </c>
      <c r="F19" s="9"/>
      <c r="G19" s="14"/>
      <c r="H19" s="289">
        <v>-40.565681070494129</v>
      </c>
      <c r="I19" s="9"/>
      <c r="J19" s="159">
        <f t="shared" si="2"/>
        <v>-2365587.6916258652</v>
      </c>
      <c r="K19" s="10"/>
      <c r="M19" s="8"/>
      <c r="N19" s="17" t="s">
        <v>252</v>
      </c>
      <c r="O19" s="19"/>
      <c r="P19" s="597">
        <v>62294</v>
      </c>
      <c r="Q19" s="9"/>
      <c r="R19" s="14"/>
      <c r="S19" s="289">
        <f>SUMIF('(1.2)_Lvl_Resource_'!A:A,N19,'(1.2)_Lvl_Resource_'!M:IM)</f>
        <v>-40.565681070494129</v>
      </c>
      <c r="T19" s="9"/>
      <c r="U19" s="159">
        <f t="shared" si="1"/>
        <v>-2526998.5366053614</v>
      </c>
      <c r="V19" s="10"/>
    </row>
    <row r="20" spans="2:22">
      <c r="B20" s="8"/>
      <c r="C20" s="17" t="s">
        <v>253</v>
      </c>
      <c r="D20" s="19"/>
      <c r="E20" s="597"/>
      <c r="F20" s="9"/>
      <c r="G20" s="14"/>
      <c r="H20" s="289">
        <v>0</v>
      </c>
      <c r="I20" s="9"/>
      <c r="J20" s="159">
        <f t="shared" si="2"/>
        <v>0</v>
      </c>
      <c r="K20" s="10"/>
      <c r="M20" s="8"/>
      <c r="N20" s="17" t="s">
        <v>253</v>
      </c>
      <c r="O20" s="19"/>
      <c r="P20" s="597"/>
      <c r="Q20" s="9"/>
      <c r="R20" s="14"/>
      <c r="S20" s="289">
        <f>SUMIF('(1.2)_Lvl_Resource_'!A:A,N20,'(1.2)_Lvl_Resource_'!M:IM)</f>
        <v>0</v>
      </c>
      <c r="T20" s="9"/>
      <c r="U20" s="159">
        <f t="shared" si="1"/>
        <v>0</v>
      </c>
      <c r="V20" s="10"/>
    </row>
    <row r="21" spans="2:22">
      <c r="B21" s="8"/>
      <c r="C21" s="591" t="s">
        <v>428</v>
      </c>
      <c r="D21" s="364"/>
      <c r="E21" s="597">
        <v>16679</v>
      </c>
      <c r="F21" s="364"/>
      <c r="G21" s="592"/>
      <c r="H21" s="593">
        <f>SUMIF('(1.2)_Lvl_Resource_'!A:A,C21,'(1.2)_Lvl_Resource_'!M:IM)</f>
        <v>17.000014123939522</v>
      </c>
      <c r="I21" s="364"/>
      <c r="J21" s="594">
        <f t="shared" si="2"/>
        <v>283543.2355731873</v>
      </c>
      <c r="K21" s="10"/>
      <c r="M21" s="8"/>
      <c r="N21" s="591" t="s">
        <v>428</v>
      </c>
      <c r="O21" s="364"/>
      <c r="P21" s="597">
        <v>13563.288374864645</v>
      </c>
      <c r="Q21" s="364"/>
      <c r="R21" s="592"/>
      <c r="S21" s="593">
        <f>SUMIF('(1.2)_Lvl_Resource_'!A:A,N21,'(1.2)_Lvl_Resource_'!M:IM)</f>
        <v>17.000014123939522</v>
      </c>
      <c r="T21" s="364"/>
      <c r="U21" s="594">
        <f t="shared" si="1"/>
        <v>230576.0939397637</v>
      </c>
      <c r="V21" s="10"/>
    </row>
    <row r="22" spans="2:22">
      <c r="B22" s="8"/>
      <c r="C22" s="591" t="s">
        <v>379</v>
      </c>
      <c r="D22" s="364"/>
      <c r="E22" s="597">
        <v>0</v>
      </c>
      <c r="F22" s="364"/>
      <c r="G22" s="592"/>
      <c r="H22" s="593">
        <f>SUMIF('(1.2)_Lvl_Resource_'!A:A,C22,'(1.2)_Lvl_Resource_'!M:IM)</f>
        <v>-58.137828909880781</v>
      </c>
      <c r="I22" s="364"/>
      <c r="J22" s="594">
        <f t="shared" ref="J22:J24" si="3">+E22*H22</f>
        <v>0</v>
      </c>
      <c r="K22" s="10"/>
      <c r="M22" s="8"/>
      <c r="N22" s="591" t="s">
        <v>379</v>
      </c>
      <c r="O22" s="364"/>
      <c r="P22" s="597">
        <v>580.80434488925243</v>
      </c>
      <c r="Q22" s="364"/>
      <c r="R22" s="592"/>
      <c r="S22" s="593">
        <f>SUMIF('(1.2)_Lvl_Resource_'!A:A,N22,'(1.2)_Lvl_Resource_'!M:IM)</f>
        <v>-58.137828909880781</v>
      </c>
      <c r="T22" s="364"/>
      <c r="U22" s="594">
        <f t="shared" si="1"/>
        <v>-33766.70363328675</v>
      </c>
      <c r="V22" s="10"/>
    </row>
    <row r="23" spans="2:22">
      <c r="B23" s="8"/>
      <c r="C23" s="591" t="s">
        <v>380</v>
      </c>
      <c r="D23" s="364"/>
      <c r="E23" s="597">
        <v>1487</v>
      </c>
      <c r="F23" s="364"/>
      <c r="G23" s="592"/>
      <c r="H23" s="593">
        <f>SUMIF('(1.2)_Lvl_Resource_'!A:A,C23,'(1.2)_Lvl_Resource_'!M:IM)</f>
        <v>-15.501164018488446</v>
      </c>
      <c r="I23" s="364"/>
      <c r="J23" s="594">
        <f t="shared" si="3"/>
        <v>-23050.230895492317</v>
      </c>
      <c r="K23" s="10"/>
      <c r="M23" s="8"/>
      <c r="N23" s="591" t="s">
        <v>380</v>
      </c>
      <c r="O23" s="364"/>
      <c r="P23" s="597">
        <v>7970.70193503063</v>
      </c>
      <c r="Q23" s="364"/>
      <c r="R23" s="592"/>
      <c r="S23" s="593">
        <f>SUMIF('(1.2)_Lvl_Resource_'!A:A,N23,'(1.2)_Lvl_Resource_'!M:IM)</f>
        <v>-15.501164018488446</v>
      </c>
      <c r="T23" s="364"/>
      <c r="U23" s="594">
        <f t="shared" si="1"/>
        <v>-123555.15803739303</v>
      </c>
      <c r="V23" s="10"/>
    </row>
    <row r="24" spans="2:22">
      <c r="B24" s="8"/>
      <c r="C24" s="591" t="s">
        <v>381</v>
      </c>
      <c r="D24" s="364"/>
      <c r="E24" s="597">
        <v>1289</v>
      </c>
      <c r="F24" s="364"/>
      <c r="G24" s="592"/>
      <c r="H24" s="593">
        <f>SUMIF('(1.2)_Lvl_Resource_'!A:A,C24,'(1.2)_Lvl_Resource_'!M:IM)</f>
        <v>-15.501164018488446</v>
      </c>
      <c r="I24" s="364"/>
      <c r="J24" s="594">
        <f t="shared" si="3"/>
        <v>-19981.000419831606</v>
      </c>
      <c r="K24" s="10"/>
      <c r="M24" s="8"/>
      <c r="N24" s="591" t="s">
        <v>381</v>
      </c>
      <c r="O24" s="364"/>
      <c r="P24" s="597">
        <v>5410.1366260717623</v>
      </c>
      <c r="Q24" s="364"/>
      <c r="R24" s="592"/>
      <c r="S24" s="593">
        <f>SUMIF('(1.2)_Lvl_Resource_'!A:A,N24,'(1.2)_Lvl_Resource_'!M:IM)</f>
        <v>-15.501164018488446</v>
      </c>
      <c r="T24" s="364"/>
      <c r="U24" s="594">
        <f t="shared" si="1"/>
        <v>-83863.41520317008</v>
      </c>
      <c r="V24" s="10"/>
    </row>
    <row r="25" spans="2:22">
      <c r="B25" s="8"/>
      <c r="C25" s="17" t="s">
        <v>204</v>
      </c>
      <c r="D25" s="19"/>
      <c r="E25" s="597">
        <v>17750</v>
      </c>
      <c r="F25" s="9"/>
      <c r="G25" s="14"/>
      <c r="H25" s="289">
        <v>-4.5792577629076945</v>
      </c>
      <c r="I25" s="9"/>
      <c r="J25" s="159">
        <f t="shared" ref="J25:J37" si="4">+E25*H25</f>
        <v>-81281.825291611574</v>
      </c>
      <c r="K25" s="10"/>
      <c r="M25" s="8"/>
      <c r="N25" s="17" t="s">
        <v>204</v>
      </c>
      <c r="O25" s="19"/>
      <c r="P25" s="597">
        <v>26931.792146754058</v>
      </c>
      <c r="Q25" s="9"/>
      <c r="R25" s="14"/>
      <c r="S25" s="289">
        <f>SUMIF('(1.2)_Lvl_Resource_'!A:A,N25,'(1.2)_Lvl_Resource_'!M:IM)</f>
        <v>-4.5792577629076945</v>
      </c>
      <c r="T25" s="9"/>
      <c r="U25" s="159">
        <f t="shared" si="1"/>
        <v>-123327.61825704</v>
      </c>
      <c r="V25" s="10"/>
    </row>
    <row r="26" spans="2:22">
      <c r="B26" s="8"/>
      <c r="C26" s="17" t="s">
        <v>254</v>
      </c>
      <c r="D26" s="19"/>
      <c r="E26" s="597">
        <v>6553</v>
      </c>
      <c r="F26" s="9"/>
      <c r="G26" s="14"/>
      <c r="H26" s="289">
        <v>-3.8522891249440252</v>
      </c>
      <c r="I26" s="9"/>
      <c r="J26" s="159">
        <f t="shared" si="4"/>
        <v>-25244.050635758198</v>
      </c>
      <c r="K26" s="10"/>
      <c r="M26" s="8"/>
      <c r="N26" s="17" t="s">
        <v>254</v>
      </c>
      <c r="O26" s="19"/>
      <c r="P26" s="598">
        <v>10609.493875988659</v>
      </c>
      <c r="Q26" s="9"/>
      <c r="R26" s="14"/>
      <c r="S26" s="289">
        <f>SUMIF('(1.2)_Lvl_Resource_'!A:A,N26,'(1.2)_Lvl_Resource_'!M:IM)</f>
        <v>-3.8522891249440252</v>
      </c>
      <c r="T26" s="9"/>
      <c r="U26" s="159">
        <f t="shared" si="1"/>
        <v>-40870.837879631348</v>
      </c>
      <c r="V26" s="10"/>
    </row>
    <row r="27" spans="2:22">
      <c r="B27" s="8"/>
      <c r="C27" s="17" t="s">
        <v>12</v>
      </c>
      <c r="D27" s="19"/>
      <c r="E27" s="597">
        <v>17327</v>
      </c>
      <c r="F27" s="9"/>
      <c r="G27" s="14"/>
      <c r="H27" s="289">
        <v>17.08953726360841</v>
      </c>
      <c r="I27" s="9"/>
      <c r="J27" s="159">
        <f t="shared" si="4"/>
        <v>296110.4121665429</v>
      </c>
      <c r="K27" s="10"/>
      <c r="M27" s="8"/>
      <c r="N27" s="17" t="s">
        <v>12</v>
      </c>
      <c r="O27" s="19"/>
      <c r="P27" s="598">
        <v>22080.365174333707</v>
      </c>
      <c r="Q27" s="9"/>
      <c r="R27" s="14"/>
      <c r="S27" s="289">
        <f>SUMIF('(1.2)_Lvl_Resource_'!A:A,N27,'(1.2)_Lvl_Resource_'!M:IM)</f>
        <v>17.08953726360841</v>
      </c>
      <c r="T27" s="9"/>
      <c r="U27" s="159">
        <f t="shared" si="1"/>
        <v>377343.22344085725</v>
      </c>
      <c r="V27" s="10"/>
    </row>
    <row r="28" spans="2:22">
      <c r="B28" s="8"/>
      <c r="C28" s="17" t="s">
        <v>255</v>
      </c>
      <c r="D28" s="19"/>
      <c r="E28" s="597">
        <v>26477</v>
      </c>
      <c r="F28" s="9"/>
      <c r="G28" s="14"/>
      <c r="H28" s="289">
        <v>0.42153243388039824</v>
      </c>
      <c r="I28" s="9"/>
      <c r="J28" s="159">
        <f t="shared" si="4"/>
        <v>11160.914251851304</v>
      </c>
      <c r="K28" s="10"/>
      <c r="M28" s="8"/>
      <c r="N28" s="17" t="s">
        <v>255</v>
      </c>
      <c r="O28" s="19"/>
      <c r="P28" s="598">
        <v>29730</v>
      </c>
      <c r="Q28" s="9"/>
      <c r="R28" s="14"/>
      <c r="S28" s="289">
        <f>SUMIF('(1.2)_Lvl_Resource_'!A:A,N28,'(1.2)_Lvl_Resource_'!M:IM)</f>
        <v>0.42153243388039824</v>
      </c>
      <c r="T28" s="9"/>
      <c r="U28" s="159">
        <f t="shared" si="1"/>
        <v>12532.159259264239</v>
      </c>
      <c r="V28" s="10"/>
    </row>
    <row r="29" spans="2:22">
      <c r="B29" s="8"/>
      <c r="C29" s="17" t="s">
        <v>256</v>
      </c>
      <c r="D29" s="19"/>
      <c r="E29" s="598">
        <f>0</f>
        <v>0</v>
      </c>
      <c r="F29" s="9"/>
      <c r="G29" s="14"/>
      <c r="H29" s="289">
        <v>-36.351856688816731</v>
      </c>
      <c r="I29" s="9"/>
      <c r="J29" s="159">
        <f t="shared" si="4"/>
        <v>0</v>
      </c>
      <c r="K29" s="10"/>
      <c r="M29" s="8"/>
      <c r="N29" s="17" t="s">
        <v>256</v>
      </c>
      <c r="O29" s="19"/>
      <c r="P29" s="598">
        <f>0</f>
        <v>0</v>
      </c>
      <c r="Q29" s="9"/>
      <c r="R29" s="14"/>
      <c r="S29" s="289">
        <f>SUMIF('(1.2)_Lvl_Resource_'!A:A,N29,'(1.2)_Lvl_Resource_'!M:IM)</f>
        <v>-36.351856688816731</v>
      </c>
      <c r="T29" s="9"/>
      <c r="U29" s="159">
        <f t="shared" si="1"/>
        <v>0</v>
      </c>
      <c r="V29" s="10"/>
    </row>
    <row r="30" spans="2:22">
      <c r="B30" s="8"/>
      <c r="C30" s="17" t="s">
        <v>13</v>
      </c>
      <c r="D30" s="19"/>
      <c r="E30" s="598">
        <v>19707</v>
      </c>
      <c r="F30" s="9"/>
      <c r="G30" s="14"/>
      <c r="H30" s="289">
        <v>18.282770860147256</v>
      </c>
      <c r="I30" s="9"/>
      <c r="J30" s="159">
        <f t="shared" si="4"/>
        <v>360298.56534092198</v>
      </c>
      <c r="K30" s="10"/>
      <c r="M30" s="8"/>
      <c r="N30" s="17" t="s">
        <v>13</v>
      </c>
      <c r="O30" s="19"/>
      <c r="P30" s="598">
        <v>23280.125977275908</v>
      </c>
      <c r="Q30" s="9"/>
      <c r="R30" s="14"/>
      <c r="S30" s="289">
        <f>SUMIF('(1.2)_Lvl_Resource_'!A:A,N30,'(1.2)_Lvl_Resource_'!M:IM)</f>
        <v>18.282770860147256</v>
      </c>
      <c r="T30" s="9"/>
      <c r="U30" s="159">
        <f t="shared" si="1"/>
        <v>425625.20883789711</v>
      </c>
      <c r="V30" s="10"/>
    </row>
    <row r="31" spans="2:22">
      <c r="B31" s="8"/>
      <c r="C31" s="17" t="s">
        <v>15</v>
      </c>
      <c r="D31" s="19"/>
      <c r="E31" s="598">
        <v>28628</v>
      </c>
      <c r="F31" s="9"/>
      <c r="G31" s="14"/>
      <c r="H31" s="289">
        <v>14.603774424903307</v>
      </c>
      <c r="I31" s="9"/>
      <c r="J31" s="159">
        <f t="shared" si="4"/>
        <v>418076.85423613188</v>
      </c>
      <c r="K31" s="10"/>
      <c r="M31" s="8"/>
      <c r="N31" s="17" t="s">
        <v>15</v>
      </c>
      <c r="O31" s="19"/>
      <c r="P31" s="598">
        <v>37810.930502208677</v>
      </c>
      <c r="Q31" s="9"/>
      <c r="R31" s="14"/>
      <c r="S31" s="289">
        <f>SUMIF('(1.2)_Lvl_Resource_'!A:A,N31,'(1.2)_Lvl_Resource_'!M:IM)</f>
        <v>14.603774424903307</v>
      </c>
      <c r="T31" s="9"/>
      <c r="U31" s="159">
        <f t="shared" si="1"/>
        <v>552182.29984995141</v>
      </c>
      <c r="V31" s="10"/>
    </row>
    <row r="32" spans="2:22">
      <c r="B32" s="8"/>
      <c r="C32" s="17" t="s">
        <v>16</v>
      </c>
      <c r="D32" s="19"/>
      <c r="E32" s="598">
        <v>14753</v>
      </c>
      <c r="F32" s="9"/>
      <c r="G32" s="14"/>
      <c r="H32" s="289">
        <v>20.499368155733791</v>
      </c>
      <c r="I32" s="9"/>
      <c r="J32" s="159">
        <f t="shared" si="4"/>
        <v>302427.17840154062</v>
      </c>
      <c r="K32" s="10"/>
      <c r="M32" s="8"/>
      <c r="N32" s="17" t="s">
        <v>16</v>
      </c>
      <c r="O32" s="19"/>
      <c r="P32" s="598">
        <v>18022.819054321128</v>
      </c>
      <c r="Q32" s="9"/>
      <c r="R32" s="14"/>
      <c r="S32" s="289">
        <f>SUMIF('(1.2)_Lvl_Resource_'!A:A,N32,'(1.2)_Lvl_Resource_'!M:IM)</f>
        <v>20.499368155733791</v>
      </c>
      <c r="T32" s="9"/>
      <c r="U32" s="159">
        <f t="shared" si="1"/>
        <v>369456.40299870272</v>
      </c>
      <c r="V32" s="10"/>
    </row>
    <row r="33" spans="2:22">
      <c r="B33" s="8"/>
      <c r="C33" s="17" t="s">
        <v>257</v>
      </c>
      <c r="D33" s="19"/>
      <c r="E33" s="598">
        <v>8074</v>
      </c>
      <c r="F33" s="9"/>
      <c r="G33" s="14"/>
      <c r="H33" s="289">
        <v>-8.5890776126560624</v>
      </c>
      <c r="I33" s="9"/>
      <c r="J33" s="159">
        <f t="shared" si="4"/>
        <v>-69348.212644585044</v>
      </c>
      <c r="K33" s="10"/>
      <c r="M33" s="8"/>
      <c r="N33" s="17" t="s">
        <v>257</v>
      </c>
      <c r="O33" s="19"/>
      <c r="P33" s="598">
        <v>9062.1800860542553</v>
      </c>
      <c r="Q33" s="9"/>
      <c r="R33" s="14"/>
      <c r="S33" s="289">
        <f>SUMIF('(1.2)_Lvl_Resource_'!A:A,N33,'(1.2)_Lvl_Resource_'!M:IM)</f>
        <v>-8.5890776126560624</v>
      </c>
      <c r="T33" s="9"/>
      <c r="U33" s="159">
        <f t="shared" si="1"/>
        <v>-77835.768098986198</v>
      </c>
      <c r="V33" s="10"/>
    </row>
    <row r="34" spans="2:22">
      <c r="B34" s="8"/>
      <c r="C34" s="17" t="s">
        <v>258</v>
      </c>
      <c r="D34" s="19"/>
      <c r="E34" s="598">
        <f>0</f>
        <v>0</v>
      </c>
      <c r="F34" s="9"/>
      <c r="G34" s="14"/>
      <c r="H34" s="289">
        <v>-13.295947923628464</v>
      </c>
      <c r="I34" s="9"/>
      <c r="J34" s="159">
        <f t="shared" si="4"/>
        <v>0</v>
      </c>
      <c r="K34" s="10"/>
      <c r="M34" s="8"/>
      <c r="N34" s="17" t="s">
        <v>258</v>
      </c>
      <c r="O34" s="19"/>
      <c r="P34" s="598">
        <f>0</f>
        <v>0</v>
      </c>
      <c r="Q34" s="9"/>
      <c r="R34" s="14"/>
      <c r="S34" s="289">
        <f>SUMIF('(1.2)_Lvl_Resource_'!A:A,N34,'(1.2)_Lvl_Resource_'!M:IM)</f>
        <v>-13.295947923628464</v>
      </c>
      <c r="T34" s="9"/>
      <c r="U34" s="159">
        <f t="shared" si="1"/>
        <v>0</v>
      </c>
      <c r="V34" s="10"/>
    </row>
    <row r="35" spans="2:22">
      <c r="B35" s="8"/>
      <c r="C35" s="17" t="s">
        <v>259</v>
      </c>
      <c r="D35" s="19"/>
      <c r="E35" s="598">
        <f>0</f>
        <v>0</v>
      </c>
      <c r="F35" s="9"/>
      <c r="G35" s="14"/>
      <c r="H35" s="289">
        <v>-4.4568797057952274</v>
      </c>
      <c r="I35" s="9"/>
      <c r="J35" s="159">
        <f t="shared" si="4"/>
        <v>0</v>
      </c>
      <c r="K35" s="10"/>
      <c r="M35" s="8"/>
      <c r="N35" s="17" t="s">
        <v>259</v>
      </c>
      <c r="O35" s="19"/>
      <c r="P35" s="598">
        <f>0</f>
        <v>0</v>
      </c>
      <c r="Q35" s="9"/>
      <c r="R35" s="14"/>
      <c r="S35" s="289">
        <f>SUMIF('(1.2)_Lvl_Resource_'!A:A,N35,'(1.2)_Lvl_Resource_'!M:IM)</f>
        <v>-4.4568797057952274</v>
      </c>
      <c r="T35" s="9"/>
      <c r="U35" s="159">
        <f t="shared" si="1"/>
        <v>0</v>
      </c>
      <c r="V35" s="10"/>
    </row>
    <row r="36" spans="2:22">
      <c r="B36" s="8"/>
      <c r="C36" s="17" t="s">
        <v>260</v>
      </c>
      <c r="D36" s="19"/>
      <c r="E36" s="598">
        <f>0</f>
        <v>0</v>
      </c>
      <c r="F36" s="9"/>
      <c r="G36" s="14"/>
      <c r="H36" s="289">
        <v>-38.889997337800139</v>
      </c>
      <c r="I36" s="9"/>
      <c r="J36" s="159">
        <f t="shared" si="4"/>
        <v>0</v>
      </c>
      <c r="K36" s="10"/>
      <c r="M36" s="8"/>
      <c r="N36" s="17" t="s">
        <v>260</v>
      </c>
      <c r="O36" s="19"/>
      <c r="P36" s="598">
        <f>0</f>
        <v>0</v>
      </c>
      <c r="Q36" s="9"/>
      <c r="R36" s="14"/>
      <c r="S36" s="289">
        <f>SUMIF('(1.2)_Lvl_Resource_'!A:A,N36,'(1.2)_Lvl_Resource_'!M:IM)</f>
        <v>-38.889997337800139</v>
      </c>
      <c r="T36" s="9"/>
      <c r="U36" s="159">
        <f t="shared" si="1"/>
        <v>0</v>
      </c>
      <c r="V36" s="10"/>
    </row>
    <row r="37" spans="2:22">
      <c r="B37" s="8"/>
      <c r="C37" s="17" t="s">
        <v>430</v>
      </c>
      <c r="D37" s="19"/>
      <c r="E37" s="598">
        <v>0</v>
      </c>
      <c r="F37" s="9"/>
      <c r="G37" s="14"/>
      <c r="H37" s="289">
        <v>11.721954657913106</v>
      </c>
      <c r="I37" s="9"/>
      <c r="J37" s="159">
        <f t="shared" si="4"/>
        <v>0</v>
      </c>
      <c r="K37" s="10"/>
      <c r="M37" s="8"/>
      <c r="N37" s="17" t="s">
        <v>430</v>
      </c>
      <c r="O37" s="19"/>
      <c r="P37" s="598">
        <f>0</f>
        <v>0</v>
      </c>
      <c r="Q37" s="9"/>
      <c r="R37" s="14"/>
      <c r="S37" s="289">
        <f>SUMIF('(1.2)_Lvl_Resource_'!A:A,N37,'(1.2)_Lvl_Resource_'!M:IM)</f>
        <v>11.721954657913106</v>
      </c>
      <c r="T37" s="9"/>
      <c r="U37" s="159">
        <f t="shared" si="1"/>
        <v>0</v>
      </c>
      <c r="V37" s="10"/>
    </row>
    <row r="38" spans="2:22">
      <c r="B38" s="8"/>
      <c r="C38" s="591" t="s">
        <v>415</v>
      </c>
      <c r="D38" s="595"/>
      <c r="E38" s="598">
        <v>0</v>
      </c>
      <c r="F38" s="364"/>
      <c r="G38" s="592"/>
      <c r="H38" s="593">
        <f>SUMIF('(1.2)_Lvl_Resource_'!A:A,C38,'(1.2)_Lvl_Resource_'!M:IM)</f>
        <v>28.052980629750504</v>
      </c>
      <c r="I38" s="364"/>
      <c r="J38" s="594">
        <f t="shared" ref="J38" si="5">+E38*H38</f>
        <v>0</v>
      </c>
      <c r="K38" s="10"/>
      <c r="M38" s="8"/>
      <c r="N38" s="591" t="s">
        <v>415</v>
      </c>
      <c r="O38" s="595"/>
      <c r="P38" s="598">
        <v>1163.799524369457</v>
      </c>
      <c r="Q38" s="364"/>
      <c r="R38" s="592"/>
      <c r="S38" s="593">
        <f>SUMIF('(1.2)_Lvl_Resource_'!A:A,N38,'(1.2)_Lvl_Resource_'!M:IM)</f>
        <v>28.052980629750504</v>
      </c>
      <c r="T38" s="364"/>
      <c r="U38" s="594">
        <f t="shared" si="1"/>
        <v>32648.045514049227</v>
      </c>
      <c r="V38" s="10"/>
    </row>
    <row r="39" spans="2:22">
      <c r="B39" s="8"/>
      <c r="C39" s="17" t="s">
        <v>289</v>
      </c>
      <c r="D39" s="19"/>
      <c r="E39" s="598">
        <v>14532</v>
      </c>
      <c r="F39" s="9"/>
      <c r="G39" s="14"/>
      <c r="H39" s="289">
        <v>-8.8136173210603506</v>
      </c>
      <c r="I39" s="9"/>
      <c r="J39" s="159">
        <f t="shared" ref="J39:J45" si="6">+E39*H39</f>
        <v>-128079.48690964901</v>
      </c>
      <c r="K39" s="10"/>
      <c r="M39" s="8"/>
      <c r="N39" s="17" t="s">
        <v>289</v>
      </c>
      <c r="O39" s="19"/>
      <c r="P39" s="598">
        <v>24736</v>
      </c>
      <c r="Q39" s="9"/>
      <c r="R39" s="14"/>
      <c r="S39" s="289">
        <f>SUMIF('(1.2)_Lvl_Resource_'!A:A,N39,'(1.2)_Lvl_Resource_'!M:IM)</f>
        <v>-8.8136173210603506</v>
      </c>
      <c r="T39" s="9"/>
      <c r="U39" s="159">
        <f t="shared" si="1"/>
        <v>-218013.63805374884</v>
      </c>
      <c r="V39" s="10"/>
    </row>
    <row r="40" spans="2:22">
      <c r="B40" s="8"/>
      <c r="C40" s="17" t="s">
        <v>213</v>
      </c>
      <c r="D40" s="19"/>
      <c r="E40" s="598">
        <v>29531</v>
      </c>
      <c r="F40" s="9"/>
      <c r="G40" s="14"/>
      <c r="H40" s="289">
        <v>-17.131349246162966</v>
      </c>
      <c r="I40" s="9"/>
      <c r="J40" s="159">
        <f t="shared" si="6"/>
        <v>-505905.87458843854</v>
      </c>
      <c r="K40" s="10"/>
      <c r="M40" s="8"/>
      <c r="N40" s="17" t="s">
        <v>213</v>
      </c>
      <c r="O40" s="19"/>
      <c r="P40" s="598">
        <v>32387</v>
      </c>
      <c r="Q40" s="9"/>
      <c r="R40" s="14"/>
      <c r="S40" s="289">
        <f>SUMIF('(1.2)_Lvl_Resource_'!A:A,N40,'(1.2)_Lvl_Resource_'!M:IM)</f>
        <v>-17.131349246162966</v>
      </c>
      <c r="T40" s="9"/>
      <c r="U40" s="159">
        <f t="shared" si="1"/>
        <v>-554833.00803547993</v>
      </c>
      <c r="V40" s="10"/>
    </row>
    <row r="41" spans="2:22">
      <c r="B41" s="8"/>
      <c r="C41" s="17" t="s">
        <v>340</v>
      </c>
      <c r="D41" s="19"/>
      <c r="E41" s="598">
        <v>6311</v>
      </c>
      <c r="F41" s="9"/>
      <c r="G41" s="14"/>
      <c r="H41" s="289">
        <v>-18.131904427486738</v>
      </c>
      <c r="I41" s="9"/>
      <c r="J41" s="159">
        <f t="shared" si="6"/>
        <v>-114430.4488418688</v>
      </c>
      <c r="K41" s="10"/>
      <c r="L41" s="214"/>
      <c r="M41" s="8"/>
      <c r="N41" s="17" t="s">
        <v>340</v>
      </c>
      <c r="O41" s="19"/>
      <c r="P41" s="598">
        <v>6788</v>
      </c>
      <c r="Q41" s="9"/>
      <c r="R41" s="14"/>
      <c r="S41" s="289">
        <f>SUMIF('(1.2)_Lvl_Resource_'!A:A,N41,'(1.2)_Lvl_Resource_'!M:IM)</f>
        <v>-18.131904427486738</v>
      </c>
      <c r="T41" s="9"/>
      <c r="U41" s="159">
        <f t="shared" si="1"/>
        <v>-123079.36725377997</v>
      </c>
      <c r="V41" s="10"/>
    </row>
    <row r="42" spans="2:22">
      <c r="B42" s="8"/>
      <c r="C42" s="17" t="s">
        <v>17</v>
      </c>
      <c r="D42" s="19"/>
      <c r="E42" s="598">
        <v>19721</v>
      </c>
      <c r="F42" s="9"/>
      <c r="G42" s="14"/>
      <c r="H42" s="289">
        <v>-30.545912363617266</v>
      </c>
      <c r="I42" s="9"/>
      <c r="J42" s="159">
        <f t="shared" si="6"/>
        <v>-602395.93772289611</v>
      </c>
      <c r="K42" s="10"/>
      <c r="M42" s="8"/>
      <c r="N42" s="17" t="s">
        <v>17</v>
      </c>
      <c r="O42" s="19"/>
      <c r="P42" s="598">
        <v>46456.51391322718</v>
      </c>
      <c r="Q42" s="9"/>
      <c r="R42" s="14"/>
      <c r="S42" s="289">
        <f>SUMIF('(1.2)_Lvl_Resource_'!A:A,N42,'(1.2)_Lvl_Resource_'!M:IM)</f>
        <v>-30.545912363617266</v>
      </c>
      <c r="T42" s="9"/>
      <c r="U42" s="159">
        <f t="shared" si="1"/>
        <v>-1419056.6027126035</v>
      </c>
      <c r="V42" s="10"/>
    </row>
    <row r="43" spans="2:22">
      <c r="B43" s="8"/>
      <c r="C43" s="17" t="s">
        <v>290</v>
      </c>
      <c r="D43" s="19"/>
      <c r="E43" s="598">
        <v>58430</v>
      </c>
      <c r="F43" s="9"/>
      <c r="G43" s="14"/>
      <c r="H43" s="289">
        <v>-32.835481170434676</v>
      </c>
      <c r="I43" s="9"/>
      <c r="J43" s="159">
        <f t="shared" si="6"/>
        <v>-1918577.1647884981</v>
      </c>
      <c r="K43" s="10"/>
      <c r="M43" s="8"/>
      <c r="N43" s="17" t="s">
        <v>290</v>
      </c>
      <c r="O43" s="19"/>
      <c r="P43" s="598">
        <v>70375.382067196289</v>
      </c>
      <c r="Q43" s="9"/>
      <c r="R43" s="14"/>
      <c r="S43" s="289">
        <f>SUMIF('(1.2)_Lvl_Resource_'!A:A,N43,'(1.2)_Lvl_Resource_'!M:IM)</f>
        <v>-32.835481170434676</v>
      </c>
      <c r="T43" s="9"/>
      <c r="U43" s="159">
        <f t="shared" si="1"/>
        <v>-2310809.5327295698</v>
      </c>
      <c r="V43" s="10"/>
    </row>
    <row r="44" spans="2:22">
      <c r="B44" s="8"/>
      <c r="C44" s="17" t="s">
        <v>291</v>
      </c>
      <c r="D44" s="19"/>
      <c r="E44" s="598">
        <v>43470</v>
      </c>
      <c r="F44" s="9"/>
      <c r="G44" s="14"/>
      <c r="H44" s="289">
        <v>-38.332150081912332</v>
      </c>
      <c r="I44" s="9"/>
      <c r="J44" s="159">
        <f t="shared" si="6"/>
        <v>-1666298.564060729</v>
      </c>
      <c r="K44" s="10"/>
      <c r="M44" s="8"/>
      <c r="N44" s="17" t="s">
        <v>291</v>
      </c>
      <c r="O44" s="19"/>
      <c r="P44" s="598">
        <v>60191.189486043579</v>
      </c>
      <c r="Q44" s="9"/>
      <c r="R44" s="14"/>
      <c r="S44" s="289">
        <f>SUMIF('(1.2)_Lvl_Resource_'!A:A,N44,'(1.2)_Lvl_Resource_'!M:IM)</f>
        <v>-38.332150081912332</v>
      </c>
      <c r="T44" s="9"/>
      <c r="U44" s="159">
        <f t="shared" si="1"/>
        <v>-2307257.708987846</v>
      </c>
      <c r="V44" s="10"/>
    </row>
    <row r="45" spans="2:22">
      <c r="B45" s="8"/>
      <c r="C45" s="17" t="s">
        <v>261</v>
      </c>
      <c r="D45" s="19"/>
      <c r="E45" s="598">
        <v>10419</v>
      </c>
      <c r="F45" s="9"/>
      <c r="G45" s="14"/>
      <c r="H45" s="289">
        <v>10.668004190047878</v>
      </c>
      <c r="I45" s="9"/>
      <c r="J45" s="159">
        <f t="shared" si="6"/>
        <v>111149.93565610884</v>
      </c>
      <c r="K45" s="10"/>
      <c r="M45" s="8"/>
      <c r="N45" s="17" t="s">
        <v>261</v>
      </c>
      <c r="O45" s="19"/>
      <c r="P45" s="598">
        <v>11559.23339612991</v>
      </c>
      <c r="Q45" s="9"/>
      <c r="R45" s="14"/>
      <c r="S45" s="289">
        <f>SUMIF('(1.2)_Lvl_Resource_'!A:A,N45,'(1.2)_Lvl_Resource_'!M:IM)</f>
        <v>10.668004190047878</v>
      </c>
      <c r="T45" s="9"/>
      <c r="U45" s="159">
        <f t="shared" si="1"/>
        <v>123313.95030365523</v>
      </c>
      <c r="V45" s="10"/>
    </row>
    <row r="46" spans="2:22">
      <c r="B46" s="8"/>
      <c r="C46" s="17"/>
      <c r="D46" s="19"/>
      <c r="E46" s="598"/>
      <c r="F46" s="9"/>
      <c r="G46" s="14"/>
      <c r="H46" s="429"/>
      <c r="I46" s="9"/>
      <c r="J46" s="159"/>
      <c r="K46" s="10"/>
      <c r="M46" s="8"/>
      <c r="N46" s="17"/>
      <c r="O46" s="19"/>
      <c r="P46" s="598"/>
      <c r="Q46" s="9"/>
      <c r="R46" s="14"/>
      <c r="S46" s="429"/>
      <c r="T46" s="9"/>
      <c r="U46" s="159"/>
      <c r="V46" s="10"/>
    </row>
    <row r="47" spans="2:22">
      <c r="B47" s="8"/>
      <c r="C47" s="344" t="s">
        <v>18</v>
      </c>
      <c r="D47" s="1"/>
      <c r="E47" s="599">
        <f>+SUM(E13:E46)</f>
        <v>601724</v>
      </c>
      <c r="F47" s="26"/>
      <c r="G47" s="26"/>
      <c r="H47" s="291"/>
      <c r="I47" s="25"/>
      <c r="J47" s="432">
        <f>+SUM(J13:J46)</f>
        <v>-9060284.3484270629</v>
      </c>
      <c r="K47" s="10"/>
      <c r="M47" s="8"/>
      <c r="N47" s="344" t="s">
        <v>18</v>
      </c>
      <c r="O47" s="1"/>
      <c r="P47" s="599">
        <f>+SUM(P13:P46)</f>
        <v>760953.75648475892</v>
      </c>
      <c r="Q47" s="26"/>
      <c r="R47" s="26"/>
      <c r="S47" s="291"/>
      <c r="T47" s="25"/>
      <c r="U47" s="432">
        <f>+SUM(U13:U46)</f>
        <v>-9837773.7999490835</v>
      </c>
      <c r="V47" s="10"/>
    </row>
    <row r="48" spans="2:22">
      <c r="B48" s="8"/>
      <c r="C48" s="9"/>
      <c r="D48" s="292"/>
      <c r="E48" s="600"/>
      <c r="F48" s="21"/>
      <c r="G48" s="21"/>
      <c r="H48" s="293"/>
      <c r="I48" s="160"/>
      <c r="J48" s="294"/>
      <c r="K48" s="10"/>
      <c r="M48" s="8"/>
      <c r="N48" s="9"/>
      <c r="O48" s="292"/>
      <c r="P48" s="600"/>
      <c r="Q48" s="21"/>
      <c r="R48" s="21"/>
      <c r="S48" s="293"/>
      <c r="T48" s="160"/>
      <c r="U48" s="294"/>
      <c r="V48" s="10"/>
    </row>
    <row r="49" spans="2:22">
      <c r="B49" s="8"/>
      <c r="C49" s="340" t="s">
        <v>349</v>
      </c>
      <c r="D49" s="338"/>
      <c r="E49" s="601"/>
      <c r="F49" s="27"/>
      <c r="G49" s="339"/>
      <c r="H49" s="428"/>
      <c r="I49" s="162"/>
      <c r="J49" s="25"/>
      <c r="K49" s="10"/>
      <c r="M49" s="8"/>
      <c r="N49" s="340" t="s">
        <v>349</v>
      </c>
      <c r="O49" s="338"/>
      <c r="P49" s="601"/>
      <c r="Q49" s="27"/>
      <c r="R49" s="339"/>
      <c r="S49" s="428"/>
      <c r="T49" s="162"/>
      <c r="U49" s="25"/>
      <c r="V49" s="10"/>
    </row>
    <row r="50" spans="2:22">
      <c r="B50" s="8"/>
      <c r="C50" s="17" t="s">
        <v>273</v>
      </c>
      <c r="D50" s="19"/>
      <c r="E50" s="602">
        <v>13086</v>
      </c>
      <c r="F50" s="27"/>
      <c r="G50" s="339"/>
      <c r="H50" s="289">
        <v>0</v>
      </c>
      <c r="I50" s="162"/>
      <c r="J50" s="297">
        <f t="shared" ref="J50:J51" si="7">E50*H50</f>
        <v>0</v>
      </c>
      <c r="K50" s="10"/>
      <c r="M50" s="8"/>
      <c r="N50" s="17" t="s">
        <v>273</v>
      </c>
      <c r="O50" s="19"/>
      <c r="P50" s="602">
        <v>15101</v>
      </c>
      <c r="Q50" s="27"/>
      <c r="R50" s="339"/>
      <c r="S50" s="289">
        <f>SUMIF('(1.2)_Lvl_Resource_'!A:A,N50,'(1.2)_Lvl_Resource_'!M:IM)</f>
        <v>0</v>
      </c>
      <c r="T50" s="162"/>
      <c r="U50" s="297">
        <f t="shared" ref="U50:U51" si="8">P50*S50</f>
        <v>0</v>
      </c>
      <c r="V50" s="10"/>
    </row>
    <row r="51" spans="2:22">
      <c r="B51" s="8"/>
      <c r="C51" s="17" t="s">
        <v>274</v>
      </c>
      <c r="D51" s="290"/>
      <c r="E51" s="602">
        <v>6121</v>
      </c>
      <c r="F51" s="290"/>
      <c r="G51" s="290"/>
      <c r="H51" s="289">
        <v>-63.542288348681581</v>
      </c>
      <c r="I51" s="431"/>
      <c r="J51" s="297">
        <f t="shared" si="7"/>
        <v>-388942.34698227997</v>
      </c>
      <c r="K51" s="10"/>
      <c r="M51" s="8"/>
      <c r="N51" s="17" t="s">
        <v>274</v>
      </c>
      <c r="O51" s="290"/>
      <c r="P51" s="602">
        <v>5712</v>
      </c>
      <c r="Q51" s="290"/>
      <c r="R51" s="290"/>
      <c r="S51" s="289">
        <f>SUMIF('(1.2)_Lvl_Resource_'!A:A,N51,'(1.2)_Lvl_Resource_'!M:IM)</f>
        <v>-63.542288348681581</v>
      </c>
      <c r="T51" s="431"/>
      <c r="U51" s="297">
        <f t="shared" si="8"/>
        <v>-362953.5510476692</v>
      </c>
      <c r="V51" s="10"/>
    </row>
    <row r="52" spans="2:22">
      <c r="B52" s="8"/>
      <c r="C52" s="344" t="s">
        <v>350</v>
      </c>
      <c r="D52" s="1"/>
      <c r="E52" s="599">
        <f>+SUM(E50:E51)</f>
        <v>19207</v>
      </c>
      <c r="F52" s="26"/>
      <c r="G52" s="26"/>
      <c r="H52" s="291"/>
      <c r="I52" s="25"/>
      <c r="J52" s="432">
        <f>SUM(J50:J51)</f>
        <v>-388942.34698227997</v>
      </c>
      <c r="K52" s="10"/>
      <c r="M52" s="8"/>
      <c r="N52" s="344" t="s">
        <v>350</v>
      </c>
      <c r="O52" s="1"/>
      <c r="P52" s="599">
        <f>+SUM(P50:P51)</f>
        <v>20813</v>
      </c>
      <c r="Q52" s="26"/>
      <c r="R52" s="26"/>
      <c r="S52" s="291"/>
      <c r="T52" s="25"/>
      <c r="U52" s="432">
        <f>SUM(U50:U51)</f>
        <v>-362953.5510476692</v>
      </c>
      <c r="V52" s="10"/>
    </row>
    <row r="53" spans="2:22">
      <c r="B53" s="8"/>
      <c r="C53" s="9"/>
      <c r="D53" s="292"/>
      <c r="E53" s="600"/>
      <c r="F53" s="21"/>
      <c r="G53" s="21"/>
      <c r="H53" s="293"/>
      <c r="I53" s="160"/>
      <c r="J53" s="294"/>
      <c r="K53" s="10"/>
      <c r="M53" s="8"/>
      <c r="N53" s="9"/>
      <c r="O53" s="292"/>
      <c r="P53" s="600"/>
      <c r="Q53" s="21"/>
      <c r="R53" s="21"/>
      <c r="S53" s="293"/>
      <c r="T53" s="160"/>
      <c r="U53" s="294"/>
      <c r="V53" s="10"/>
    </row>
    <row r="54" spans="2:22">
      <c r="B54" s="8"/>
      <c r="C54" s="340" t="s">
        <v>214</v>
      </c>
      <c r="D54" s="338"/>
      <c r="E54" s="601"/>
      <c r="F54" s="27"/>
      <c r="G54" s="339"/>
      <c r="H54" s="428"/>
      <c r="I54" s="162"/>
      <c r="J54" s="25"/>
      <c r="K54" s="10"/>
      <c r="M54" s="8"/>
      <c r="N54" s="340" t="s">
        <v>214</v>
      </c>
      <c r="O54" s="338"/>
      <c r="P54" s="601"/>
      <c r="Q54" s="27"/>
      <c r="R54" s="339"/>
      <c r="S54" s="428"/>
      <c r="T54" s="162"/>
      <c r="U54" s="25"/>
      <c r="V54" s="10"/>
    </row>
    <row r="55" spans="2:22">
      <c r="B55" s="8"/>
      <c r="C55" s="17" t="s">
        <v>219</v>
      </c>
      <c r="D55" s="19"/>
      <c r="E55" s="602">
        <v>4236</v>
      </c>
      <c r="F55" s="27"/>
      <c r="G55" s="339"/>
      <c r="H55" s="433">
        <v>1.4</v>
      </c>
      <c r="I55" s="162"/>
      <c r="J55" s="297">
        <f t="shared" ref="J55:J58" si="9">E55*H55</f>
        <v>5930.4</v>
      </c>
      <c r="K55" s="10"/>
      <c r="M55" s="8"/>
      <c r="N55" s="17" t="s">
        <v>219</v>
      </c>
      <c r="O55" s="19"/>
      <c r="P55" s="602">
        <v>4354</v>
      </c>
      <c r="Q55" s="27"/>
      <c r="R55" s="339"/>
      <c r="S55" s="433">
        <v>1.4</v>
      </c>
      <c r="T55" s="162"/>
      <c r="U55" s="297">
        <f t="shared" ref="U55:U58" si="10">P55*S55</f>
        <v>6095.5999999999995</v>
      </c>
      <c r="V55" s="10"/>
    </row>
    <row r="56" spans="2:22">
      <c r="B56" s="8"/>
      <c r="C56" s="17" t="s">
        <v>220</v>
      </c>
      <c r="D56" s="19"/>
      <c r="E56" s="602">
        <v>4604</v>
      </c>
      <c r="F56" s="27"/>
      <c r="G56" s="339"/>
      <c r="H56" s="433">
        <v>1.4</v>
      </c>
      <c r="I56" s="162"/>
      <c r="J56" s="297">
        <f t="shared" si="9"/>
        <v>6445.5999999999995</v>
      </c>
      <c r="K56" s="10"/>
      <c r="M56" s="8"/>
      <c r="N56" s="17" t="s">
        <v>220</v>
      </c>
      <c r="O56" s="19"/>
      <c r="P56" s="602">
        <v>4221</v>
      </c>
      <c r="Q56" s="27"/>
      <c r="R56" s="339"/>
      <c r="S56" s="433">
        <v>1.4</v>
      </c>
      <c r="T56" s="162"/>
      <c r="U56" s="297">
        <f t="shared" si="10"/>
        <v>5909.4</v>
      </c>
      <c r="V56" s="10"/>
    </row>
    <row r="57" spans="2:22">
      <c r="B57" s="8"/>
      <c r="C57" s="17" t="s">
        <v>221</v>
      </c>
      <c r="D57" s="19"/>
      <c r="E57" s="602">
        <v>3847</v>
      </c>
      <c r="F57" s="27"/>
      <c r="G57" s="339"/>
      <c r="H57" s="433">
        <v>1.4</v>
      </c>
      <c r="I57" s="162"/>
      <c r="J57" s="297">
        <f t="shared" si="9"/>
        <v>5385.7999999999993</v>
      </c>
      <c r="K57" s="10"/>
      <c r="M57" s="8"/>
      <c r="N57" s="17" t="s">
        <v>221</v>
      </c>
      <c r="O57" s="19"/>
      <c r="P57" s="602">
        <v>3510</v>
      </c>
      <c r="Q57" s="27"/>
      <c r="R57" s="339"/>
      <c r="S57" s="433">
        <v>1.4</v>
      </c>
      <c r="T57" s="162"/>
      <c r="U57" s="297">
        <f t="shared" si="10"/>
        <v>4914</v>
      </c>
      <c r="V57" s="10"/>
    </row>
    <row r="58" spans="2:22">
      <c r="B58" s="8"/>
      <c r="C58" s="17" t="s">
        <v>222</v>
      </c>
      <c r="D58" s="19"/>
      <c r="E58" s="602">
        <v>4601</v>
      </c>
      <c r="F58" s="27"/>
      <c r="G58" s="339"/>
      <c r="H58" s="433">
        <v>1.4</v>
      </c>
      <c r="I58" s="162"/>
      <c r="J58" s="297">
        <f t="shared" si="9"/>
        <v>6441.4</v>
      </c>
      <c r="K58" s="10"/>
      <c r="M58" s="8"/>
      <c r="N58" s="17" t="s">
        <v>222</v>
      </c>
      <c r="O58" s="19"/>
      <c r="P58" s="602">
        <v>4390</v>
      </c>
      <c r="Q58" s="27"/>
      <c r="R58" s="339"/>
      <c r="S58" s="433">
        <v>1.4</v>
      </c>
      <c r="T58" s="162"/>
      <c r="U58" s="297">
        <f t="shared" si="10"/>
        <v>6146</v>
      </c>
      <c r="V58" s="10"/>
    </row>
    <row r="59" spans="2:22">
      <c r="B59" s="8"/>
      <c r="C59" s="17" t="s">
        <v>215</v>
      </c>
      <c r="D59" s="19" t="s">
        <v>217</v>
      </c>
      <c r="E59" s="602">
        <v>20776</v>
      </c>
      <c r="F59" s="22"/>
      <c r="G59" s="20"/>
      <c r="H59" s="429">
        <v>1.5</v>
      </c>
      <c r="I59" s="160"/>
      <c r="J59" s="297">
        <f>E59*H59</f>
        <v>31164</v>
      </c>
      <c r="K59" s="10"/>
      <c r="M59" s="8"/>
      <c r="N59" s="17" t="s">
        <v>215</v>
      </c>
      <c r="O59" s="19" t="s">
        <v>217</v>
      </c>
      <c r="P59" s="602">
        <v>26180.79252167746</v>
      </c>
      <c r="Q59" s="22"/>
      <c r="R59" s="20"/>
      <c r="S59" s="429">
        <v>1.5</v>
      </c>
      <c r="T59" s="160"/>
      <c r="U59" s="297">
        <f>P59*S59</f>
        <v>39271.18878251619</v>
      </c>
      <c r="V59" s="10"/>
    </row>
    <row r="60" spans="2:22">
      <c r="B60" s="8"/>
      <c r="C60" s="17" t="s">
        <v>216</v>
      </c>
      <c r="D60" s="19" t="s">
        <v>14</v>
      </c>
      <c r="E60" s="602">
        <v>46536</v>
      </c>
      <c r="F60" s="22"/>
      <c r="G60" s="20"/>
      <c r="H60" s="429">
        <v>1.9</v>
      </c>
      <c r="I60" s="160"/>
      <c r="J60" s="159">
        <f t="shared" ref="J60" si="11">+E60*H60</f>
        <v>88418.4</v>
      </c>
      <c r="K60" s="10"/>
      <c r="M60" s="8"/>
      <c r="N60" s="17" t="s">
        <v>216</v>
      </c>
      <c r="O60" s="19" t="s">
        <v>14</v>
      </c>
      <c r="P60" s="602">
        <v>49571</v>
      </c>
      <c r="Q60" s="22"/>
      <c r="R60" s="20"/>
      <c r="S60" s="429">
        <v>1.9</v>
      </c>
      <c r="T60" s="160"/>
      <c r="U60" s="159">
        <f t="shared" ref="U60:U67" si="12">+P60*S60</f>
        <v>94184.9</v>
      </c>
      <c r="V60" s="10"/>
    </row>
    <row r="61" spans="2:22">
      <c r="B61" s="8"/>
      <c r="C61" s="17" t="s">
        <v>250</v>
      </c>
      <c r="D61" s="19"/>
      <c r="E61" s="602">
        <f>0</f>
        <v>0</v>
      </c>
      <c r="F61" s="22"/>
      <c r="G61" s="20"/>
      <c r="H61" s="289">
        <v>1.7</v>
      </c>
      <c r="I61" s="160"/>
      <c r="J61" s="159">
        <f>+E61*H61</f>
        <v>0</v>
      </c>
      <c r="K61" s="10"/>
      <c r="M61" s="8"/>
      <c r="N61" s="17" t="s">
        <v>250</v>
      </c>
      <c r="O61" s="19"/>
      <c r="P61" s="602">
        <f>0</f>
        <v>0</v>
      </c>
      <c r="Q61" s="22"/>
      <c r="R61" s="20"/>
      <c r="S61" s="289">
        <f>SUMIF('(1.2)_Lvl_Resource_'!A:A,N61,'(1.2)_Lvl_Resource_'!M:IM)</f>
        <v>1.7</v>
      </c>
      <c r="T61" s="160"/>
      <c r="U61" s="159">
        <f>+P61*S61</f>
        <v>0</v>
      </c>
      <c r="V61" s="10"/>
    </row>
    <row r="62" spans="2:22">
      <c r="B62" s="8"/>
      <c r="C62" s="17" t="s">
        <v>251</v>
      </c>
      <c r="D62" s="19"/>
      <c r="E62" s="602">
        <f>0</f>
        <v>0</v>
      </c>
      <c r="F62" s="22"/>
      <c r="G62" s="20"/>
      <c r="H62" s="289">
        <v>1.7</v>
      </c>
      <c r="I62" s="160"/>
      <c r="J62" s="159">
        <f>+E62*H62</f>
        <v>0</v>
      </c>
      <c r="K62" s="10"/>
      <c r="M62" s="8"/>
      <c r="N62" s="17" t="s">
        <v>251</v>
      </c>
      <c r="O62" s="19"/>
      <c r="P62" s="602">
        <f>0</f>
        <v>0</v>
      </c>
      <c r="Q62" s="22"/>
      <c r="R62" s="20"/>
      <c r="S62" s="289">
        <f>SUMIF('(1.2)_Lvl_Resource_'!A:A,N62,'(1.2)_Lvl_Resource_'!M:IM)</f>
        <v>1.7</v>
      </c>
      <c r="T62" s="160"/>
      <c r="U62" s="159">
        <f>+P62*S62</f>
        <v>0</v>
      </c>
      <c r="V62" s="10"/>
    </row>
    <row r="63" spans="2:22">
      <c r="B63" s="8"/>
      <c r="C63" s="17" t="s">
        <v>265</v>
      </c>
      <c r="D63" s="19"/>
      <c r="E63" s="602">
        <v>0</v>
      </c>
      <c r="F63" s="22"/>
      <c r="G63" s="20"/>
      <c r="H63" s="289">
        <v>-61.068508183530625</v>
      </c>
      <c r="I63" s="160"/>
      <c r="J63" s="159">
        <f t="shared" ref="J63:J67" si="13">+E63*H63</f>
        <v>0</v>
      </c>
      <c r="K63" s="10"/>
      <c r="M63" s="8"/>
      <c r="N63" s="17" t="s">
        <v>265</v>
      </c>
      <c r="O63" s="19"/>
      <c r="P63" s="602">
        <f>0</f>
        <v>0</v>
      </c>
      <c r="Q63" s="22"/>
      <c r="R63" s="20"/>
      <c r="S63" s="289">
        <f>SUMIF('(1.2)_Lvl_Resource_'!A:A,N63,'(1.2)_Lvl_Resource_'!M:IM)</f>
        <v>-61.068508183530625</v>
      </c>
      <c r="T63" s="160"/>
      <c r="U63" s="159">
        <f t="shared" si="12"/>
        <v>0</v>
      </c>
      <c r="V63" s="10"/>
    </row>
    <row r="64" spans="2:22">
      <c r="B64" s="8"/>
      <c r="C64" s="17" t="s">
        <v>266</v>
      </c>
      <c r="D64" s="19"/>
      <c r="E64" s="602">
        <f>0</f>
        <v>0</v>
      </c>
      <c r="F64" s="22"/>
      <c r="G64" s="20"/>
      <c r="H64" s="289">
        <v>-22.011095141487989</v>
      </c>
      <c r="I64" s="160"/>
      <c r="J64" s="159">
        <f t="shared" si="13"/>
        <v>0</v>
      </c>
      <c r="K64" s="10"/>
      <c r="M64" s="8"/>
      <c r="N64" s="17" t="s">
        <v>266</v>
      </c>
      <c r="O64" s="19"/>
      <c r="P64" s="602">
        <f>0</f>
        <v>0</v>
      </c>
      <c r="Q64" s="22"/>
      <c r="R64" s="20"/>
      <c r="S64" s="289">
        <f>SUMIF('(1.2)_Lvl_Resource_'!A:A,N64,'(1.2)_Lvl_Resource_'!M:IM)</f>
        <v>-22.011095141487989</v>
      </c>
      <c r="T64" s="160"/>
      <c r="U64" s="159">
        <f t="shared" si="12"/>
        <v>0</v>
      </c>
      <c r="V64" s="10"/>
    </row>
    <row r="65" spans="2:22">
      <c r="B65" s="8"/>
      <c r="C65" s="17" t="s">
        <v>267</v>
      </c>
      <c r="D65" s="19"/>
      <c r="E65" s="602">
        <f>0</f>
        <v>0</v>
      </c>
      <c r="F65" s="22"/>
      <c r="G65" s="20"/>
      <c r="H65" s="289">
        <v>-23.877816875748543</v>
      </c>
      <c r="I65" s="160"/>
      <c r="J65" s="159">
        <f t="shared" si="13"/>
        <v>0</v>
      </c>
      <c r="K65" s="10"/>
      <c r="M65" s="8"/>
      <c r="N65" s="17" t="s">
        <v>267</v>
      </c>
      <c r="O65" s="19"/>
      <c r="P65" s="602">
        <f>0</f>
        <v>0</v>
      </c>
      <c r="Q65" s="22"/>
      <c r="R65" s="20"/>
      <c r="S65" s="289">
        <f>SUMIF('(1.2)_Lvl_Resource_'!A:A,N65,'(1.2)_Lvl_Resource_'!M:IM)</f>
        <v>-23.877816875748543</v>
      </c>
      <c r="T65" s="160"/>
      <c r="U65" s="159">
        <f t="shared" si="12"/>
        <v>0</v>
      </c>
      <c r="V65" s="10"/>
    </row>
    <row r="66" spans="2:22">
      <c r="B66" s="8"/>
      <c r="C66" s="17" t="s">
        <v>268</v>
      </c>
      <c r="D66" s="19"/>
      <c r="E66" s="602">
        <f>0</f>
        <v>0</v>
      </c>
      <c r="F66" s="22"/>
      <c r="G66" s="20"/>
      <c r="H66" s="289">
        <v>-23.525723259751</v>
      </c>
      <c r="I66" s="160"/>
      <c r="J66" s="159">
        <f t="shared" si="13"/>
        <v>0</v>
      </c>
      <c r="K66" s="10"/>
      <c r="M66" s="8"/>
      <c r="N66" s="17" t="s">
        <v>268</v>
      </c>
      <c r="O66" s="19"/>
      <c r="P66" s="602">
        <f>0</f>
        <v>0</v>
      </c>
      <c r="Q66" s="22"/>
      <c r="R66" s="20"/>
      <c r="S66" s="289">
        <f>SUMIF('(1.2)_Lvl_Resource_'!A:A,N66,'(1.2)_Lvl_Resource_'!M:IM)</f>
        <v>-23.525723259751</v>
      </c>
      <c r="T66" s="160"/>
      <c r="U66" s="159">
        <f t="shared" si="12"/>
        <v>0</v>
      </c>
      <c r="V66" s="10"/>
    </row>
    <row r="67" spans="2:22">
      <c r="B67" s="8"/>
      <c r="C67" s="17" t="s">
        <v>269</v>
      </c>
      <c r="D67" s="19"/>
      <c r="E67" s="602">
        <f>0</f>
        <v>0</v>
      </c>
      <c r="F67" s="22"/>
      <c r="G67" s="20"/>
      <c r="H67" s="289">
        <v>-45.774671421023719</v>
      </c>
      <c r="I67" s="160"/>
      <c r="J67" s="159">
        <f t="shared" si="13"/>
        <v>0</v>
      </c>
      <c r="K67" s="10"/>
      <c r="M67" s="8"/>
      <c r="N67" s="17" t="s">
        <v>269</v>
      </c>
      <c r="O67" s="19"/>
      <c r="P67" s="602">
        <f>0</f>
        <v>0</v>
      </c>
      <c r="Q67" s="22"/>
      <c r="R67" s="20"/>
      <c r="S67" s="289">
        <f>SUMIF('(1.2)_Lvl_Resource_'!A:A,N67,'(1.2)_Lvl_Resource_'!M:IM)</f>
        <v>-45.774671421023719</v>
      </c>
      <c r="T67" s="160"/>
      <c r="U67" s="159">
        <f t="shared" si="12"/>
        <v>0</v>
      </c>
      <c r="V67" s="10"/>
    </row>
    <row r="68" spans="2:22">
      <c r="B68" s="8"/>
      <c r="C68" s="422" t="s">
        <v>264</v>
      </c>
      <c r="D68" s="423"/>
      <c r="E68" s="598">
        <v>0</v>
      </c>
      <c r="F68" s="424"/>
      <c r="G68" s="425"/>
      <c r="H68" s="426"/>
      <c r="I68" s="424"/>
      <c r="J68" s="427"/>
      <c r="K68" s="10"/>
      <c r="M68" s="8"/>
      <c r="N68" s="422" t="s">
        <v>264</v>
      </c>
      <c r="O68" s="423"/>
      <c r="P68" s="598">
        <v>0</v>
      </c>
      <c r="Q68" s="424"/>
      <c r="R68" s="425"/>
      <c r="S68" s="426"/>
      <c r="T68" s="424"/>
      <c r="U68" s="427"/>
      <c r="V68" s="10"/>
    </row>
    <row r="69" spans="2:22">
      <c r="B69" s="8"/>
      <c r="C69" s="345" t="s">
        <v>218</v>
      </c>
      <c r="D69" s="16"/>
      <c r="E69" s="603">
        <f>SUM(E55:E68)</f>
        <v>84600</v>
      </c>
      <c r="F69" s="295"/>
      <c r="G69" s="295"/>
      <c r="H69" s="434"/>
      <c r="I69" s="435"/>
      <c r="J69" s="430">
        <f>SUM(J55:J68)</f>
        <v>143785.59999999998</v>
      </c>
      <c r="K69" s="10"/>
      <c r="M69" s="8"/>
      <c r="N69" s="345" t="s">
        <v>218</v>
      </c>
      <c r="O69" s="16"/>
      <c r="P69" s="603">
        <f>SUM(P55:P68)</f>
        <v>92226.79252167746</v>
      </c>
      <c r="Q69" s="295"/>
      <c r="R69" s="295"/>
      <c r="S69" s="434"/>
      <c r="T69" s="435"/>
      <c r="U69" s="430">
        <f>SUM(U55:U68)</f>
        <v>156521.08878251619</v>
      </c>
      <c r="V69" s="10"/>
    </row>
    <row r="70" spans="2:22">
      <c r="B70" s="8"/>
      <c r="C70" s="9"/>
      <c r="D70" s="9"/>
      <c r="F70" s="9"/>
      <c r="G70" s="9"/>
      <c r="H70" s="9"/>
      <c r="I70" s="9"/>
      <c r="J70" s="9"/>
      <c r="K70" s="10"/>
      <c r="M70" s="8"/>
      <c r="N70" s="9"/>
      <c r="O70" s="9"/>
      <c r="Q70" s="9"/>
      <c r="R70" s="9"/>
      <c r="S70" s="9"/>
      <c r="T70" s="9"/>
      <c r="U70" s="9"/>
      <c r="V70" s="10"/>
    </row>
    <row r="71" spans="2:22">
      <c r="B71" s="8"/>
      <c r="C71" s="1" t="s">
        <v>205</v>
      </c>
      <c r="D71" s="9"/>
      <c r="F71" s="21"/>
      <c r="G71" s="21"/>
      <c r="H71" s="296"/>
      <c r="I71" s="160"/>
      <c r="J71" s="294"/>
      <c r="K71" s="10"/>
      <c r="M71" s="8"/>
      <c r="N71" s="1" t="s">
        <v>205</v>
      </c>
      <c r="O71" s="9"/>
      <c r="Q71" s="21"/>
      <c r="R71" s="21"/>
      <c r="S71" s="296"/>
      <c r="T71" s="160"/>
      <c r="U71" s="294"/>
      <c r="V71" s="10"/>
    </row>
    <row r="72" spans="2:22">
      <c r="B72" s="8"/>
      <c r="C72" s="17" t="s">
        <v>201</v>
      </c>
      <c r="D72" s="30"/>
      <c r="E72" s="604">
        <v>198</v>
      </c>
      <c r="F72" s="21"/>
      <c r="G72" s="21"/>
      <c r="H72" s="289">
        <v>-66.436339352473794</v>
      </c>
      <c r="I72" s="160"/>
      <c r="J72" s="297">
        <f>+E72*H72</f>
        <v>-13154.395191789812</v>
      </c>
      <c r="K72" s="10"/>
      <c r="M72" s="8"/>
      <c r="N72" s="17" t="s">
        <v>201</v>
      </c>
      <c r="O72" s="30"/>
      <c r="P72" s="604">
        <f>0</f>
        <v>0</v>
      </c>
      <c r="Q72" s="21"/>
      <c r="R72" s="21"/>
      <c r="S72" s="289">
        <f>SUMIF('(1.2)_Lvl_Resource_'!A:A,N72,'(1.2)_Lvl_Resource_'!M:IM)</f>
        <v>-66.436339352473794</v>
      </c>
      <c r="T72" s="160"/>
      <c r="U72" s="297">
        <f>+P72*S72</f>
        <v>0</v>
      </c>
      <c r="V72" s="10"/>
    </row>
    <row r="73" spans="2:22">
      <c r="B73" s="8"/>
      <c r="C73" s="17" t="s">
        <v>20</v>
      </c>
      <c r="D73" s="29"/>
      <c r="E73" s="605">
        <v>697</v>
      </c>
      <c r="F73" s="21"/>
      <c r="G73" s="21"/>
      <c r="H73" s="289">
        <v>-45.230021351870242</v>
      </c>
      <c r="I73" s="160"/>
      <c r="J73" s="297">
        <f>+E73*H73</f>
        <v>-31525.324882253557</v>
      </c>
      <c r="K73" s="10"/>
      <c r="M73" s="8"/>
      <c r="N73" s="17" t="s">
        <v>20</v>
      </c>
      <c r="O73" s="29"/>
      <c r="P73" s="605">
        <v>1072.3273665620757</v>
      </c>
      <c r="Q73" s="21"/>
      <c r="R73" s="21"/>
      <c r="S73" s="289">
        <f>SUMIF('(1.2)_Lvl_Resource_'!A:A,N73,'(1.2)_Lvl_Resource_'!M:IM)</f>
        <v>-45.230021351870242</v>
      </c>
      <c r="T73" s="160"/>
      <c r="U73" s="297">
        <f>+P73*S73</f>
        <v>-48501.389685797469</v>
      </c>
      <c r="V73" s="10"/>
    </row>
    <row r="74" spans="2:22">
      <c r="B74" s="8"/>
      <c r="C74" s="17" t="s">
        <v>21</v>
      </c>
      <c r="D74" s="9"/>
      <c r="E74" s="605">
        <v>72</v>
      </c>
      <c r="F74" s="21"/>
      <c r="G74" s="21"/>
      <c r="H74" s="289">
        <v>-65.650662425651461</v>
      </c>
      <c r="I74" s="160"/>
      <c r="J74" s="297">
        <f>+E74*H74</f>
        <v>-4726.8476946469054</v>
      </c>
      <c r="K74" s="10"/>
      <c r="M74" s="8"/>
      <c r="N74" s="17" t="s">
        <v>21</v>
      </c>
      <c r="O74" s="9"/>
      <c r="P74" s="605">
        <v>87.634429548334126</v>
      </c>
      <c r="Q74" s="21"/>
      <c r="R74" s="21"/>
      <c r="S74" s="289">
        <f>SUMIF('(1.2)_Lvl_Resource_'!A:A,N74,'(1.2)_Lvl_Resource_'!M:IM)</f>
        <v>-65.650662425651461</v>
      </c>
      <c r="T74" s="160"/>
      <c r="U74" s="297">
        <f>+P74*S74</f>
        <v>-5753.258351142219</v>
      </c>
      <c r="V74" s="10"/>
    </row>
    <row r="75" spans="2:22">
      <c r="B75" s="8"/>
      <c r="C75" s="17" t="s">
        <v>19</v>
      </c>
      <c r="D75" s="9"/>
      <c r="E75" s="605">
        <v>213</v>
      </c>
      <c r="F75" s="21"/>
      <c r="G75" s="21"/>
      <c r="H75" s="289">
        <v>-40.273516972999651</v>
      </c>
      <c r="I75" s="160"/>
      <c r="J75" s="297">
        <f t="shared" ref="J75:J76" si="14">+E75*H75</f>
        <v>-8578.2591152489258</v>
      </c>
      <c r="K75" s="10"/>
      <c r="M75" s="8"/>
      <c r="N75" s="17" t="s">
        <v>19</v>
      </c>
      <c r="O75" s="9"/>
      <c r="P75" s="605">
        <v>285</v>
      </c>
      <c r="Q75" s="21"/>
      <c r="R75" s="21"/>
      <c r="S75" s="289">
        <f>SUMIF('(1.2)_Lvl_Resource_'!A:A,N75,'(1.2)_Lvl_Resource_'!M:IM)</f>
        <v>-40.273516972999651</v>
      </c>
      <c r="T75" s="160"/>
      <c r="U75" s="297">
        <f t="shared" ref="U75:U76" si="15">+P75*S75</f>
        <v>-11477.952337304901</v>
      </c>
      <c r="V75" s="10"/>
    </row>
    <row r="76" spans="2:22">
      <c r="B76" s="8"/>
      <c r="C76" s="17" t="s">
        <v>270</v>
      </c>
      <c r="D76" s="9"/>
      <c r="E76" s="605">
        <v>82</v>
      </c>
      <c r="F76" s="21"/>
      <c r="G76" s="21"/>
      <c r="H76" s="289">
        <v>-19.338350113536656</v>
      </c>
      <c r="I76" s="160"/>
      <c r="J76" s="297">
        <f t="shared" si="14"/>
        <v>-1585.7447093100059</v>
      </c>
      <c r="K76" s="10"/>
      <c r="M76" s="8"/>
      <c r="N76" s="17" t="s">
        <v>270</v>
      </c>
      <c r="O76" s="9"/>
      <c r="P76" s="605">
        <v>85</v>
      </c>
      <c r="Q76" s="21"/>
      <c r="R76" s="21"/>
      <c r="S76" s="289">
        <f>SUMIF('(1.2)_Lvl_Resource_'!A:A,N76,'(1.2)_Lvl_Resource_'!M:IM)</f>
        <v>-19.338350113536656</v>
      </c>
      <c r="T76" s="160"/>
      <c r="U76" s="297">
        <f t="shared" si="15"/>
        <v>-1643.7597596506157</v>
      </c>
      <c r="V76" s="10"/>
    </row>
    <row r="77" spans="2:22">
      <c r="B77" s="8"/>
      <c r="C77" s="17"/>
      <c r="D77" s="9"/>
      <c r="E77" s="31"/>
      <c r="F77" s="21"/>
      <c r="G77" s="21"/>
      <c r="H77" s="296"/>
      <c r="I77" s="160"/>
      <c r="J77" s="298"/>
      <c r="K77" s="10"/>
      <c r="M77" s="8"/>
      <c r="N77" s="17"/>
      <c r="O77" s="9"/>
      <c r="P77" s="31"/>
      <c r="Q77" s="21"/>
      <c r="R77" s="21"/>
      <c r="S77" s="296"/>
      <c r="T77" s="160"/>
      <c r="U77" s="298"/>
      <c r="V77" s="10"/>
    </row>
    <row r="78" spans="2:22">
      <c r="B78" s="8"/>
      <c r="C78" s="344" t="s">
        <v>22</v>
      </c>
      <c r="D78" s="9"/>
      <c r="E78" s="299">
        <f>+SUM(E72:E76)</f>
        <v>1262</v>
      </c>
      <c r="F78" s="21"/>
      <c r="G78" s="21"/>
      <c r="H78" s="160"/>
      <c r="I78" s="160"/>
      <c r="J78" s="163">
        <f>+SUM(J72:J77)</f>
        <v>-59570.571593249209</v>
      </c>
      <c r="K78" s="10"/>
      <c r="M78" s="8"/>
      <c r="N78" s="344" t="s">
        <v>22</v>
      </c>
      <c r="O78" s="9"/>
      <c r="P78" s="299">
        <f>+SUM(P72:P76)</f>
        <v>1529.9617961104098</v>
      </c>
      <c r="Q78" s="21"/>
      <c r="R78" s="21"/>
      <c r="S78" s="160"/>
      <c r="T78" s="160"/>
      <c r="U78" s="163">
        <f>+SUM(U72:U77)</f>
        <v>-67376.360133895199</v>
      </c>
      <c r="V78" s="10"/>
    </row>
    <row r="79" spans="2:22">
      <c r="B79" s="8"/>
      <c r="C79" s="9"/>
      <c r="D79" s="9"/>
      <c r="E79" s="31"/>
      <c r="F79" s="21"/>
      <c r="G79" s="21"/>
      <c r="H79" s="160"/>
      <c r="I79" s="160"/>
      <c r="J79" s="161"/>
      <c r="K79" s="10"/>
      <c r="M79" s="8"/>
      <c r="N79" s="9"/>
      <c r="O79" s="9"/>
      <c r="P79" s="31"/>
      <c r="Q79" s="21"/>
      <c r="R79" s="21"/>
      <c r="S79" s="160"/>
      <c r="T79" s="160"/>
      <c r="U79" s="161"/>
      <c r="V79" s="10"/>
    </row>
    <row r="80" spans="2:22">
      <c r="B80" s="8"/>
      <c r="C80" s="344" t="s">
        <v>23</v>
      </c>
      <c r="D80" s="9"/>
      <c r="E80" s="299">
        <f>E47+E52+E69+E78</f>
        <v>706793</v>
      </c>
      <c r="F80" s="21"/>
      <c r="G80" s="21"/>
      <c r="H80" s="160"/>
      <c r="I80" s="160"/>
      <c r="J80" s="163">
        <f>J47+J52+J69+J78</f>
        <v>-9365011.6670025922</v>
      </c>
      <c r="K80" s="10"/>
      <c r="M80" s="8"/>
      <c r="N80" s="344" t="s">
        <v>23</v>
      </c>
      <c r="O80" s="9"/>
      <c r="P80" s="299">
        <f>P47+P52+P69+P78</f>
        <v>875523.51080254675</v>
      </c>
      <c r="Q80" s="21"/>
      <c r="R80" s="21"/>
      <c r="S80" s="160"/>
      <c r="T80" s="160"/>
      <c r="U80" s="163">
        <f>U47+U52+U69+U78</f>
        <v>-10111582.622348133</v>
      </c>
      <c r="V80" s="10"/>
    </row>
    <row r="81" spans="2:22">
      <c r="B81" s="8"/>
      <c r="C81" s="9"/>
      <c r="D81" s="9"/>
      <c r="E81" s="24"/>
      <c r="F81" s="21"/>
      <c r="G81" s="21"/>
      <c r="H81" s="160"/>
      <c r="I81" s="160"/>
      <c r="J81" s="164"/>
      <c r="K81" s="10"/>
      <c r="M81" s="8"/>
      <c r="N81" s="9"/>
      <c r="O81" s="9"/>
      <c r="P81" s="24"/>
      <c r="Q81" s="21"/>
      <c r="R81" s="21"/>
      <c r="S81" s="160"/>
      <c r="T81" s="160"/>
      <c r="U81" s="164"/>
      <c r="V81" s="10"/>
    </row>
    <row r="82" spans="2:22">
      <c r="B82" s="8"/>
      <c r="C82" s="1" t="s">
        <v>24</v>
      </c>
      <c r="D82" s="1"/>
      <c r="E82" s="165"/>
      <c r="F82" s="26"/>
      <c r="G82" s="26"/>
      <c r="H82" s="162"/>
      <c r="I82" s="162"/>
      <c r="J82" s="163">
        <v>407257687</v>
      </c>
      <c r="K82" s="10"/>
      <c r="M82" s="8"/>
      <c r="N82" s="1" t="s">
        <v>24</v>
      </c>
      <c r="O82" s="1"/>
      <c r="P82" s="165"/>
      <c r="Q82" s="26"/>
      <c r="R82" s="26"/>
      <c r="S82" s="162"/>
      <c r="T82" s="162"/>
      <c r="U82" s="163">
        <v>413755379</v>
      </c>
      <c r="V82" s="10"/>
    </row>
    <row r="83" spans="2:22">
      <c r="B83" s="8"/>
      <c r="C83" s="1"/>
      <c r="D83" s="1"/>
      <c r="E83" s="26"/>
      <c r="F83" s="26"/>
      <c r="G83" s="26"/>
      <c r="H83" s="162"/>
      <c r="I83" s="162"/>
      <c r="J83" s="163"/>
      <c r="K83" s="10"/>
      <c r="M83" s="8"/>
      <c r="N83" s="1"/>
      <c r="O83" s="1"/>
      <c r="P83" s="26"/>
      <c r="Q83" s="26"/>
      <c r="R83" s="26"/>
      <c r="S83" s="162"/>
      <c r="T83" s="162"/>
      <c r="U83" s="163"/>
      <c r="V83" s="10"/>
    </row>
    <row r="84" spans="2:22">
      <c r="B84" s="8"/>
      <c r="C84" s="1" t="s">
        <v>4</v>
      </c>
      <c r="D84" s="1"/>
      <c r="E84" s="26"/>
      <c r="F84" s="26"/>
      <c r="G84" s="26"/>
      <c r="H84" s="162"/>
      <c r="I84" s="162"/>
      <c r="J84" s="300">
        <f>+J80/J82</f>
        <v>-2.2995297488399753E-2</v>
      </c>
      <c r="K84" s="10"/>
      <c r="M84" s="8"/>
      <c r="N84" s="1" t="s">
        <v>4</v>
      </c>
      <c r="O84" s="1"/>
      <c r="P84" s="26"/>
      <c r="Q84" s="26"/>
      <c r="R84" s="26"/>
      <c r="S84" s="162"/>
      <c r="T84" s="162"/>
      <c r="U84" s="300">
        <f>+U80/U82</f>
        <v>-2.4438552670388688E-2</v>
      </c>
      <c r="V84" s="10"/>
    </row>
    <row r="85" spans="2:22">
      <c r="B85" s="8"/>
      <c r="C85" s="1"/>
      <c r="D85" s="1"/>
      <c r="E85" s="26"/>
      <c r="F85" s="26"/>
      <c r="G85" s="26"/>
      <c r="H85" s="162"/>
      <c r="I85" s="162"/>
      <c r="J85" s="300"/>
      <c r="K85" s="10"/>
      <c r="M85" s="8"/>
      <c r="N85" s="1"/>
      <c r="O85" s="1"/>
      <c r="P85" s="26"/>
      <c r="Q85" s="26"/>
      <c r="R85" s="26"/>
      <c r="S85" s="162"/>
      <c r="T85" s="162"/>
      <c r="U85" s="300"/>
      <c r="V85" s="10"/>
    </row>
    <row r="86" spans="2:22">
      <c r="B86" s="8"/>
      <c r="C86" s="158" t="s">
        <v>206</v>
      </c>
      <c r="D86" s="9"/>
      <c r="E86" s="21"/>
      <c r="F86" s="21"/>
      <c r="G86" s="21"/>
      <c r="H86" s="160"/>
      <c r="I86" s="160"/>
      <c r="J86" s="164"/>
      <c r="K86" s="10"/>
      <c r="M86" s="8"/>
      <c r="N86" s="158" t="s">
        <v>206</v>
      </c>
      <c r="O86" s="9"/>
      <c r="P86" s="21"/>
      <c r="Q86" s="21"/>
      <c r="R86" s="21"/>
      <c r="S86" s="160"/>
      <c r="T86" s="160"/>
      <c r="U86" s="164"/>
      <c r="V86" s="10"/>
    </row>
    <row r="87" spans="2:22">
      <c r="B87" s="8"/>
      <c r="C87" s="158" t="s">
        <v>212</v>
      </c>
      <c r="E87" s="346"/>
      <c r="F87" s="346"/>
      <c r="G87" s="346"/>
      <c r="H87" s="346"/>
      <c r="I87" s="346"/>
      <c r="J87" s="346"/>
      <c r="K87" s="10"/>
      <c r="M87" s="8"/>
      <c r="N87" s="158" t="s">
        <v>212</v>
      </c>
      <c r="P87" s="346"/>
      <c r="Q87" s="346"/>
      <c r="R87" s="346"/>
      <c r="S87" s="346"/>
      <c r="T87" s="346"/>
      <c r="U87" s="346"/>
      <c r="V87" s="10"/>
    </row>
    <row r="88" spans="2:22">
      <c r="B88" s="32"/>
      <c r="C88" s="343"/>
      <c r="D88" s="33"/>
      <c r="E88" s="23"/>
      <c r="F88" s="23"/>
      <c r="G88" s="23"/>
      <c r="H88" s="341"/>
      <c r="I88" s="341"/>
      <c r="J88" s="161"/>
      <c r="K88" s="34"/>
      <c r="M88" s="32"/>
      <c r="N88" s="343"/>
      <c r="O88" s="33"/>
      <c r="P88" s="23"/>
      <c r="Q88" s="23"/>
      <c r="R88" s="23"/>
      <c r="S88" s="341"/>
      <c r="T88" s="341"/>
      <c r="U88" s="161"/>
      <c r="V88" s="34"/>
    </row>
  </sheetData>
  <sortState xmlns:xlrd2="http://schemas.microsoft.com/office/spreadsheetml/2017/richdata2" ref="W13:W26">
    <sortCondition ref="W13"/>
  </sortState>
  <pageMargins left="0.25" right="0.25" top="0.25" bottom="0.75" header="0.3" footer="0.3"/>
  <pageSetup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C120E-224E-4C83-9496-28645807329D}">
  <sheetPr codeName="Sheet41">
    <tabColor theme="0" tint="-0.249977111117893"/>
    <pageSetUpPr fitToPage="1"/>
  </sheetPr>
  <dimension ref="A1:BL81"/>
  <sheetViews>
    <sheetView zoomScale="110" zoomScaleNormal="110" workbookViewId="0"/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231" customFormat="1">
      <c r="A1" s="231" t="s">
        <v>0</v>
      </c>
    </row>
    <row r="2" spans="1:64" s="231" customFormat="1">
      <c r="A2" s="231" t="s">
        <v>143</v>
      </c>
    </row>
    <row r="3" spans="1:64" s="231" customFormat="1">
      <c r="A3" s="231" t="s">
        <v>1</v>
      </c>
    </row>
    <row r="4" spans="1:64" s="231" customFormat="1"/>
    <row r="5" spans="1:64" s="231" customFormat="1"/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85" t="s">
        <v>96</v>
      </c>
      <c r="AO8" s="386"/>
      <c r="AP8" s="386"/>
      <c r="AQ8" s="386"/>
      <c r="AR8" s="386"/>
      <c r="AS8" s="386"/>
      <c r="AT8" s="386"/>
      <c r="AU8" s="386"/>
      <c r="AV8" s="386"/>
      <c r="AW8" s="387"/>
      <c r="AZ8" s="244" t="s">
        <v>97</v>
      </c>
      <c r="BA8" s="245"/>
      <c r="BB8" s="245"/>
      <c r="BC8" s="245"/>
      <c r="BD8" s="245"/>
      <c r="BE8" s="246"/>
      <c r="BG8" s="385" t="s">
        <v>97</v>
      </c>
      <c r="BH8" s="386"/>
      <c r="BI8" s="386"/>
      <c r="BJ8" s="386"/>
      <c r="BK8" s="386"/>
      <c r="BL8" s="38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436"/>
      <c r="AO9" s="437"/>
      <c r="AP9" s="437"/>
      <c r="AQ9" s="437"/>
      <c r="AR9" s="438"/>
      <c r="AS9" s="437"/>
      <c r="AT9" s="437"/>
      <c r="AU9" s="437"/>
      <c r="AV9" s="439"/>
      <c r="AW9" s="440"/>
      <c r="AZ9" s="116"/>
      <c r="BA9" s="117"/>
      <c r="BB9" s="117"/>
      <c r="BC9" s="117"/>
      <c r="BD9" s="118"/>
      <c r="BE9" s="121"/>
      <c r="BG9" s="436"/>
      <c r="BH9" s="437"/>
      <c r="BI9" s="437"/>
      <c r="BJ9" s="437"/>
      <c r="BK9" s="438"/>
      <c r="BL9" s="441"/>
    </row>
    <row r="10" spans="1:64" ht="12">
      <c r="B10" s="250"/>
      <c r="C10" s="231" t="s">
        <v>98</v>
      </c>
      <c r="D10" s="231"/>
      <c r="E10" s="231"/>
      <c r="F10" s="231"/>
      <c r="G10" s="251" t="s">
        <v>254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230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388" t="s">
        <v>230</v>
      </c>
      <c r="BH10" s="389"/>
      <c r="BI10" s="389"/>
      <c r="BJ10" s="389"/>
      <c r="BK10" s="390"/>
      <c r="BL10" s="398"/>
    </row>
    <row r="11" spans="1:64" ht="12">
      <c r="B11" s="250"/>
      <c r="C11" s="231" t="s">
        <v>31</v>
      </c>
      <c r="D11" s="231"/>
      <c r="E11" s="231"/>
      <c r="F11" s="231"/>
      <c r="G11" s="251">
        <v>39</v>
      </c>
      <c r="H11" s="252"/>
      <c r="I11" s="348">
        <v>39</v>
      </c>
      <c r="AB11" s="122" t="s">
        <v>99</v>
      </c>
      <c r="AC11" s="123"/>
      <c r="AD11" s="123"/>
      <c r="AE11" s="123"/>
      <c r="AF11" s="134">
        <f>+G11*(G12/AJ16)</f>
        <v>27.558254805561297</v>
      </c>
      <c r="AG11" s="127"/>
      <c r="AH11" s="123" t="s">
        <v>100</v>
      </c>
      <c r="AI11" s="124"/>
      <c r="AJ11" s="129">
        <v>7.9126910299003335</v>
      </c>
      <c r="AK11" s="235"/>
      <c r="AN11" s="444" t="s">
        <v>99</v>
      </c>
      <c r="AO11" s="445"/>
      <c r="AP11" s="445"/>
      <c r="AQ11" s="445"/>
      <c r="AR11" s="446">
        <f>+I11*(I12/AV16)</f>
        <v>19.676687592938158</v>
      </c>
      <c r="AS11" s="447"/>
      <c r="AT11" s="445" t="s">
        <v>100</v>
      </c>
      <c r="AU11" s="448"/>
      <c r="AV11" s="396">
        <f>'(2.1)_Proxy Resources'!N53</f>
        <v>19.805241420865066</v>
      </c>
      <c r="AW11" s="235"/>
      <c r="AZ11" s="122" t="s">
        <v>99</v>
      </c>
      <c r="BA11" s="123"/>
      <c r="BB11" s="123"/>
      <c r="BC11" s="123"/>
      <c r="BD11" s="134">
        <f>(AF11*AF13-G11*B19)</f>
        <v>27.558254805561297</v>
      </c>
      <c r="BE11" s="130"/>
      <c r="BG11" s="444" t="s">
        <v>99</v>
      </c>
      <c r="BH11" s="445"/>
      <c r="BI11" s="445"/>
      <c r="BJ11" s="445"/>
      <c r="BK11" s="368">
        <f>(AR11*AR13-I11*I19)</f>
        <v>13.514687592938159</v>
      </c>
      <c r="BL11" s="449"/>
    </row>
    <row r="12" spans="1:64" ht="12">
      <c r="B12" s="250"/>
      <c r="C12" s="231" t="s">
        <v>32</v>
      </c>
      <c r="D12" s="231"/>
      <c r="E12" s="231"/>
      <c r="F12" s="231"/>
      <c r="G12" s="254">
        <v>0.34406148942014353</v>
      </c>
      <c r="H12" s="252"/>
      <c r="I12" s="349">
        <v>0.35461212119126129</v>
      </c>
      <c r="AB12" s="122" t="s">
        <v>32</v>
      </c>
      <c r="AC12" s="123"/>
      <c r="AD12" s="123"/>
      <c r="AE12" s="123"/>
      <c r="AF12" s="131">
        <f>+AD53/8760/AF11</f>
        <v>0.55858146620071558</v>
      </c>
      <c r="AG12" s="127"/>
      <c r="AH12" s="117" t="s">
        <v>101</v>
      </c>
      <c r="AI12" s="118"/>
      <c r="AJ12" s="117">
        <v>2006</v>
      </c>
      <c r="AK12" s="235"/>
      <c r="AN12" s="444" t="s">
        <v>32</v>
      </c>
      <c r="AO12" s="445"/>
      <c r="AP12" s="445"/>
      <c r="AQ12" s="445"/>
      <c r="AR12" s="131">
        <f>AD70/8760/AR11</f>
        <v>0.74606809084893211</v>
      </c>
      <c r="AS12" s="447"/>
      <c r="AT12" s="437" t="s">
        <v>101</v>
      </c>
      <c r="AU12" s="438"/>
      <c r="AV12" s="450">
        <v>2016</v>
      </c>
      <c r="AW12" s="235"/>
      <c r="AZ12" s="122"/>
      <c r="BA12" s="123"/>
      <c r="BB12" s="123"/>
      <c r="BC12" s="123"/>
      <c r="BD12" s="539"/>
      <c r="BE12" s="132"/>
      <c r="BG12" s="444"/>
      <c r="BH12" s="445"/>
      <c r="BI12" s="445"/>
      <c r="BJ12" s="445"/>
      <c r="BK12" s="451"/>
      <c r="BL12" s="452"/>
    </row>
    <row r="13" spans="1:64" ht="12">
      <c r="B13" s="250"/>
      <c r="C13" s="231" t="s">
        <v>33</v>
      </c>
      <c r="D13" s="231"/>
      <c r="E13" s="231"/>
      <c r="F13" s="231"/>
      <c r="G13" s="251">
        <v>2009</v>
      </c>
      <c r="H13" s="252"/>
      <c r="I13" s="350">
        <v>2019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N13" s="444" t="s">
        <v>102</v>
      </c>
      <c r="AO13" s="445"/>
      <c r="AP13" s="445"/>
      <c r="AQ13" s="445"/>
      <c r="AR13" s="453">
        <v>1</v>
      </c>
      <c r="AS13" s="447"/>
      <c r="AT13" s="437" t="s">
        <v>103</v>
      </c>
      <c r="AU13" s="438"/>
      <c r="AV13" s="396">
        <f>'(2.1)_Proxy Resources'!O53</f>
        <v>2.02116486562735</v>
      </c>
      <c r="AW13" s="235"/>
      <c r="AZ13" s="122" t="s">
        <v>102</v>
      </c>
      <c r="BA13" s="123"/>
      <c r="BB13" s="123"/>
      <c r="BC13" s="123"/>
      <c r="BD13" s="540">
        <v>1</v>
      </c>
      <c r="BE13" s="132"/>
      <c r="BG13" s="444" t="s">
        <v>102</v>
      </c>
      <c r="BH13" s="445"/>
      <c r="BI13" s="445"/>
      <c r="BJ13" s="445"/>
      <c r="BK13" s="453">
        <v>1</v>
      </c>
      <c r="BL13" s="452"/>
    </row>
    <row r="14" spans="1:64" ht="12">
      <c r="B14" s="250"/>
      <c r="C14" s="231" t="s">
        <v>34</v>
      </c>
      <c r="D14" s="231"/>
      <c r="E14" s="231"/>
      <c r="F14" s="231"/>
      <c r="G14" s="251">
        <v>25</v>
      </c>
      <c r="H14" s="252"/>
      <c r="I14" s="351">
        <v>30</v>
      </c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N14" s="444" t="s">
        <v>104</v>
      </c>
      <c r="AO14" s="445"/>
      <c r="AP14" s="445"/>
      <c r="AQ14" s="445"/>
      <c r="AR14" s="454">
        <f>'(2.1)_Proxy Resources'!H53</f>
        <v>6414.883554173548</v>
      </c>
      <c r="AS14" s="447"/>
      <c r="AT14" s="437"/>
      <c r="AU14" s="438"/>
      <c r="AV14" s="396"/>
      <c r="AW14" s="235"/>
      <c r="AZ14" s="122" t="s">
        <v>105</v>
      </c>
      <c r="BA14" s="123"/>
      <c r="BB14" s="123"/>
      <c r="BC14" s="123"/>
      <c r="BD14" s="135">
        <v>454</v>
      </c>
      <c r="BE14" s="132"/>
      <c r="BG14" s="444" t="s">
        <v>232</v>
      </c>
      <c r="BH14" s="445"/>
      <c r="BI14" s="445"/>
      <c r="BJ14" s="445"/>
      <c r="BK14" s="397">
        <f>'(2.1)_Proxy Resources'!J54</f>
        <v>702</v>
      </c>
      <c r="BL14" s="452"/>
    </row>
    <row r="15" spans="1:64" ht="12">
      <c r="A15" t="s">
        <v>138</v>
      </c>
      <c r="B15" s="250"/>
      <c r="C15" s="231" t="s">
        <v>107</v>
      </c>
      <c r="D15" s="231"/>
      <c r="E15" s="231"/>
      <c r="F15" s="231"/>
      <c r="G15" s="255">
        <v>180.94019792979219</v>
      </c>
      <c r="H15" s="252"/>
      <c r="I15" s="382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N15" s="444" t="s">
        <v>231</v>
      </c>
      <c r="AO15" s="445"/>
      <c r="AP15" s="445"/>
      <c r="AQ15" s="445"/>
      <c r="AR15" s="397">
        <f>'(2.1)_Proxy Resources'!J53</f>
        <v>1362.6215812395926</v>
      </c>
      <c r="AS15" s="447"/>
      <c r="AT15" s="437" t="s">
        <v>141</v>
      </c>
      <c r="AU15" s="438"/>
      <c r="AV15" s="396">
        <f>'(2.1)_Proxy Resources'!P53</f>
        <v>2.2807762714164963</v>
      </c>
      <c r="AW15" s="235"/>
      <c r="AZ15" s="122" t="s">
        <v>108</v>
      </c>
      <c r="BA15" s="123"/>
      <c r="BB15" s="123"/>
      <c r="BC15" s="123"/>
      <c r="BD15" s="541">
        <f>'(2.1)_Proxy Resources'!D54</f>
        <v>0.33</v>
      </c>
      <c r="BE15" s="132"/>
      <c r="BG15" s="444" t="s">
        <v>108</v>
      </c>
      <c r="BH15" s="445"/>
      <c r="BI15" s="445"/>
      <c r="BJ15" s="445"/>
      <c r="BK15" s="455">
        <f>'(2.1)_Proxy Resources'!K54</f>
        <v>7.3700000000000002E-2</v>
      </c>
      <c r="BL15" s="452"/>
    </row>
    <row r="16" spans="1:64" ht="12">
      <c r="A16" t="s">
        <v>138</v>
      </c>
      <c r="B16" s="250"/>
      <c r="C16" s="231" t="s">
        <v>109</v>
      </c>
      <c r="D16" s="231"/>
      <c r="E16" s="231"/>
      <c r="F16" s="231"/>
      <c r="G16" s="255">
        <v>9.0399999999999991</v>
      </c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N16" s="444" t="s">
        <v>108</v>
      </c>
      <c r="AO16" s="445"/>
      <c r="AP16" s="445"/>
      <c r="AQ16" s="445"/>
      <c r="AR16" s="455">
        <f>'(2.1)_Proxy Resources'!K52</f>
        <v>7.2562879502455491E-2</v>
      </c>
      <c r="AS16" s="447"/>
      <c r="AT16" s="437" t="s">
        <v>110</v>
      </c>
      <c r="AU16" s="448"/>
      <c r="AV16" s="456">
        <f>'(2.1)_Proxy Resources'!D53</f>
        <v>0.70285573530285894</v>
      </c>
      <c r="AW16" s="235"/>
      <c r="AZ16" s="122" t="s">
        <v>100</v>
      </c>
      <c r="BA16" s="124"/>
      <c r="BB16" s="129">
        <v>5.75</v>
      </c>
      <c r="BE16" s="130"/>
      <c r="BG16" s="444" t="s">
        <v>100</v>
      </c>
      <c r="BH16" s="448"/>
      <c r="BI16" s="396">
        <f>'(2.1)_Proxy Resources'!L54</f>
        <v>15.97</v>
      </c>
      <c r="BL16" s="449"/>
    </row>
    <row r="17" spans="1:64" ht="12">
      <c r="A17" t="s">
        <v>138</v>
      </c>
      <c r="B17" s="250"/>
      <c r="C17" s="231" t="s">
        <v>111</v>
      </c>
      <c r="D17" s="231"/>
      <c r="E17" s="231"/>
      <c r="F17" s="231"/>
      <c r="G17" s="255">
        <v>0</v>
      </c>
      <c r="H17" s="252"/>
      <c r="AB17" s="2"/>
      <c r="AG17" s="127"/>
      <c r="AI17" s="127"/>
      <c r="AJ17" s="123"/>
      <c r="AK17" s="130"/>
      <c r="AN17" s="2"/>
      <c r="AS17" s="447"/>
      <c r="AU17" s="447"/>
      <c r="AV17" s="445"/>
      <c r="AW17" s="449"/>
      <c r="AZ17" s="116" t="s">
        <v>101</v>
      </c>
      <c r="BA17" s="118"/>
      <c r="BB17" s="117">
        <v>2006</v>
      </c>
      <c r="BE17" s="128"/>
      <c r="BG17" s="436" t="s">
        <v>101</v>
      </c>
      <c r="BH17" s="438"/>
      <c r="BI17" s="450">
        <v>2016</v>
      </c>
      <c r="BL17" s="457"/>
    </row>
    <row r="18" spans="1:64" ht="12">
      <c r="B18" s="250"/>
      <c r="C18" s="231" t="s">
        <v>112</v>
      </c>
      <c r="D18" s="231"/>
      <c r="E18" s="231"/>
      <c r="F18" s="231"/>
      <c r="G18" s="254">
        <v>7.3164524549999999E-2</v>
      </c>
      <c r="H18" s="252"/>
      <c r="I18" s="458">
        <f>'(2.2)_Forward_Price_Curve'!AA8</f>
        <v>6.5699999999999995E-2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459"/>
      <c r="AO18" s="460"/>
      <c r="AP18" s="460"/>
      <c r="AQ18" s="460"/>
      <c r="AR18" s="460"/>
      <c r="AS18" s="460"/>
      <c r="AT18" s="460"/>
      <c r="AU18" s="460"/>
      <c r="AV18" s="460"/>
      <c r="AW18" s="461"/>
      <c r="AZ18" s="138"/>
      <c r="BA18" s="139"/>
      <c r="BB18" s="139"/>
      <c r="BC18" s="139"/>
      <c r="BD18" s="139"/>
      <c r="BE18" s="141"/>
      <c r="BG18" s="459"/>
      <c r="BH18" s="460"/>
      <c r="BI18" s="460"/>
      <c r="BJ18" s="460"/>
      <c r="BK18" s="460"/>
      <c r="BL18" s="462"/>
    </row>
    <row r="19" spans="1:64" ht="12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s="458">
        <f>'(2.2)_Forward_Price_Curve'!L103</f>
        <v>0.158</v>
      </c>
      <c r="O19" t="s">
        <v>343</v>
      </c>
    </row>
    <row r="20" spans="1:64">
      <c r="B20" s="231"/>
      <c r="C20" s="231"/>
      <c r="D20" s="231"/>
      <c r="E20" s="231"/>
      <c r="F20" s="231"/>
      <c r="G20" t="s">
        <v>113</v>
      </c>
      <c r="H20" s="231"/>
    </row>
    <row r="23" spans="1:64">
      <c r="B23" s="244"/>
      <c r="C23" s="241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v>2009</v>
      </c>
      <c r="E28" s="169">
        <f>'(2.2)_Forward_Price_Curve'!V23</f>
        <v>1.7000000000000001E-2</v>
      </c>
      <c r="G28" s="18">
        <v>118990</v>
      </c>
      <c r="I28" s="268">
        <f>$G$15</f>
        <v>180.94019792979219</v>
      </c>
      <c r="J28" s="268"/>
      <c r="K28" s="268">
        <f>$G$16</f>
        <v>9.0399999999999991</v>
      </c>
      <c r="L28" s="269"/>
      <c r="M28" s="268">
        <f>$G$17</f>
        <v>0</v>
      </c>
      <c r="O28" s="270">
        <v>5.1866999999999992</v>
      </c>
      <c r="Q28" s="28">
        <f>-'(2.2)_Forward_Price_Curve'!AO20</f>
        <v>-33.844219890731516</v>
      </c>
      <c r="S28" s="18">
        <f t="shared" ref="S28:S68" si="0">(I28*$G$11*1000+(K28+M28+O28+Q28)*G28)/1000</f>
        <v>4722.3790274637531</v>
      </c>
      <c r="U28" s="18">
        <f t="shared" ref="U28:U68" si="1">AX28</f>
        <v>7865.6424826350058</v>
      </c>
      <c r="W28" s="18">
        <f t="shared" ref="W28:W68" si="2">S28-U28</f>
        <v>-3143.2634551712526</v>
      </c>
      <c r="Y28" s="271">
        <f t="shared" ref="Y28:Y68" si="3">+W28*1000/G28</f>
        <v>-26.416198463494855</v>
      </c>
      <c r="Z28" s="235"/>
      <c r="AB28" s="146">
        <f>$C$28</f>
        <v>2009</v>
      </c>
      <c r="AC28" s="117"/>
      <c r="AD28" s="151">
        <f t="shared" ref="AD28:AD68" si="4">G28</f>
        <v>118990</v>
      </c>
      <c r="AF28" s="152">
        <v>58.163412158772744</v>
      </c>
      <c r="AG28" s="272"/>
      <c r="AH28" s="152">
        <v>8.2001037061794015</v>
      </c>
      <c r="AI28" s="272"/>
      <c r="AJ28" s="152">
        <v>2.3050946065283835</v>
      </c>
      <c r="AK28" s="272"/>
      <c r="AL28" s="153">
        <f>((AF28+AH28)*$AF$11*1000+AJ28*AD28)/1000</f>
        <v>2103.1458872300732</v>
      </c>
      <c r="AN28" s="154">
        <f>INDEX('(2.2)_Forward_Price_Curve'!$I:$I,MATCH($AB28,'(2.2)_Forward_Price_Curve'!$C:$C,0),1)</f>
        <v>7.7758276535043622</v>
      </c>
      <c r="AO28" s="279"/>
      <c r="AP28" s="154">
        <f t="shared" ref="AP28:AP68" si="5">AN28*$AF$14/1000</f>
        <v>56.499329593768707</v>
      </c>
      <c r="AQ28" s="272"/>
      <c r="AR28" s="152">
        <v>2.3860545125109165</v>
      </c>
      <c r="AS28" s="152"/>
      <c r="AT28" s="153">
        <f t="shared" ref="AT28:AT68" si="6">AL28-BF28</f>
        <v>858.87062782879275</v>
      </c>
      <c r="AU28" s="272"/>
      <c r="AV28" s="153">
        <f t="shared" ref="AV28:AV68" si="7">(AP28+AR28)*AD28/1000</f>
        <v>7006.771854806213</v>
      </c>
      <c r="AW28" s="273"/>
      <c r="AX28" s="155">
        <f t="shared" ref="AX28:AX68" si="8">AT28+AV28</f>
        <v>7865.6424826350058</v>
      </c>
      <c r="AZ28" s="146">
        <f>$C$28</f>
        <v>2009</v>
      </c>
      <c r="BA28" s="117"/>
      <c r="BB28" s="152">
        <v>39.191870478599988</v>
      </c>
      <c r="BD28" s="152">
        <v>5.9588572499999986</v>
      </c>
      <c r="BE28" s="272"/>
      <c r="BF28" s="153">
        <f t="shared" ref="BF28:BF68" si="9">(BB28+BD28)*$BD$11</f>
        <v>1244.2752594012804</v>
      </c>
      <c r="BG28" s="272"/>
      <c r="BH28" s="156"/>
    </row>
    <row r="29" spans="1:64" ht="12">
      <c r="B29" s="2"/>
      <c r="C29">
        <f>+IF(C28&gt;$G$13+$G$14,XX,C28+1)</f>
        <v>2010</v>
      </c>
      <c r="E29" s="169">
        <f>'(2.2)_Forward_Price_Curve'!V24</f>
        <v>1.9E-2</v>
      </c>
      <c r="G29" s="18">
        <v>124410</v>
      </c>
      <c r="I29" s="28">
        <f t="shared" ref="I29:K37" si="10">I28*(1+$E29)</f>
        <v>184.37806169045822</v>
      </c>
      <c r="K29" s="28">
        <f t="shared" si="10"/>
        <v>9.2117599999999982</v>
      </c>
      <c r="M29" s="28">
        <f t="shared" ref="M29:M68" si="11">M28*(1+$E29)</f>
        <v>0</v>
      </c>
      <c r="O29" s="270">
        <v>5.2748738999999985</v>
      </c>
      <c r="Q29" s="28">
        <f>-'(2.2)_Forward_Price_Curve'!AO21</f>
        <v>-35.45584940933778</v>
      </c>
      <c r="S29" s="18">
        <f t="shared" si="0"/>
        <v>4581.9643044111572</v>
      </c>
      <c r="U29" s="18">
        <f t="shared" si="1"/>
        <v>7949.7639219476259</v>
      </c>
      <c r="W29" s="18">
        <f t="shared" si="2"/>
        <v>-3367.7996175364688</v>
      </c>
      <c r="Y29" s="271">
        <f t="shared" si="3"/>
        <v>-27.070168133883683</v>
      </c>
      <c r="Z29" s="235"/>
      <c r="AB29" s="146">
        <f>+IF(AB28&gt;$G$13+$G$14,XX,AB28+1)</f>
        <v>2010</v>
      </c>
      <c r="AC29" s="117"/>
      <c r="AD29" s="151">
        <f t="shared" si="4"/>
        <v>124410</v>
      </c>
      <c r="AF29" s="154">
        <f t="shared" ref="AF29:AF37" si="12">AF28*(1+$E29)</f>
        <v>59.268516989789418</v>
      </c>
      <c r="AH29" s="154">
        <f t="shared" ref="AH29:AH37" si="13">AH28*(1+$E29)</f>
        <v>8.3559056765968087</v>
      </c>
      <c r="AJ29" s="154">
        <f t="shared" ref="AJ29:AJ37" si="14">AJ28*(1+$E29)</f>
        <v>2.3488914040524227</v>
      </c>
      <c r="AL29" s="153">
        <f t="shared" ref="AL29:AL66" si="15">((AF29+AH29)*$AF$11*1000+AJ29*AD29)/1000</f>
        <v>2155.8366504974083</v>
      </c>
      <c r="AN29" s="154">
        <f>INDEX('(2.2)_Forward_Price_Curve'!$I:$I,MATCH($AB29,'(2.2)_Forward_Price_Curve'!$C:$C,0),1)</f>
        <v>7.4774457529777205</v>
      </c>
      <c r="AP29" s="154">
        <f t="shared" si="5"/>
        <v>54.331280339864243</v>
      </c>
      <c r="AR29" s="154">
        <f>AR28*(1+$E29)</f>
        <v>2.4313895482486236</v>
      </c>
      <c r="AS29" s="154"/>
      <c r="AT29" s="153">
        <f t="shared" si="6"/>
        <v>887.92016116750392</v>
      </c>
      <c r="AV29" s="153">
        <f t="shared" si="7"/>
        <v>7061.8437607801225</v>
      </c>
      <c r="AW29" s="273"/>
      <c r="AX29" s="155">
        <f t="shared" si="8"/>
        <v>7949.7639219476259</v>
      </c>
      <c r="AZ29" s="146">
        <f>+IF(AZ28&gt;$G$13+$G$14,XX,AZ28+1)</f>
        <v>2010</v>
      </c>
      <c r="BA29" s="117"/>
      <c r="BB29" s="154">
        <f t="shared" ref="BB29:BB68" si="16">BB28*(1+$E29)</f>
        <v>39.936516017693386</v>
      </c>
      <c r="BD29" s="154">
        <f t="shared" ref="BD29:BD68" si="17">BD28*(1+$E29)</f>
        <v>6.0720755377499982</v>
      </c>
      <c r="BF29" s="153">
        <f t="shared" si="9"/>
        <v>1267.9164893299044</v>
      </c>
      <c r="BH29" s="157"/>
    </row>
    <row r="30" spans="1:64" ht="12">
      <c r="B30" s="2"/>
      <c r="C30">
        <f>+IF(C29&gt;$G$13+$G$14,XX,C29+1)</f>
        <v>2011</v>
      </c>
      <c r="E30" s="169">
        <f>'(2.2)_Forward_Price_Curve'!V25</f>
        <v>1.9E-2</v>
      </c>
      <c r="G30" s="18">
        <v>124410</v>
      </c>
      <c r="I30" s="28">
        <f t="shared" si="10"/>
        <v>187.88124486257692</v>
      </c>
      <c r="K30" s="28">
        <f t="shared" si="10"/>
        <v>9.3867834399999968</v>
      </c>
      <c r="M30" s="28">
        <f t="shared" si="11"/>
        <v>0</v>
      </c>
      <c r="O30" s="270">
        <v>5.3750965040999983</v>
      </c>
      <c r="Q30" s="28">
        <f>-'(2.2)_Forward_Price_Curve'!AO22</f>
        <v>-35.45584940933778</v>
      </c>
      <c r="S30" s="18">
        <f t="shared" si="0"/>
        <v>4752.8318084702678</v>
      </c>
      <c r="U30" s="18">
        <f t="shared" si="1"/>
        <v>7615.0421275300487</v>
      </c>
      <c r="W30" s="18">
        <f t="shared" si="2"/>
        <v>-2862.2103190597809</v>
      </c>
      <c r="Y30" s="271">
        <f t="shared" si="3"/>
        <v>-23.006272157059566</v>
      </c>
      <c r="Z30" s="235"/>
      <c r="AB30" s="146">
        <f>+IF(AB29&gt;$G$13+$G$14,XX,AB29+1)</f>
        <v>2011</v>
      </c>
      <c r="AC30" s="117"/>
      <c r="AD30" s="151">
        <f t="shared" si="4"/>
        <v>124410</v>
      </c>
      <c r="AF30" s="154">
        <f t="shared" si="12"/>
        <v>60.394618812595411</v>
      </c>
      <c r="AH30" s="154">
        <f t="shared" si="13"/>
        <v>8.5146678844521482</v>
      </c>
      <c r="AJ30" s="154">
        <f t="shared" si="14"/>
        <v>2.3935203407294185</v>
      </c>
      <c r="AL30" s="153">
        <f t="shared" si="15"/>
        <v>2196.7975468568593</v>
      </c>
      <c r="AN30" s="154">
        <f>INDEX('(2.2)_Forward_Price_Curve'!$I:$I,MATCH($AB30,'(2.2)_Forward_Price_Curve'!$C:$C,0),1)</f>
        <v>7.0821436233211914</v>
      </c>
      <c r="AP30" s="154">
        <f t="shared" si="5"/>
        <v>51.459006633731178</v>
      </c>
      <c r="AR30" s="154">
        <f t="shared" ref="AR30:AR68" si="18">AR29*(1+$E30)</f>
        <v>2.4775859496653472</v>
      </c>
      <c r="AS30" s="154"/>
      <c r="AT30" s="153">
        <f t="shared" si="6"/>
        <v>904.79064422968668</v>
      </c>
      <c r="AV30" s="153">
        <f t="shared" si="7"/>
        <v>6710.2514833003615</v>
      </c>
      <c r="AW30" s="273"/>
      <c r="AX30" s="155">
        <f t="shared" si="8"/>
        <v>7615.0421275300487</v>
      </c>
      <c r="AZ30" s="146">
        <f>+IF(AZ29&gt;$G$13+$G$14,XX,AZ29+1)</f>
        <v>2011</v>
      </c>
      <c r="BA30" s="117"/>
      <c r="BB30" s="154">
        <f t="shared" si="16"/>
        <v>40.695309822029557</v>
      </c>
      <c r="BD30" s="154">
        <f t="shared" si="17"/>
        <v>6.1874449729672474</v>
      </c>
      <c r="BF30" s="153">
        <f t="shared" si="9"/>
        <v>1292.0069026271726</v>
      </c>
      <c r="BH30" s="157"/>
    </row>
    <row r="31" spans="1:64" ht="12">
      <c r="B31" s="2"/>
      <c r="C31">
        <f>+IF(C30&gt;$G$13+$G$14,XX,C30+1)</f>
        <v>2012</v>
      </c>
      <c r="E31" s="169">
        <f>'(2.2)_Forward_Price_Curve'!V26</f>
        <v>0.02</v>
      </c>
      <c r="G31" s="18">
        <v>124793</v>
      </c>
      <c r="I31" s="28">
        <f t="shared" si="10"/>
        <v>191.63886975982845</v>
      </c>
      <c r="K31" s="28">
        <f t="shared" si="10"/>
        <v>9.574519108799997</v>
      </c>
      <c r="M31" s="28">
        <f t="shared" si="11"/>
        <v>0</v>
      </c>
      <c r="O31" s="270">
        <v>5.4772233376778976</v>
      </c>
      <c r="Q31" s="28">
        <f>-'(2.2)_Forward_Price_Curve'!AO23</f>
        <v>-35.45584940933778</v>
      </c>
      <c r="S31" s="18">
        <f t="shared" si="0"/>
        <v>4927.6262004171358</v>
      </c>
      <c r="U31" s="18">
        <f t="shared" si="1"/>
        <v>7316.6458020828404</v>
      </c>
      <c r="W31" s="18">
        <f t="shared" si="2"/>
        <v>-2389.0196016657046</v>
      </c>
      <c r="Y31" s="271">
        <f t="shared" si="3"/>
        <v>-19.143859043902339</v>
      </c>
      <c r="Z31" s="235"/>
      <c r="AB31" s="146">
        <f>+IF(AB30&gt;$G$13+$G$14,XX,AB30+1)</f>
        <v>2012</v>
      </c>
      <c r="AC31" s="117"/>
      <c r="AD31" s="151">
        <f t="shared" si="4"/>
        <v>124793</v>
      </c>
      <c r="AF31" s="154">
        <f t="shared" si="12"/>
        <v>61.602511188847323</v>
      </c>
      <c r="AH31" s="154">
        <f t="shared" si="13"/>
        <v>8.6849612421411919</v>
      </c>
      <c r="AJ31" s="154">
        <f t="shared" si="14"/>
        <v>2.4413907475440069</v>
      </c>
      <c r="AL31" s="153">
        <f t="shared" si="15"/>
        <v>2241.6685504503057</v>
      </c>
      <c r="AN31" s="154">
        <f>INDEX('(2.2)_Forward_Price_Curve'!$I:$I,MATCH($AB31,'(2.2)_Forward_Price_Curve'!$C:$C,0),1)</f>
        <v>6.7024699037828679</v>
      </c>
      <c r="AP31" s="154">
        <f t="shared" si="5"/>
        <v>48.700289288881038</v>
      </c>
      <c r="AR31" s="154">
        <f t="shared" si="18"/>
        <v>2.527137668658654</v>
      </c>
      <c r="AS31" s="154"/>
      <c r="AT31" s="153">
        <f t="shared" si="6"/>
        <v>923.8215097705895</v>
      </c>
      <c r="AV31" s="153">
        <f t="shared" si="7"/>
        <v>6392.8242923122507</v>
      </c>
      <c r="AW31" s="273"/>
      <c r="AX31" s="155">
        <f t="shared" si="8"/>
        <v>7316.6458020828404</v>
      </c>
      <c r="AZ31" s="146">
        <f>+IF(AZ30&gt;$G$13+$G$14,XX,AZ30+1)</f>
        <v>2012</v>
      </c>
      <c r="BA31" s="117"/>
      <c r="BB31" s="154">
        <f t="shared" si="16"/>
        <v>41.509216018470148</v>
      </c>
      <c r="BD31" s="154">
        <f t="shared" si="17"/>
        <v>6.3111938724265926</v>
      </c>
      <c r="BF31" s="153">
        <f t="shared" si="9"/>
        <v>1317.8470406797162</v>
      </c>
      <c r="BH31" s="157"/>
    </row>
    <row r="32" spans="1:64" ht="12">
      <c r="B32" s="2"/>
      <c r="C32">
        <f>+IF(C31&gt;$G$13+$G$14,XX,C31+1)</f>
        <v>2013</v>
      </c>
      <c r="E32" s="169">
        <f>'(2.2)_Forward_Price_Curve'!V27</f>
        <v>1.9E-2</v>
      </c>
      <c r="G32" s="18">
        <v>124410</v>
      </c>
      <c r="I32" s="28">
        <f t="shared" si="10"/>
        <v>195.28000828526518</v>
      </c>
      <c r="K32" s="28">
        <f t="shared" si="10"/>
        <v>9.7564349718671952</v>
      </c>
      <c r="M32" s="28">
        <f t="shared" si="11"/>
        <v>0</v>
      </c>
      <c r="O32" s="270">
        <v>5.5867678044314557</v>
      </c>
      <c r="Q32" s="28">
        <f>-'(2.2)_Forward_Price_Curve'!AO24</f>
        <v>-37.067478927944045</v>
      </c>
      <c r="S32" s="18">
        <f t="shared" si="0"/>
        <v>4913.2031270991374</v>
      </c>
      <c r="U32" s="18">
        <f t="shared" si="1"/>
        <v>7316.9097914346567</v>
      </c>
      <c r="W32" s="18">
        <f t="shared" si="2"/>
        <v>-2403.7066643355192</v>
      </c>
      <c r="Y32" s="271">
        <f t="shared" si="3"/>
        <v>-19.320847715903216</v>
      </c>
      <c r="Z32" s="235"/>
      <c r="AB32" s="146">
        <f>+IF(AB31&gt;$G$13+$G$14,XX,AB31+1)</f>
        <v>2013</v>
      </c>
      <c r="AC32" s="117"/>
      <c r="AD32" s="151">
        <f t="shared" si="4"/>
        <v>124410</v>
      </c>
      <c r="AF32" s="154">
        <f t="shared" si="12"/>
        <v>62.772958901435416</v>
      </c>
      <c r="AH32" s="154">
        <f t="shared" si="13"/>
        <v>8.8499755057418739</v>
      </c>
      <c r="AJ32" s="154">
        <f t="shared" si="14"/>
        <v>2.4877771717473429</v>
      </c>
      <c r="AL32" s="153">
        <f t="shared" si="15"/>
        <v>2283.3074342520822</v>
      </c>
      <c r="AN32" s="154">
        <f>INDEX('(2.2)_Forward_Price_Curve'!$I:$I,MATCH($AB32,'(2.2)_Forward_Price_Curve'!$C:$C,0),1)</f>
        <v>6.6994948806584134</v>
      </c>
      <c r="AP32" s="154">
        <f t="shared" si="5"/>
        <v>48.678672707399592</v>
      </c>
      <c r="AR32" s="154">
        <f t="shared" si="18"/>
        <v>2.5751532843631684</v>
      </c>
      <c r="AS32" s="154"/>
      <c r="AT32" s="153">
        <f t="shared" si="6"/>
        <v>940.42129979945162</v>
      </c>
      <c r="AV32" s="153">
        <f t="shared" si="7"/>
        <v>6376.4884916352048</v>
      </c>
      <c r="AW32" s="273"/>
      <c r="AX32" s="155">
        <f t="shared" si="8"/>
        <v>7316.9097914346567</v>
      </c>
      <c r="AZ32" s="146">
        <f>+IF(AZ31&gt;$G$13+$G$14,XX,AZ31+1)</f>
        <v>2013</v>
      </c>
      <c r="BA32" s="117"/>
      <c r="BB32" s="154">
        <f t="shared" si="16"/>
        <v>42.297891122821078</v>
      </c>
      <c r="BD32" s="154">
        <f t="shared" si="17"/>
        <v>6.431106556002697</v>
      </c>
      <c r="BF32" s="153">
        <f t="shared" si="9"/>
        <v>1342.8861344526306</v>
      </c>
      <c r="BH32" s="157"/>
    </row>
    <row r="33" spans="2:60" ht="12">
      <c r="B33" s="2"/>
      <c r="C33">
        <f>+IF(C32&gt;$G$13+$G$14,XX,C32+1)</f>
        <v>2014</v>
      </c>
      <c r="E33" s="169">
        <f>'(2.2)_Forward_Price_Curve'!V28</f>
        <v>1.7999999999999999E-2</v>
      </c>
      <c r="G33" s="18">
        <v>124410</v>
      </c>
      <c r="I33" s="28">
        <f t="shared" si="10"/>
        <v>198.79504843439994</v>
      </c>
      <c r="K33" s="28">
        <f t="shared" si="10"/>
        <v>9.9320508013608055</v>
      </c>
      <c r="M33" s="28">
        <f t="shared" si="11"/>
        <v>0</v>
      </c>
      <c r="O33" s="270">
        <v>5.6929163927156532</v>
      </c>
      <c r="Q33" s="28">
        <f>-'(2.2)_Forward_Price_Curve'!AO25</f>
        <v>-37.067478927944045</v>
      </c>
      <c r="S33" s="18">
        <f t="shared" si="0"/>
        <v>5085.3440041311314</v>
      </c>
      <c r="U33" s="18">
        <f t="shared" si="1"/>
        <v>7533.5171520088124</v>
      </c>
      <c r="W33" s="18">
        <f t="shared" si="2"/>
        <v>-2448.173147877681</v>
      </c>
      <c r="Y33" s="271">
        <f t="shared" si="3"/>
        <v>-19.678266601379963</v>
      </c>
      <c r="Z33" s="235"/>
      <c r="AB33" s="146">
        <f>+IF(AB32&gt;$G$13+$G$14,XX,AB32+1)</f>
        <v>2014</v>
      </c>
      <c r="AC33" s="117"/>
      <c r="AD33" s="151">
        <f t="shared" si="4"/>
        <v>124410</v>
      </c>
      <c r="AF33" s="154">
        <f t="shared" si="12"/>
        <v>63.902872161661257</v>
      </c>
      <c r="AH33" s="154">
        <f t="shared" si="13"/>
        <v>9.0092750648452284</v>
      </c>
      <c r="AJ33" s="154">
        <f t="shared" si="14"/>
        <v>2.5325571608387953</v>
      </c>
      <c r="AL33" s="153">
        <f t="shared" si="15"/>
        <v>2324.4069680686198</v>
      </c>
      <c r="AN33" s="154">
        <f>INDEX('(2.2)_Forward_Price_Curve'!$I:$I,MATCH($AB33,'(2.2)_Forward_Price_Curve'!$C:$C,0),1)</f>
        <v>6.9140085811973453</v>
      </c>
      <c r="AP33" s="154">
        <f t="shared" si="5"/>
        <v>50.2373338312307</v>
      </c>
      <c r="AR33" s="154">
        <f t="shared" si="18"/>
        <v>2.6215060434817055</v>
      </c>
      <c r="AS33" s="154"/>
      <c r="AT33" s="153">
        <f t="shared" si="6"/>
        <v>957.34888319584184</v>
      </c>
      <c r="AV33" s="153">
        <f t="shared" si="7"/>
        <v>6576.1682688129704</v>
      </c>
      <c r="AW33" s="273"/>
      <c r="AX33" s="155">
        <f t="shared" si="8"/>
        <v>7533.5171520088124</v>
      </c>
      <c r="AZ33" s="146">
        <f>+IF(AZ32&gt;$G$13+$G$14,XX,AZ32+1)</f>
        <v>2014</v>
      </c>
      <c r="BA33" s="117"/>
      <c r="BB33" s="154">
        <f t="shared" si="16"/>
        <v>43.059253163031855</v>
      </c>
      <c r="BD33" s="154">
        <f t="shared" si="17"/>
        <v>6.5468664740107458</v>
      </c>
      <c r="BF33" s="153">
        <f t="shared" si="9"/>
        <v>1367.058084872778</v>
      </c>
      <c r="BH33" s="157"/>
    </row>
    <row r="34" spans="2:60" ht="12">
      <c r="B34" s="2"/>
      <c r="C34">
        <f>+IF(C33&gt;$G$13+$G$14,XX,C33+1)</f>
        <v>2015</v>
      </c>
      <c r="E34" s="169">
        <f>'(2.2)_Forward_Price_Curve'!V29</f>
        <v>1.7999999999999999E-2</v>
      </c>
      <c r="G34" s="18">
        <v>124410</v>
      </c>
      <c r="I34" s="28">
        <f t="shared" si="10"/>
        <v>202.37335930621916</v>
      </c>
      <c r="K34" s="28">
        <f t="shared" si="10"/>
        <v>10.1108277157853</v>
      </c>
      <c r="M34" s="28">
        <f t="shared" si="11"/>
        <v>0</v>
      </c>
      <c r="O34" s="270">
        <v>5.7953888877845348</v>
      </c>
      <c r="Q34" s="28">
        <f>-'(2.2)_Forward_Price_Curve'!AO26</f>
        <v>-37.067478927944045</v>
      </c>
      <c r="S34" s="18">
        <f t="shared" si="0"/>
        <v>5259.888367167152</v>
      </c>
      <c r="U34" s="18">
        <f t="shared" si="1"/>
        <v>7920.3690982021844</v>
      </c>
      <c r="W34" s="18">
        <f t="shared" si="2"/>
        <v>-2660.4807310350325</v>
      </c>
      <c r="Y34" s="271">
        <f t="shared" si="3"/>
        <v>-21.384782019411883</v>
      </c>
      <c r="Z34" s="235"/>
      <c r="AB34" s="146">
        <f>+IF(AB33&gt;$G$13+$G$14,XX,AB33+1)</f>
        <v>2015</v>
      </c>
      <c r="AC34" s="117"/>
      <c r="AD34" s="151">
        <f t="shared" si="4"/>
        <v>124410</v>
      </c>
      <c r="AF34" s="154">
        <f t="shared" si="12"/>
        <v>65.053123860571162</v>
      </c>
      <c r="AH34" s="154">
        <f t="shared" si="13"/>
        <v>9.1714420160124419</v>
      </c>
      <c r="AJ34" s="154">
        <f t="shared" si="14"/>
        <v>2.5781431897338938</v>
      </c>
      <c r="AL34" s="153">
        <f t="shared" si="15"/>
        <v>2366.2462934938549</v>
      </c>
      <c r="AN34" s="154">
        <f>INDEX('(2.2)_Forward_Price_Curve'!$I:$I,MATCH($AB34,'(2.2)_Forward_Price_Curve'!$C:$C,0),1)</f>
        <v>7.3164011858738007</v>
      </c>
      <c r="AP34" s="154">
        <f t="shared" si="5"/>
        <v>53.161127080102943</v>
      </c>
      <c r="AR34" s="154">
        <f t="shared" si="18"/>
        <v>2.6686931522643764</v>
      </c>
      <c r="AS34" s="154"/>
      <c r="AT34" s="153">
        <f t="shared" si="6"/>
        <v>974.58116309336697</v>
      </c>
      <c r="AV34" s="153">
        <f t="shared" si="7"/>
        <v>6945.7879351088177</v>
      </c>
      <c r="AW34" s="273"/>
      <c r="AX34" s="155">
        <f t="shared" si="8"/>
        <v>7920.3690982021844</v>
      </c>
      <c r="AZ34" s="146">
        <f>+IF(AZ33&gt;$G$13+$G$14,XX,AZ33+1)</f>
        <v>2015</v>
      </c>
      <c r="BA34" s="117"/>
      <c r="BB34" s="154">
        <f t="shared" si="16"/>
        <v>43.83431971996643</v>
      </c>
      <c r="BD34" s="154">
        <f t="shared" si="17"/>
        <v>6.664710070542939</v>
      </c>
      <c r="BF34" s="153">
        <f t="shared" si="9"/>
        <v>1391.6651304004879</v>
      </c>
      <c r="BH34" s="157"/>
    </row>
    <row r="35" spans="2:60" ht="12">
      <c r="B35" s="2"/>
      <c r="C35">
        <f>+IF(C34&gt;$G$13+$G$14,XX,C34+1)</f>
        <v>2016</v>
      </c>
      <c r="E35" s="169">
        <f>'(2.2)_Forward_Price_Curve'!V30</f>
        <v>1.7999999999999999E-2</v>
      </c>
      <c r="G35" s="18">
        <v>124750.84931506851</v>
      </c>
      <c r="I35" s="28">
        <f t="shared" si="10"/>
        <v>206.01607977373109</v>
      </c>
      <c r="K35" s="28">
        <f t="shared" si="10"/>
        <v>10.292822614669436</v>
      </c>
      <c r="M35" s="28">
        <f t="shared" si="11"/>
        <v>0</v>
      </c>
      <c r="O35" s="270">
        <v>5.8997058877646564</v>
      </c>
      <c r="Q35" s="28">
        <f>-'(2.2)_Forward_Price_Curve'!AO27</f>
        <v>-37.067478927944045</v>
      </c>
      <c r="S35" s="18">
        <f t="shared" si="0"/>
        <v>5430.4593161831945</v>
      </c>
      <c r="U35" s="18">
        <f t="shared" si="1"/>
        <v>8512.0279769361168</v>
      </c>
      <c r="W35" s="18">
        <f t="shared" si="2"/>
        <v>-3081.5686607529224</v>
      </c>
      <c r="Y35" s="271">
        <f t="shared" si="3"/>
        <v>-24.701785019276041</v>
      </c>
      <c r="Z35" s="235"/>
      <c r="AB35" s="146">
        <f>+IF(AB34&gt;$G$13+$G$14,XX,AB34+1)</f>
        <v>2016</v>
      </c>
      <c r="AC35" s="117"/>
      <c r="AD35" s="151">
        <f t="shared" si="4"/>
        <v>124750.84931506851</v>
      </c>
      <c r="AF35" s="154">
        <f t="shared" si="12"/>
        <v>66.224080090061449</v>
      </c>
      <c r="AH35" s="154">
        <f t="shared" si="13"/>
        <v>9.3365279723006669</v>
      </c>
      <c r="AJ35" s="154">
        <f t="shared" si="14"/>
        <v>2.6245497671491038</v>
      </c>
      <c r="AL35" s="153">
        <f t="shared" si="15"/>
        <v>2409.7333027672403</v>
      </c>
      <c r="AN35" s="154">
        <f>INDEX('(2.2)_Forward_Price_Curve'!$I:$I,MATCH($AB35,'(2.2)_Forward_Price_Curve'!$C:$C,0),1)</f>
        <v>7.9211828417083421</v>
      </c>
      <c r="AP35" s="154">
        <f t="shared" si="5"/>
        <v>57.555483491778489</v>
      </c>
      <c r="AR35" s="154">
        <f t="shared" si="18"/>
        <v>2.716729629005135</v>
      </c>
      <c r="AS35" s="154"/>
      <c r="AT35" s="153">
        <f t="shared" si="6"/>
        <v>993.01820001954366</v>
      </c>
      <c r="AV35" s="153">
        <f t="shared" si="7"/>
        <v>7519.0097769165732</v>
      </c>
      <c r="AW35" s="273"/>
      <c r="AX35" s="155">
        <f t="shared" si="8"/>
        <v>8512.0279769361168</v>
      </c>
      <c r="AZ35" s="146">
        <f>+IF(AZ34&gt;$G$13+$G$14,XX,AZ34+1)</f>
        <v>2016</v>
      </c>
      <c r="BA35" s="117"/>
      <c r="BB35" s="154">
        <f t="shared" si="16"/>
        <v>44.623337474925826</v>
      </c>
      <c r="BD35" s="154">
        <f t="shared" si="17"/>
        <v>6.7846748518127118</v>
      </c>
      <c r="BF35" s="153">
        <f t="shared" si="9"/>
        <v>1416.7151027476966</v>
      </c>
      <c r="BH35" s="157"/>
    </row>
    <row r="36" spans="2:60" ht="12">
      <c r="B36" s="2"/>
      <c r="C36">
        <f>+IF(C35&gt;$G$13+$G$14,XX,C35+1)</f>
        <v>2017</v>
      </c>
      <c r="E36" s="169">
        <f>'(2.2)_Forward_Price_Curve'!V31</f>
        <v>1.7999999999999999E-2</v>
      </c>
      <c r="G36" s="18">
        <v>124410</v>
      </c>
      <c r="I36" s="28">
        <f t="shared" si="10"/>
        <v>209.72436920965825</v>
      </c>
      <c r="K36" s="28">
        <f t="shared" si="10"/>
        <v>10.478093421733487</v>
      </c>
      <c r="M36" s="28">
        <f t="shared" si="11"/>
        <v>0</v>
      </c>
      <c r="O36" s="270">
        <v>6.0059005937444203</v>
      </c>
      <c r="Q36" s="28">
        <f>-'(2.2)_Forward_Price_Curve'!AO28</f>
        <v>-38.679108446550309</v>
      </c>
      <c r="S36" s="18">
        <f t="shared" si="0"/>
        <v>5417.9562128069547</v>
      </c>
      <c r="U36" s="18">
        <f t="shared" si="1"/>
        <v>9080.0270623695451</v>
      </c>
      <c r="W36" s="18">
        <f t="shared" si="2"/>
        <v>-3662.0708495625904</v>
      </c>
      <c r="Y36" s="271">
        <f t="shared" si="3"/>
        <v>-29.435502367676154</v>
      </c>
      <c r="Z36" s="235"/>
      <c r="AB36" s="146">
        <f>+IF(AB35&gt;$G$13+$G$14,XX,AB35+1)</f>
        <v>2017</v>
      </c>
      <c r="AC36" s="117"/>
      <c r="AD36" s="151">
        <f t="shared" si="4"/>
        <v>124410</v>
      </c>
      <c r="AF36" s="154">
        <f t="shared" si="12"/>
        <v>67.416113531682555</v>
      </c>
      <c r="AH36" s="154">
        <f t="shared" si="13"/>
        <v>9.5045854758020791</v>
      </c>
      <c r="AJ36" s="154">
        <f t="shared" si="14"/>
        <v>2.6717916629577876</v>
      </c>
      <c r="AL36" s="153">
        <f t="shared" si="15"/>
        <v>2452.1978238587258</v>
      </c>
      <c r="AN36" s="154">
        <f>INDEX('(2.2)_Forward_Price_Curve'!$I:$I,MATCH($AB36,'(2.2)_Forward_Price_Curve'!$C:$C,0),1)</f>
        <v>8.5467545643478058</v>
      </c>
      <c r="AP36" s="154">
        <f t="shared" si="5"/>
        <v>62.100900972324112</v>
      </c>
      <c r="AR36" s="154">
        <f t="shared" si="18"/>
        <v>2.7656307623272274</v>
      </c>
      <c r="AS36" s="154"/>
      <c r="AT36" s="153">
        <f t="shared" si="6"/>
        <v>1009.9818492615705</v>
      </c>
      <c r="AV36" s="153">
        <f t="shared" si="7"/>
        <v>8070.0452131079746</v>
      </c>
      <c r="AW36" s="273"/>
      <c r="AX36" s="155">
        <f t="shared" si="8"/>
        <v>9080.0270623695451</v>
      </c>
      <c r="AZ36" s="146">
        <f>+IF(AZ35&gt;$G$13+$G$14,XX,AZ35+1)</f>
        <v>2017</v>
      </c>
      <c r="BA36" s="117"/>
      <c r="BB36" s="154">
        <f t="shared" si="16"/>
        <v>45.426557549474495</v>
      </c>
      <c r="BD36" s="154">
        <f t="shared" si="17"/>
        <v>6.9067989991453409</v>
      </c>
      <c r="BF36" s="153">
        <f t="shared" si="9"/>
        <v>1442.2159745971553</v>
      </c>
      <c r="BH36" s="157"/>
    </row>
    <row r="37" spans="2:60" ht="12">
      <c r="B37" s="2"/>
      <c r="C37">
        <f>+IF(C36&gt;$G$13+$G$14,XX,C36+1)</f>
        <v>2018</v>
      </c>
      <c r="E37" s="169">
        <f>'(2.2)_Forward_Price_Curve'!V32</f>
        <v>1.7999999999999999E-2</v>
      </c>
      <c r="G37" s="18">
        <v>124410</v>
      </c>
      <c r="I37" s="28">
        <f t="shared" si="10"/>
        <v>213.49940785543211</v>
      </c>
      <c r="K37" s="28">
        <f t="shared" si="10"/>
        <v>10.666699103324689</v>
      </c>
      <c r="M37" s="28">
        <f t="shared" si="11"/>
        <v>0</v>
      </c>
      <c r="O37" s="270">
        <v>6.1140068044318197</v>
      </c>
      <c r="Q37" s="28">
        <f>-'(2.2)_Forward_Price_Curve'!AO29</f>
        <v>-38.679108446550309</v>
      </c>
      <c r="S37" s="18">
        <f t="shared" si="0"/>
        <v>5602.0966465105157</v>
      </c>
      <c r="U37" s="18">
        <f t="shared" si="1"/>
        <v>9610.9772430633402</v>
      </c>
      <c r="W37" s="18">
        <f t="shared" si="2"/>
        <v>-4008.8805965528245</v>
      </c>
      <c r="Y37" s="271">
        <f t="shared" si="3"/>
        <v>-32.223137983705691</v>
      </c>
      <c r="Z37" s="235"/>
      <c r="AB37" s="146">
        <f>+IF(AB36&gt;$G$13+$G$14,XX,AB36+1)</f>
        <v>2018</v>
      </c>
      <c r="AC37" s="117"/>
      <c r="AD37" s="151">
        <f t="shared" si="4"/>
        <v>124410</v>
      </c>
      <c r="AF37" s="154">
        <f t="shared" si="12"/>
        <v>68.629603575252844</v>
      </c>
      <c r="AH37" s="154">
        <f t="shared" si="13"/>
        <v>9.6756680143665168</v>
      </c>
      <c r="AJ37" s="154">
        <f t="shared" si="14"/>
        <v>2.7198839128910279</v>
      </c>
      <c r="AL37" s="153">
        <f t="shared" si="15"/>
        <v>2496.3373846881827</v>
      </c>
      <c r="AN37" s="154">
        <f>INDEX('(2.2)_Forward_Price_Curve'!$I:$I,MATCH($AB37,'(2.2)_Forward_Price_Curve'!$C:$C,0),1)</f>
        <v>9.1071488375904099</v>
      </c>
      <c r="AP37" s="154">
        <f t="shared" si="5"/>
        <v>66.172737715275218</v>
      </c>
      <c r="AR37" s="154">
        <f t="shared" si="18"/>
        <v>2.8154121160491177</v>
      </c>
      <c r="AS37" s="154"/>
      <c r="AT37" s="153">
        <f t="shared" si="6"/>
        <v>1028.1615225482785</v>
      </c>
      <c r="AV37" s="153">
        <f t="shared" si="7"/>
        <v>8582.8157205150619</v>
      </c>
      <c r="AW37" s="273"/>
      <c r="AX37" s="155">
        <f t="shared" si="8"/>
        <v>9610.9772430633402</v>
      </c>
      <c r="AZ37" s="146">
        <f>+IF(AZ36&gt;$G$13+$G$14,XX,AZ36+1)</f>
        <v>2018</v>
      </c>
      <c r="BA37" s="117"/>
      <c r="BB37" s="154">
        <f t="shared" si="16"/>
        <v>46.24423558536504</v>
      </c>
      <c r="BD37" s="154">
        <f t="shared" si="17"/>
        <v>7.0311213811299575</v>
      </c>
      <c r="BF37" s="153">
        <f t="shared" si="9"/>
        <v>1468.1758621399042</v>
      </c>
      <c r="BH37" s="157"/>
    </row>
    <row r="38" spans="2:60" ht="12">
      <c r="B38" s="2"/>
      <c r="C38" s="353">
        <f>+IF(C37&gt;$G$13+$G$14,XX,C37+1)</f>
        <v>2019</v>
      </c>
      <c r="E38" s="355">
        <v>1.7999999999999999E-2</v>
      </c>
      <c r="G38" s="357">
        <v>128916.32608695648</v>
      </c>
      <c r="I38" s="538">
        <v>233.64815473251235</v>
      </c>
      <c r="K38" s="464">
        <v>10.777120355497136</v>
      </c>
      <c r="M38" s="28">
        <f t="shared" si="11"/>
        <v>0</v>
      </c>
      <c r="O38" s="464">
        <v>1.1100000000000001</v>
      </c>
      <c r="Q38" s="464">
        <v>-22.382808254915417</v>
      </c>
      <c r="S38" s="18">
        <f t="shared" si="0"/>
        <v>7759.2125108196515</v>
      </c>
      <c r="U38" s="18">
        <f t="shared" si="1"/>
        <v>11443.830274489714</v>
      </c>
      <c r="W38" s="18">
        <f t="shared" si="2"/>
        <v>-3684.6177636700622</v>
      </c>
      <c r="Y38" s="271">
        <f t="shared" si="3"/>
        <v>-28.581467340177831</v>
      </c>
      <c r="Z38" s="235"/>
      <c r="AB38" s="377">
        <f>+IF(AB37&gt;$G$13+$G$14,XX,AB37+1)</f>
        <v>2019</v>
      </c>
      <c r="AC38" s="117"/>
      <c r="AD38" s="151">
        <f t="shared" si="4"/>
        <v>128916.32608695648</v>
      </c>
      <c r="AF38" s="399">
        <f>AR15*AR16</f>
        <v>98.875745606933918</v>
      </c>
      <c r="AH38" s="399">
        <f>AV11</f>
        <v>19.805241420865066</v>
      </c>
      <c r="AJ38" s="399">
        <f>AV13</f>
        <v>2.02116486562735</v>
      </c>
      <c r="AL38" s="153">
        <f t="shared" si="15"/>
        <v>3531.2020299803144</v>
      </c>
      <c r="AN38" s="399">
        <f>INDEX('(2.2)_Forward_Price_Curve'!$I:$I,MATCH($AB38,'(2.2)_Forward_Price_Curve'!$C:$C,0),1)</f>
        <v>9.7289597532905745</v>
      </c>
      <c r="AP38" s="154">
        <f t="shared" si="5"/>
        <v>70.69082909237946</v>
      </c>
      <c r="AR38" s="399">
        <f>AV15</f>
        <v>2.2807762714164963</v>
      </c>
      <c r="AS38" s="154"/>
      <c r="AT38" s="153">
        <f t="shared" si="6"/>
        <v>2036.5990023218917</v>
      </c>
      <c r="AV38" s="153">
        <f t="shared" si="7"/>
        <v>9407.2312721678227</v>
      </c>
      <c r="AW38" s="273"/>
      <c r="AX38" s="155">
        <f t="shared" si="8"/>
        <v>11443.830274489714</v>
      </c>
      <c r="AZ38" s="383">
        <f>+IF(AZ37&gt;$G$13+$G$14,XX,AZ37+1)</f>
        <v>2019</v>
      </c>
      <c r="BA38" s="117"/>
      <c r="BB38" s="399">
        <f t="shared" si="16"/>
        <v>47.076631825901615</v>
      </c>
      <c r="BD38" s="399">
        <f t="shared" si="17"/>
        <v>7.1576815659902966</v>
      </c>
      <c r="BF38" s="153">
        <f t="shared" si="9"/>
        <v>1494.6030276584227</v>
      </c>
      <c r="BH38" s="157"/>
    </row>
    <row r="39" spans="2:60" ht="12">
      <c r="B39" s="2"/>
      <c r="C39" s="354">
        <f>+IF(C38&gt;$I$13+$I$14,XX,C38+1)</f>
        <v>2020</v>
      </c>
      <c r="E39" s="356">
        <f>'(2.2)_Forward_Price_Curve'!S33</f>
        <v>2.3E-2</v>
      </c>
      <c r="G39" s="470">
        <v>134848.32608695651</v>
      </c>
      <c r="I39" s="360">
        <v>306.3420991805142</v>
      </c>
      <c r="K39" s="471">
        <v>13.948531212618697</v>
      </c>
      <c r="M39" s="28">
        <f t="shared" si="11"/>
        <v>0</v>
      </c>
      <c r="O39" s="471">
        <v>0.63</v>
      </c>
      <c r="Q39" s="471">
        <v>-33.150783021494966</v>
      </c>
      <c r="S39" s="18">
        <f t="shared" si="0"/>
        <v>9442.9047999476388</v>
      </c>
      <c r="U39" s="18">
        <f t="shared" si="1"/>
        <v>5050.3614745134801</v>
      </c>
      <c r="W39" s="18">
        <f t="shared" si="2"/>
        <v>4392.5433254341588</v>
      </c>
      <c r="Y39" s="271">
        <f t="shared" si="3"/>
        <v>32.573955145736413</v>
      </c>
      <c r="Z39" s="235"/>
      <c r="AB39" s="378">
        <f>+IF(AB38&gt;$I$13+$I$14,XX,AB38+1)</f>
        <v>2020</v>
      </c>
      <c r="AC39" s="117"/>
      <c r="AD39" s="151">
        <f t="shared" si="4"/>
        <v>134848.32608695651</v>
      </c>
      <c r="AF39" s="154">
        <f t="shared" ref="AF39:AF68" si="19">AF38*(1+$E39)</f>
        <v>101.14988775589339</v>
      </c>
      <c r="AH39" s="154">
        <f t="shared" ref="AH39:AH68" si="20">AH38*(1+$E39)</f>
        <v>20.260761973544962</v>
      </c>
      <c r="AJ39" s="154">
        <f t="shared" ref="AJ39:AJ68" si="21">AJ38*(1+$E39)</f>
        <v>2.0676516575367789</v>
      </c>
      <c r="AL39" s="153">
        <f t="shared" si="15"/>
        <v>3624.6849863023699</v>
      </c>
      <c r="AN39" s="154">
        <f>INDEX('(2.2)_Forward_Price_Curve'!$K:$K,MATCH($AB39,'(2.2)_Forward_Price_Curve'!$C:$C,0),1)</f>
        <v>2.6944208333333339</v>
      </c>
      <c r="AP39" s="154">
        <f t="shared" si="5"/>
        <v>19.577719248729689</v>
      </c>
      <c r="AR39" s="154">
        <f>AR38*(1+$E39)</f>
        <v>2.3332341256590756</v>
      </c>
      <c r="AS39" s="154"/>
      <c r="AT39" s="153">
        <f t="shared" si="6"/>
        <v>2095.7060890078037</v>
      </c>
      <c r="AV39" s="153">
        <f t="shared" si="7"/>
        <v>2954.6553855056763</v>
      </c>
      <c r="AW39" s="273"/>
      <c r="AX39" s="155">
        <f t="shared" si="8"/>
        <v>5050.3614745134801</v>
      </c>
      <c r="AZ39" s="384">
        <f>+IF(AZ38&gt;$I$13+$I$14,XX,AZ38+1)</f>
        <v>2020</v>
      </c>
      <c r="BA39" s="117"/>
      <c r="BB39" s="154">
        <f t="shared" si="16"/>
        <v>48.159394357897348</v>
      </c>
      <c r="BD39" s="154">
        <f t="shared" si="17"/>
        <v>7.3223082420080727</v>
      </c>
      <c r="BF39" s="153">
        <f t="shared" si="9"/>
        <v>1528.9788972945662</v>
      </c>
      <c r="BH39" s="157"/>
    </row>
    <row r="40" spans="2:60" ht="12">
      <c r="B40" s="2"/>
      <c r="C40" s="354">
        <f>+IF(C39&gt;$I$13+$I$14,XX,C39+1)</f>
        <v>2021</v>
      </c>
      <c r="E40" s="356">
        <f>'(2.2)_Forward_Price_Curve'!S34</f>
        <v>2.5999999999999999E-2</v>
      </c>
      <c r="G40" s="470">
        <v>134847.32608695651</v>
      </c>
      <c r="I40" s="360">
        <v>313.76794066935872</v>
      </c>
      <c r="K40" s="471">
        <v>14.244270562919027</v>
      </c>
      <c r="M40" s="28">
        <f t="shared" si="11"/>
        <v>0</v>
      </c>
      <c r="O40" s="471">
        <v>0.6399999999999999</v>
      </c>
      <c r="Q40" s="471">
        <v>-34.476814342354764</v>
      </c>
      <c r="S40" s="18">
        <f t="shared" si="0"/>
        <v>9594.9475462064474</v>
      </c>
      <c r="U40" s="18">
        <f t="shared" si="1"/>
        <v>5291.6652023198294</v>
      </c>
      <c r="W40" s="18">
        <f t="shared" si="2"/>
        <v>4303.282343886618</v>
      </c>
      <c r="Y40" s="271">
        <f t="shared" si="3"/>
        <v>31.912255650598805</v>
      </c>
      <c r="Z40" s="235"/>
      <c r="AB40" s="378">
        <f>+IF(AB39&gt;$I$13+$I$14,XX,AB39+1)</f>
        <v>2021</v>
      </c>
      <c r="AC40" s="117"/>
      <c r="AD40" s="151">
        <f t="shared" si="4"/>
        <v>134847.32608695651</v>
      </c>
      <c r="AF40" s="154">
        <f t="shared" si="19"/>
        <v>103.77978483754661</v>
      </c>
      <c r="AH40" s="154">
        <f t="shared" si="20"/>
        <v>20.787541784857133</v>
      </c>
      <c r="AJ40" s="154">
        <f t="shared" si="21"/>
        <v>2.1214106006327351</v>
      </c>
      <c r="AL40" s="153">
        <f t="shared" si="15"/>
        <v>3718.9246745356309</v>
      </c>
      <c r="AN40" s="154">
        <f>INDEX('(2.2)_Forward_Price_Curve'!$K:$K,MATCH($AB40,'(2.2)_Forward_Price_Curve'!$C:$C,0),1)</f>
        <v>2.8767624999999999</v>
      </c>
      <c r="AP40" s="154">
        <f t="shared" si="5"/>
        <v>20.902617688194734</v>
      </c>
      <c r="AR40" s="154">
        <f t="shared" si="18"/>
        <v>2.3938982129262119</v>
      </c>
      <c r="AS40" s="154"/>
      <c r="AT40" s="153">
        <f t="shared" si="6"/>
        <v>2150.1923259114055</v>
      </c>
      <c r="AV40" s="153">
        <f t="shared" si="7"/>
        <v>3141.4728764084243</v>
      </c>
      <c r="AW40" s="273"/>
      <c r="AX40" s="155">
        <f t="shared" si="8"/>
        <v>5291.6652023198294</v>
      </c>
      <c r="AZ40" s="384">
        <f>+IF(AZ39&gt;$I$13+$I$14,XX,AZ39+1)</f>
        <v>2021</v>
      </c>
      <c r="BA40" s="117"/>
      <c r="BB40" s="154">
        <f t="shared" si="16"/>
        <v>49.41153861120268</v>
      </c>
      <c r="BD40" s="154">
        <f t="shared" si="17"/>
        <v>7.512688256300283</v>
      </c>
      <c r="BF40" s="153">
        <f t="shared" si="9"/>
        <v>1568.7323486242251</v>
      </c>
      <c r="BH40" s="157"/>
    </row>
    <row r="41" spans="2:60" ht="12">
      <c r="B41" s="2"/>
      <c r="C41" s="354">
        <f>+IF(C40&gt;$I$13+$I$14,XX,C40+1)</f>
        <v>2022</v>
      </c>
      <c r="E41" s="356">
        <f>'(2.2)_Forward_Price_Curve'!S35</f>
        <v>2.4E-2</v>
      </c>
      <c r="G41" s="470">
        <v>134847.32608695651</v>
      </c>
      <c r="I41" s="360">
        <v>321.21291068984897</v>
      </c>
      <c r="K41" s="471">
        <v>14.571888785866163</v>
      </c>
      <c r="M41" s="28">
        <f t="shared" si="11"/>
        <v>0</v>
      </c>
      <c r="O41" s="471">
        <v>0.66</v>
      </c>
      <c r="Q41" s="471">
        <v>-34.476814342354764</v>
      </c>
      <c r="S41" s="18">
        <f t="shared" si="0"/>
        <v>9932.1767648690875</v>
      </c>
      <c r="U41" s="18">
        <f t="shared" si="1"/>
        <v>5481.4209638652392</v>
      </c>
      <c r="W41" s="18">
        <f t="shared" si="2"/>
        <v>4450.7558010038483</v>
      </c>
      <c r="Y41" s="271">
        <f t="shared" si="3"/>
        <v>33.005888438112379</v>
      </c>
      <c r="Z41" s="235"/>
      <c r="AB41" s="378">
        <f>+IF(AB40&gt;$I$13+$I$14,XX,AB40+1)</f>
        <v>2022</v>
      </c>
      <c r="AC41" s="117"/>
      <c r="AD41" s="151">
        <f t="shared" si="4"/>
        <v>134847.32608695651</v>
      </c>
      <c r="AF41" s="154">
        <f t="shared" si="19"/>
        <v>106.27049967364773</v>
      </c>
      <c r="AH41" s="154">
        <f t="shared" si="20"/>
        <v>21.286442787693705</v>
      </c>
      <c r="AJ41" s="154">
        <f t="shared" si="21"/>
        <v>2.1723244550479208</v>
      </c>
      <c r="AL41" s="153">
        <f t="shared" si="15"/>
        <v>3808.1788667244855</v>
      </c>
      <c r="AN41" s="154">
        <f>INDEX('(2.2)_Forward_Price_Curve'!$K:$K,MATCH($AB41,'(2.2)_Forward_Price_Curve'!$C:$C,0),1)</f>
        <v>3.0098541666666665</v>
      </c>
      <c r="AP41" s="154">
        <f t="shared" si="5"/>
        <v>21.869664577125601</v>
      </c>
      <c r="AR41" s="154">
        <f t="shared" si="18"/>
        <v>2.4513517700364411</v>
      </c>
      <c r="AS41" s="154"/>
      <c r="AT41" s="153">
        <f t="shared" si="6"/>
        <v>2201.7969417332788</v>
      </c>
      <c r="AV41" s="153">
        <f t="shared" si="7"/>
        <v>3279.6240221319599</v>
      </c>
      <c r="AW41" s="273"/>
      <c r="AX41" s="155">
        <f t="shared" si="8"/>
        <v>5481.4209638652392</v>
      </c>
      <c r="AZ41" s="384">
        <f>+IF(AZ40&gt;$I$13+$I$14,XX,AZ40+1)</f>
        <v>2022</v>
      </c>
      <c r="BA41" s="117"/>
      <c r="BB41" s="154">
        <f t="shared" si="16"/>
        <v>50.597415537871548</v>
      </c>
      <c r="BD41" s="154">
        <f t="shared" si="17"/>
        <v>7.6929927744514899</v>
      </c>
      <c r="BF41" s="153">
        <f t="shared" si="9"/>
        <v>1606.3819249912065</v>
      </c>
      <c r="BH41" s="157"/>
    </row>
    <row r="42" spans="2:60" ht="12">
      <c r="B42" s="2"/>
      <c r="C42" s="354">
        <f>+IF(C41&gt;$I$13+$I$14,XX,C41+1)</f>
        <v>2023</v>
      </c>
      <c r="E42" s="356">
        <f>'(2.2)_Forward_Price_Curve'!S36</f>
        <v>2.3E-2</v>
      </c>
      <c r="G42" s="470">
        <v>134847.32608695651</v>
      </c>
      <c r="I42" s="360">
        <v>328.7923179455297</v>
      </c>
      <c r="K42" s="471">
        <v>14.907042227941082</v>
      </c>
      <c r="M42" s="28">
        <f t="shared" si="11"/>
        <v>0</v>
      </c>
      <c r="O42" s="471">
        <v>0.67</v>
      </c>
      <c r="Q42" s="471">
        <v>-35.802845663214569</v>
      </c>
      <c r="S42" s="18">
        <f t="shared" si="0"/>
        <v>10095.504888668649</v>
      </c>
      <c r="U42" s="18">
        <f t="shared" si="1"/>
        <v>5997.4742580104703</v>
      </c>
      <c r="W42" s="18">
        <f t="shared" si="2"/>
        <v>4098.0306306581788</v>
      </c>
      <c r="Y42" s="271">
        <f t="shared" si="3"/>
        <v>30.390151214533962</v>
      </c>
      <c r="Z42" s="235"/>
      <c r="AB42" s="378">
        <f>+IF(AB41&gt;$I$13+$I$14,XX,AB41+1)</f>
        <v>2023</v>
      </c>
      <c r="AC42" s="117"/>
      <c r="AD42" s="151">
        <f t="shared" si="4"/>
        <v>134847.32608695651</v>
      </c>
      <c r="AF42" s="154">
        <f t="shared" si="19"/>
        <v>108.71472116614163</v>
      </c>
      <c r="AH42" s="154">
        <f t="shared" si="20"/>
        <v>21.776030971810659</v>
      </c>
      <c r="AJ42" s="154">
        <f t="shared" si="21"/>
        <v>2.2222879175140227</v>
      </c>
      <c r="AL42" s="153">
        <f t="shared" si="15"/>
        <v>3895.7669806591484</v>
      </c>
      <c r="AN42" s="154">
        <f>INDEX('(2.2)_Forward_Price_Curve'!$K:$K,MATCH($AB42,'(2.2)_Forward_Price_Curve'!$C:$C,0),1)</f>
        <v>3.4771000000000001</v>
      </c>
      <c r="AP42" s="154">
        <f t="shared" si="5"/>
        <v>25.264682768779807</v>
      </c>
      <c r="AR42" s="154">
        <f t="shared" si="18"/>
        <v>2.5077328607472791</v>
      </c>
      <c r="AS42" s="154"/>
      <c r="AT42" s="153">
        <f t="shared" si="6"/>
        <v>2252.4382713931441</v>
      </c>
      <c r="AV42" s="153">
        <f t="shared" si="7"/>
        <v>3745.0359866173262</v>
      </c>
      <c r="AW42" s="273"/>
      <c r="AX42" s="155">
        <f t="shared" si="8"/>
        <v>5997.4742580104703</v>
      </c>
      <c r="AZ42" s="384">
        <f>+IF(AZ41&gt;$I$13+$I$14,XX,AZ41+1)</f>
        <v>2023</v>
      </c>
      <c r="BA42" s="117"/>
      <c r="BB42" s="154">
        <f t="shared" si="16"/>
        <v>51.76115609524259</v>
      </c>
      <c r="BD42" s="154">
        <f t="shared" si="17"/>
        <v>7.8699316082638733</v>
      </c>
      <c r="BF42" s="153">
        <f t="shared" si="9"/>
        <v>1643.3287092660044</v>
      </c>
      <c r="BH42" s="157"/>
    </row>
    <row r="43" spans="2:60" ht="12">
      <c r="B43" s="2"/>
      <c r="C43" s="354">
        <f>+IF(C42&gt;$I$13+$I$14,XX,C42+1)</f>
        <v>2024</v>
      </c>
      <c r="E43" s="356">
        <f>'(2.2)_Forward_Price_Curve'!S37</f>
        <v>2.3E-2</v>
      </c>
      <c r="G43" s="470">
        <v>134848.32608695651</v>
      </c>
      <c r="I43" s="360">
        <v>336.39078823153659</v>
      </c>
      <c r="K43" s="471">
        <v>15.291684758633549</v>
      </c>
      <c r="M43" s="28">
        <f t="shared" si="11"/>
        <v>0</v>
      </c>
      <c r="O43" s="471">
        <v>0.69</v>
      </c>
      <c r="Q43" s="471">
        <v>-35.802845663214569</v>
      </c>
      <c r="S43" s="18">
        <f t="shared" si="0"/>
        <v>10446.390371946953</v>
      </c>
      <c r="U43" s="18">
        <f t="shared" si="1"/>
        <v>6524.147631109312</v>
      </c>
      <c r="W43" s="18">
        <f t="shared" si="2"/>
        <v>3922.2427408376407</v>
      </c>
      <c r="Y43" s="271">
        <f t="shared" si="3"/>
        <v>29.086328726901623</v>
      </c>
      <c r="Z43" s="235"/>
      <c r="AB43" s="378">
        <f>+IF(AB42&gt;$I$13+$I$14,XX,AB42+1)</f>
        <v>2024</v>
      </c>
      <c r="AC43" s="117"/>
      <c r="AD43" s="151">
        <f t="shared" si="4"/>
        <v>134848.32608695651</v>
      </c>
      <c r="AF43" s="154">
        <f t="shared" si="19"/>
        <v>111.21515975296288</v>
      </c>
      <c r="AH43" s="154">
        <f t="shared" si="20"/>
        <v>22.276879684162303</v>
      </c>
      <c r="AJ43" s="154">
        <f t="shared" si="21"/>
        <v>2.2734005396168451</v>
      </c>
      <c r="AL43" s="153">
        <f t="shared" si="15"/>
        <v>3985.3718946148488</v>
      </c>
      <c r="AN43" s="154">
        <f>INDEX('(2.2)_Forward_Price_Curve'!$K:$K,MATCH($AB43,'(2.2)_Forward_Price_Curve'!$C:$C,0),1)</f>
        <v>3.9537833333333325</v>
      </c>
      <c r="AP43" s="154">
        <f t="shared" si="5"/>
        <v>28.728274036741947</v>
      </c>
      <c r="AR43" s="154">
        <f t="shared" si="18"/>
        <v>2.5654107165444664</v>
      </c>
      <c r="AS43" s="154"/>
      <c r="AT43" s="153">
        <f t="shared" si="6"/>
        <v>2304.2466250357265</v>
      </c>
      <c r="AV43" s="153">
        <f t="shared" si="7"/>
        <v>4219.9010060735854</v>
      </c>
      <c r="AW43" s="273"/>
      <c r="AX43" s="155">
        <f t="shared" si="8"/>
        <v>6524.147631109312</v>
      </c>
      <c r="AZ43" s="384">
        <f>+IF(AZ42&gt;$I$13+$I$14,XX,AZ42+1)</f>
        <v>2024</v>
      </c>
      <c r="BA43" s="117"/>
      <c r="BB43" s="154">
        <f t="shared" si="16"/>
        <v>52.951662685433163</v>
      </c>
      <c r="BD43" s="154">
        <f t="shared" si="17"/>
        <v>8.0509400352539409</v>
      </c>
      <c r="BF43" s="153">
        <f t="shared" si="9"/>
        <v>1681.1252695791222</v>
      </c>
      <c r="BH43" s="157"/>
    </row>
    <row r="44" spans="2:60" ht="12">
      <c r="B44" s="2"/>
      <c r="C44" s="354">
        <f>+IF(C43&gt;$I$13+$I$14,XX,C43+1)</f>
        <v>2025</v>
      </c>
      <c r="E44" s="356">
        <f>'(2.2)_Forward_Price_Curve'!S38</f>
        <v>2.3E-2</v>
      </c>
      <c r="G44" s="470">
        <v>134847.32608695651</v>
      </c>
      <c r="I44" s="360">
        <v>343.83892681169613</v>
      </c>
      <c r="K44" s="471">
        <v>15.585402091565767</v>
      </c>
      <c r="M44" s="28">
        <f t="shared" si="11"/>
        <v>0</v>
      </c>
      <c r="O44" s="471">
        <v>0.69999999999999984</v>
      </c>
      <c r="Q44" s="471">
        <v>-37.128876984074367</v>
      </c>
      <c r="S44" s="18">
        <f t="shared" si="0"/>
        <v>10599.03129004075</v>
      </c>
      <c r="U44" s="18">
        <f t="shared" si="1"/>
        <v>6736.8275979454957</v>
      </c>
      <c r="W44" s="18">
        <f t="shared" si="2"/>
        <v>3862.2036920952542</v>
      </c>
      <c r="Y44" s="271">
        <f t="shared" si="3"/>
        <v>28.641307204005706</v>
      </c>
      <c r="Z44" s="235"/>
      <c r="AB44" s="378">
        <f>+IF(AB43&gt;$I$13+$I$14,XX,AB43+1)</f>
        <v>2025</v>
      </c>
      <c r="AC44" s="117"/>
      <c r="AD44" s="151">
        <f t="shared" si="4"/>
        <v>134847.32608695651</v>
      </c>
      <c r="AF44" s="154">
        <f t="shared" si="19"/>
        <v>113.77310842728102</v>
      </c>
      <c r="AH44" s="154">
        <f t="shared" si="20"/>
        <v>22.789247916898034</v>
      </c>
      <c r="AJ44" s="154">
        <f t="shared" si="21"/>
        <v>2.3256887520280323</v>
      </c>
      <c r="AL44" s="153">
        <f t="shared" si="15"/>
        <v>4077.0331225022373</v>
      </c>
      <c r="AN44" s="154">
        <f>INDEX('(2.2)_Forward_Price_Curve'!$K:$K,MATCH($AB44,'(2.2)_Forward_Price_Curve'!$C:$C,0),1)</f>
        <v>4.1086708333333339</v>
      </c>
      <c r="AP44" s="154">
        <f t="shared" si="5"/>
        <v>29.853689915591971</v>
      </c>
      <c r="AR44" s="154">
        <f t="shared" si="18"/>
        <v>2.624415163024989</v>
      </c>
      <c r="AS44" s="154"/>
      <c r="AT44" s="153">
        <f t="shared" si="6"/>
        <v>2357.2419717227958</v>
      </c>
      <c r="AV44" s="153">
        <f t="shared" si="7"/>
        <v>4379.5856262226998</v>
      </c>
      <c r="AW44" s="273"/>
      <c r="AX44" s="155">
        <f t="shared" si="8"/>
        <v>6736.8275979454957</v>
      </c>
      <c r="AZ44" s="384">
        <f>+IF(AZ43&gt;$I$13+$I$14,XX,AZ43+1)</f>
        <v>2025</v>
      </c>
      <c r="BA44" s="117"/>
      <c r="BB44" s="154">
        <f t="shared" si="16"/>
        <v>54.169550927198124</v>
      </c>
      <c r="BD44" s="154">
        <f t="shared" si="17"/>
        <v>8.2361116560647805</v>
      </c>
      <c r="BF44" s="153">
        <f t="shared" si="9"/>
        <v>1719.7911507794418</v>
      </c>
      <c r="BH44" s="157"/>
    </row>
    <row r="45" spans="2:60" ht="12">
      <c r="B45" s="2"/>
      <c r="C45" s="354">
        <f>+IF(C44&gt;$I$13+$I$14,XX,C44+1)</f>
        <v>2026</v>
      </c>
      <c r="E45" s="356">
        <f>'(2.2)_Forward_Price_Curve'!S39</f>
        <v>2.3E-2</v>
      </c>
      <c r="G45" s="470">
        <v>134847.32608695651</v>
      </c>
      <c r="I45" s="360">
        <v>351.21141421750946</v>
      </c>
      <c r="K45" s="471">
        <v>15.928280937580213</v>
      </c>
      <c r="M45" s="28">
        <f t="shared" si="11"/>
        <v>0</v>
      </c>
      <c r="O45" s="471">
        <v>0.72</v>
      </c>
      <c r="Q45" s="471">
        <v>-38.454908304934165</v>
      </c>
      <c r="S45" s="18">
        <f t="shared" si="0"/>
        <v>10756.679763020542</v>
      </c>
      <c r="U45" s="18">
        <f t="shared" si="1"/>
        <v>6875.4410503591826</v>
      </c>
      <c r="W45" s="18">
        <f t="shared" si="2"/>
        <v>3881.2387126613594</v>
      </c>
      <c r="Y45" s="271">
        <f t="shared" si="3"/>
        <v>28.78246699647968</v>
      </c>
      <c r="Z45" s="235"/>
      <c r="AB45" s="378">
        <f>+IF(AB44&gt;$I$13+$I$14,XX,AB44+1)</f>
        <v>2026</v>
      </c>
      <c r="AC45" s="117"/>
      <c r="AD45" s="151">
        <f t="shared" si="4"/>
        <v>134847.32608695651</v>
      </c>
      <c r="AF45" s="154">
        <f t="shared" si="19"/>
        <v>116.38988992110846</v>
      </c>
      <c r="AH45" s="154">
        <f t="shared" si="20"/>
        <v>23.313400618986687</v>
      </c>
      <c r="AJ45" s="154">
        <f t="shared" si="21"/>
        <v>2.3791795933246767</v>
      </c>
      <c r="AL45" s="153">
        <f t="shared" si="15"/>
        <v>4170.8048843197885</v>
      </c>
      <c r="AN45" s="154">
        <f>INDEX('(2.2)_Forward_Price_Curve'!$K:$K,MATCH($AB45,'(2.2)_Forward_Price_Curve'!$C:$C,0),1)</f>
        <v>4.1864999999999997</v>
      </c>
      <c r="AP45" s="154">
        <f t="shared" si="5"/>
        <v>30.419198300738156</v>
      </c>
      <c r="AR45" s="154">
        <f t="shared" si="18"/>
        <v>2.6847767117745636</v>
      </c>
      <c r="AS45" s="154"/>
      <c r="AT45" s="153">
        <f t="shared" si="6"/>
        <v>2411.4585370724199</v>
      </c>
      <c r="AV45" s="153">
        <f t="shared" si="7"/>
        <v>4463.9825132867627</v>
      </c>
      <c r="AW45" s="273"/>
      <c r="AX45" s="155">
        <f t="shared" si="8"/>
        <v>6875.4410503591826</v>
      </c>
      <c r="AZ45" s="384">
        <f>+IF(AZ44&gt;$I$13+$I$14,XX,AZ44+1)</f>
        <v>2026</v>
      </c>
      <c r="BA45" s="117"/>
      <c r="BB45" s="154">
        <f t="shared" si="16"/>
        <v>55.415450598523677</v>
      </c>
      <c r="BD45" s="154">
        <f t="shared" si="17"/>
        <v>8.4255422241542703</v>
      </c>
      <c r="BF45" s="153">
        <f t="shared" si="9"/>
        <v>1759.3463472473688</v>
      </c>
      <c r="BH45" s="157"/>
    </row>
    <row r="46" spans="2:60" ht="12">
      <c r="B46" s="2"/>
      <c r="C46" s="354">
        <f>+IF(C45&gt;$I$13+$I$14,XX,C45+1)</f>
        <v>2027</v>
      </c>
      <c r="E46" s="356">
        <f>'(2.2)_Forward_Price_Curve'!S40</f>
        <v>2.1999999999999999E-2</v>
      </c>
      <c r="G46" s="470">
        <v>134847.32608695651</v>
      </c>
      <c r="I46" s="360">
        <v>358.67838273096015</v>
      </c>
      <c r="K46" s="471">
        <v>16.27870311820698</v>
      </c>
      <c r="M46" s="28">
        <f t="shared" si="11"/>
        <v>0</v>
      </c>
      <c r="O46" s="471">
        <v>0.74</v>
      </c>
      <c r="Q46" s="471">
        <v>-38.454908304934165</v>
      </c>
      <c r="S46" s="18">
        <f t="shared" si="0"/>
        <v>11097.841975625937</v>
      </c>
      <c r="U46" s="18">
        <f t="shared" si="1"/>
        <v>7201.800955579788</v>
      </c>
      <c r="W46" s="18">
        <f t="shared" si="2"/>
        <v>3896.0410200461492</v>
      </c>
      <c r="Y46" s="271">
        <f t="shared" si="3"/>
        <v>28.892237859679778</v>
      </c>
      <c r="Z46" s="235"/>
      <c r="AB46" s="378">
        <f>+IF(AB45&gt;$I$13+$I$14,XX,AB45+1)</f>
        <v>2027</v>
      </c>
      <c r="AC46" s="117"/>
      <c r="AD46" s="151">
        <f t="shared" si="4"/>
        <v>134847.32608695651</v>
      </c>
      <c r="AF46" s="154">
        <f t="shared" si="19"/>
        <v>118.95046749937285</v>
      </c>
      <c r="AH46" s="154">
        <f t="shared" si="20"/>
        <v>23.826295432604393</v>
      </c>
      <c r="AJ46" s="154">
        <f t="shared" si="21"/>
        <v>2.4315215443778198</v>
      </c>
      <c r="AL46" s="153">
        <f t="shared" si="15"/>
        <v>4262.562591774823</v>
      </c>
      <c r="AN46" s="154">
        <f>INDEX('(2.2)_Forward_Price_Curve'!$K:$K,MATCH($AB46,'(2.2)_Forward_Price_Curve'!$C:$C,0),1)</f>
        <v>4.4573125000000005</v>
      </c>
      <c r="AP46" s="154">
        <f t="shared" si="5"/>
        <v>32.386927702343002</v>
      </c>
      <c r="AR46" s="154">
        <f t="shared" si="18"/>
        <v>2.743841799433604</v>
      </c>
      <c r="AS46" s="154"/>
      <c r="AT46" s="153">
        <f t="shared" si="6"/>
        <v>2464.510624888012</v>
      </c>
      <c r="AV46" s="153">
        <f t="shared" si="7"/>
        <v>4737.290330691776</v>
      </c>
      <c r="AW46" s="273"/>
      <c r="AX46" s="155">
        <f t="shared" si="8"/>
        <v>7201.800955579788</v>
      </c>
      <c r="AZ46" s="384">
        <f>+IF(AZ45&gt;$I$13+$I$14,XX,AZ45+1)</f>
        <v>2027</v>
      </c>
      <c r="BA46" s="117"/>
      <c r="BB46" s="154">
        <f t="shared" si="16"/>
        <v>56.634590511691201</v>
      </c>
      <c r="BD46" s="154">
        <f t="shared" si="17"/>
        <v>8.6109041530856647</v>
      </c>
      <c r="BF46" s="153">
        <f t="shared" si="9"/>
        <v>1798.0519668868112</v>
      </c>
      <c r="BH46" s="157"/>
    </row>
    <row r="47" spans="2:60" ht="12">
      <c r="B47" s="2"/>
      <c r="C47" s="354">
        <f>+IF(C46&gt;$I$13+$I$14,XX,C46+1)</f>
        <v>2028</v>
      </c>
      <c r="E47" s="356">
        <f>'(2.2)_Forward_Price_Curve'!S41</f>
        <v>2.1999999999999999E-2</v>
      </c>
      <c r="G47" s="470">
        <v>134848.32608695651</v>
      </c>
      <c r="I47" s="360">
        <v>366.33713602386064</v>
      </c>
      <c r="K47" s="471">
        <v>16.682414955538515</v>
      </c>
      <c r="M47" s="28">
        <f t="shared" si="11"/>
        <v>0</v>
      </c>
      <c r="O47" s="471">
        <v>0.75000000000000011</v>
      </c>
      <c r="Q47" s="471">
        <v>-39.78093962579397</v>
      </c>
      <c r="S47" s="18">
        <f t="shared" si="0"/>
        <v>11273.487162633564</v>
      </c>
      <c r="U47" s="18">
        <f t="shared" si="1"/>
        <v>7417.3341246321816</v>
      </c>
      <c r="W47" s="18">
        <f t="shared" si="2"/>
        <v>3856.1530380013828</v>
      </c>
      <c r="Y47" s="271">
        <f t="shared" si="3"/>
        <v>28.596224735594824</v>
      </c>
      <c r="Z47" s="235"/>
      <c r="AB47" s="378">
        <f>+IF(AB46&gt;$I$13+$I$14,XX,AB46+1)</f>
        <v>2028</v>
      </c>
      <c r="AC47" s="117"/>
      <c r="AD47" s="151">
        <f t="shared" si="4"/>
        <v>134848.32608695651</v>
      </c>
      <c r="AF47" s="154">
        <f t="shared" si="19"/>
        <v>121.56737778435905</v>
      </c>
      <c r="AH47" s="154">
        <f t="shared" si="20"/>
        <v>24.350473932121691</v>
      </c>
      <c r="AJ47" s="154">
        <f t="shared" si="21"/>
        <v>2.4850150183541317</v>
      </c>
      <c r="AL47" s="153">
        <f t="shared" si="15"/>
        <v>4356.3414538088891</v>
      </c>
      <c r="AN47" s="154">
        <f>INDEX('(2.2)_Forward_Price_Curve'!$K:$K,MATCH($AB47,'(2.2)_Forward_Price_Curve'!$C:$C,0),1)</f>
        <v>4.6136041666666676</v>
      </c>
      <c r="AP47" s="154">
        <f t="shared" si="5"/>
        <v>33.522546286144795</v>
      </c>
      <c r="AR47" s="154">
        <f t="shared" si="18"/>
        <v>2.8042063190211435</v>
      </c>
      <c r="AS47" s="154"/>
      <c r="AT47" s="153">
        <f t="shared" si="6"/>
        <v>2518.7323436505681</v>
      </c>
      <c r="AV47" s="153">
        <f t="shared" si="7"/>
        <v>4898.601780981613</v>
      </c>
      <c r="AW47" s="273"/>
      <c r="AX47" s="155">
        <f t="shared" si="8"/>
        <v>7417.3341246321816</v>
      </c>
      <c r="AZ47" s="384">
        <f>+IF(AZ46&gt;$I$13+$I$14,XX,AZ46+1)</f>
        <v>2028</v>
      </c>
      <c r="BA47" s="117"/>
      <c r="BB47" s="154">
        <f t="shared" si="16"/>
        <v>57.880551502948407</v>
      </c>
      <c r="BD47" s="154">
        <f t="shared" si="17"/>
        <v>8.8003440444535492</v>
      </c>
      <c r="BF47" s="153">
        <f t="shared" si="9"/>
        <v>1837.6091101583211</v>
      </c>
      <c r="BH47" s="157"/>
    </row>
    <row r="48" spans="2:60" ht="12">
      <c r="B48" s="2"/>
      <c r="C48" s="354">
        <f>+IF(C47&gt;$I$13+$I$14,XX,C47+1)</f>
        <v>2029</v>
      </c>
      <c r="E48" s="356">
        <f>'(2.2)_Forward_Price_Curve'!S42</f>
        <v>2.1999999999999999E-2</v>
      </c>
      <c r="G48" s="470">
        <v>134847.32608695651</v>
      </c>
      <c r="I48" s="360">
        <v>374.23305348540669</v>
      </c>
      <c r="K48" s="471">
        <v>16.986208113130484</v>
      </c>
      <c r="M48" s="28">
        <f t="shared" si="11"/>
        <v>0</v>
      </c>
      <c r="O48" s="471">
        <v>0.76999999999999991</v>
      </c>
      <c r="Q48" s="471">
        <v>-39.78093962579397</v>
      </c>
      <c r="S48" s="18">
        <f t="shared" si="0"/>
        <v>11625.112933665059</v>
      </c>
      <c r="U48" s="18">
        <f t="shared" si="1"/>
        <v>7618.7500798582168</v>
      </c>
      <c r="W48" s="18">
        <f t="shared" si="2"/>
        <v>4006.3628538068424</v>
      </c>
      <c r="Y48" s="271">
        <f t="shared" si="3"/>
        <v>29.710361859332185</v>
      </c>
      <c r="Z48" s="235"/>
      <c r="AB48" s="378">
        <f>+IF(AB47&gt;$I$13+$I$14,XX,AB47+1)</f>
        <v>2029</v>
      </c>
      <c r="AC48" s="117"/>
      <c r="AD48" s="151">
        <f t="shared" si="4"/>
        <v>134847.32608695651</v>
      </c>
      <c r="AF48" s="154">
        <f t="shared" si="19"/>
        <v>124.24186009561495</v>
      </c>
      <c r="AH48" s="154">
        <f t="shared" si="20"/>
        <v>24.88618435862837</v>
      </c>
      <c r="AJ48" s="154">
        <f t="shared" si="21"/>
        <v>2.5396853487579225</v>
      </c>
      <c r="AL48" s="153">
        <f t="shared" si="15"/>
        <v>4452.1784261073353</v>
      </c>
      <c r="AN48" s="154">
        <f>INDEX('(2.2)_Forward_Price_Curve'!$K:$K,MATCH($AB48,'(2.2)_Forward_Price_Curve'!$C:$C,0),1)</f>
        <v>4.7541666666666673</v>
      </c>
      <c r="AP48" s="154">
        <f t="shared" si="5"/>
        <v>34.543876409433338</v>
      </c>
      <c r="AR48" s="154">
        <f t="shared" si="18"/>
        <v>2.8658988580396088</v>
      </c>
      <c r="AS48" s="154"/>
      <c r="AT48" s="153">
        <f t="shared" si="6"/>
        <v>2574.1419155255312</v>
      </c>
      <c r="AV48" s="153">
        <f t="shared" si="7"/>
        <v>5044.6081643326852</v>
      </c>
      <c r="AW48" s="273"/>
      <c r="AX48" s="155">
        <f t="shared" si="8"/>
        <v>7618.7500798582168</v>
      </c>
      <c r="AZ48" s="384">
        <f>+IF(AZ47&gt;$I$13+$I$14,XX,AZ47+1)</f>
        <v>2029</v>
      </c>
      <c r="BA48" s="117"/>
      <c r="BB48" s="154">
        <f t="shared" si="16"/>
        <v>59.153923636013275</v>
      </c>
      <c r="BD48" s="154">
        <f t="shared" si="17"/>
        <v>8.9939516134315269</v>
      </c>
      <c r="BF48" s="153">
        <f t="shared" si="9"/>
        <v>1878.0365105818041</v>
      </c>
      <c r="BH48" s="157"/>
    </row>
    <row r="49" spans="2:60" ht="12">
      <c r="B49" s="2"/>
      <c r="C49" s="354">
        <f>+IF(C48&gt;$I$13+$I$14,XX,C48+1)</f>
        <v>2030</v>
      </c>
      <c r="E49" s="356">
        <f>'(2.2)_Forward_Price_Curve'!S43</f>
        <v>2.1999999999999999E-2</v>
      </c>
      <c r="G49" s="470">
        <v>134847.32608695651</v>
      </c>
      <c r="I49" s="360">
        <v>382.38792823476797</v>
      </c>
      <c r="K49" s="471">
        <v>17.359904691619363</v>
      </c>
      <c r="M49" s="28">
        <f t="shared" si="11"/>
        <v>0</v>
      </c>
      <c r="O49" s="471">
        <v>0.78</v>
      </c>
      <c r="Q49" s="471">
        <v>0</v>
      </c>
      <c r="S49" s="18">
        <f t="shared" si="0"/>
        <v>17359.246844293059</v>
      </c>
      <c r="U49" s="18">
        <f t="shared" si="1"/>
        <v>7976.2199315613152</v>
      </c>
      <c r="W49" s="18">
        <f t="shared" si="2"/>
        <v>9383.0269127317442</v>
      </c>
      <c r="Y49" s="271">
        <f t="shared" si="3"/>
        <v>69.582595257996331</v>
      </c>
      <c r="Z49" s="235"/>
      <c r="AB49" s="378">
        <f>+IF(AB48&gt;$I$13+$I$14,XX,AB48+1)</f>
        <v>2030</v>
      </c>
      <c r="AC49" s="117"/>
      <c r="AD49" s="151">
        <f t="shared" si="4"/>
        <v>134847.32608695651</v>
      </c>
      <c r="AF49" s="154">
        <f t="shared" si="19"/>
        <v>126.97518101771848</v>
      </c>
      <c r="AH49" s="154">
        <f t="shared" si="20"/>
        <v>25.433680414518193</v>
      </c>
      <c r="AJ49" s="154">
        <f t="shared" si="21"/>
        <v>2.5955584264305966</v>
      </c>
      <c r="AL49" s="153">
        <f t="shared" si="15"/>
        <v>4550.1263514816974</v>
      </c>
      <c r="AN49" s="154">
        <f>INDEX('(2.2)_Forward_Price_Curve'!$K:$K,MATCH($AB49,'(2.2)_Forward_Price_Curve'!$C:$C,0),1)</f>
        <v>5.052529166666667</v>
      </c>
      <c r="AP49" s="154">
        <f t="shared" si="5"/>
        <v>36.711784698697393</v>
      </c>
      <c r="AR49" s="154">
        <f t="shared" si="18"/>
        <v>2.9289486329164802</v>
      </c>
      <c r="AS49" s="154"/>
      <c r="AT49" s="153">
        <f t="shared" si="6"/>
        <v>2630.7730376670934</v>
      </c>
      <c r="AV49" s="153">
        <f t="shared" si="7"/>
        <v>5345.4468938942218</v>
      </c>
      <c r="AW49" s="273"/>
      <c r="AX49" s="155">
        <f t="shared" si="8"/>
        <v>7976.2199315613152</v>
      </c>
      <c r="AZ49" s="384">
        <f>+IF(AZ48&gt;$I$13+$I$14,XX,AZ48+1)</f>
        <v>2030</v>
      </c>
      <c r="BA49" s="117"/>
      <c r="BB49" s="154">
        <f t="shared" si="16"/>
        <v>60.455309956005571</v>
      </c>
      <c r="BD49" s="154">
        <f t="shared" si="17"/>
        <v>9.1918185489270208</v>
      </c>
      <c r="BF49" s="153">
        <f t="shared" si="9"/>
        <v>1919.353313814604</v>
      </c>
      <c r="BH49" s="157"/>
    </row>
    <row r="50" spans="2:60" ht="12">
      <c r="B50" s="2"/>
      <c r="C50" s="354">
        <f>+IF(C49&gt;$I$13+$I$14,XX,C49+1)</f>
        <v>2031</v>
      </c>
      <c r="E50" s="356">
        <f>'(2.2)_Forward_Price_Curve'!S44</f>
        <v>2.1999999999999999E-2</v>
      </c>
      <c r="G50" s="470">
        <v>134847.32608695651</v>
      </c>
      <c r="I50" s="360">
        <v>390.62059853986057</v>
      </c>
      <c r="K50" s="471">
        <v>17.741822594834986</v>
      </c>
      <c r="M50" s="28">
        <f t="shared" si="11"/>
        <v>0</v>
      </c>
      <c r="O50" s="471">
        <v>0.8</v>
      </c>
      <c r="Q50" s="471">
        <v>0</v>
      </c>
      <c r="S50" s="18">
        <f t="shared" si="0"/>
        <v>17734.518540746772</v>
      </c>
      <c r="U50" s="18">
        <f t="shared" si="1"/>
        <v>8177.3620952811243</v>
      </c>
      <c r="W50" s="18">
        <f t="shared" si="2"/>
        <v>9557.1564454656473</v>
      </c>
      <c r="Y50" s="271">
        <f t="shared" si="3"/>
        <v>70.873904012769955</v>
      </c>
      <c r="Z50" s="235"/>
      <c r="AB50" s="378">
        <f>+IF(AB49&gt;$I$13+$I$14,XX,AB49+1)</f>
        <v>2031</v>
      </c>
      <c r="AC50" s="117"/>
      <c r="AD50" s="151">
        <f t="shared" si="4"/>
        <v>134847.32608695651</v>
      </c>
      <c r="AF50" s="154">
        <f t="shared" si="19"/>
        <v>129.7686350001083</v>
      </c>
      <c r="AH50" s="154">
        <f t="shared" si="20"/>
        <v>25.993221383637593</v>
      </c>
      <c r="AJ50" s="154">
        <f t="shared" si="21"/>
        <v>2.6526607118120697</v>
      </c>
      <c r="AL50" s="153">
        <f t="shared" si="15"/>
        <v>4650.2291312142943</v>
      </c>
      <c r="AN50" s="154">
        <f>INDEX('(2.2)_Forward_Price_Curve'!$K:$K,MATCH($AB50,'(2.2)_Forward_Price_Curve'!$C:$C,0),1)</f>
        <v>5.1898791666666666</v>
      </c>
      <c r="AP50" s="154">
        <f t="shared" si="5"/>
        <v>37.709772728461253</v>
      </c>
      <c r="AR50" s="154">
        <f t="shared" si="18"/>
        <v>2.9933855028406429</v>
      </c>
      <c r="AS50" s="154"/>
      <c r="AT50" s="153">
        <f t="shared" si="6"/>
        <v>2688.6500444957692</v>
      </c>
      <c r="AV50" s="153">
        <f t="shared" si="7"/>
        <v>5488.7120507853551</v>
      </c>
      <c r="AW50" s="273"/>
      <c r="AX50" s="155">
        <f t="shared" si="8"/>
        <v>8177.3620952811243</v>
      </c>
      <c r="AZ50" s="384">
        <f>+IF(AZ49&gt;$I$13+$I$14,XX,AZ49+1)</f>
        <v>2031</v>
      </c>
      <c r="BA50" s="117"/>
      <c r="BB50" s="154">
        <f t="shared" si="16"/>
        <v>61.785326775037696</v>
      </c>
      <c r="BD50" s="154">
        <f t="shared" si="17"/>
        <v>9.3940385570034159</v>
      </c>
      <c r="BF50" s="153">
        <f t="shared" si="9"/>
        <v>1961.5790867185253</v>
      </c>
      <c r="BH50" s="157"/>
    </row>
    <row r="51" spans="2:60" ht="12">
      <c r="B51" s="2"/>
      <c r="C51" s="354">
        <f>+IF(C50&gt;$I$13+$I$14,XX,C50+1)</f>
        <v>2032</v>
      </c>
      <c r="E51" s="356">
        <f>'(2.2)_Forward_Price_Curve'!S45</f>
        <v>2.1999999999999999E-2</v>
      </c>
      <c r="G51" s="470">
        <v>134848.32608695651</v>
      </c>
      <c r="I51" s="360">
        <v>398.87692747494418</v>
      </c>
      <c r="K51" s="471">
        <v>18.1818197951869</v>
      </c>
      <c r="M51" s="28">
        <f t="shared" si="11"/>
        <v>0</v>
      </c>
      <c r="O51" s="471">
        <v>0.82</v>
      </c>
      <c r="Q51" s="471">
        <v>0</v>
      </c>
      <c r="S51" s="18">
        <f t="shared" si="0"/>
        <v>18118.563763509774</v>
      </c>
      <c r="U51" s="18">
        <f t="shared" si="1"/>
        <v>8385.3613262676372</v>
      </c>
      <c r="W51" s="18">
        <f t="shared" si="2"/>
        <v>9733.2024372421365</v>
      </c>
      <c r="Y51" s="271">
        <f t="shared" si="3"/>
        <v>72.178889569350034</v>
      </c>
      <c r="Z51" s="235"/>
      <c r="AB51" s="378">
        <f>+IF(AB50&gt;$I$13+$I$14,XX,AB50+1)</f>
        <v>2032</v>
      </c>
      <c r="AC51" s="117"/>
      <c r="AD51" s="151">
        <f t="shared" si="4"/>
        <v>134848.32608695651</v>
      </c>
      <c r="AF51" s="154">
        <f t="shared" si="19"/>
        <v>132.62354497011069</v>
      </c>
      <c r="AH51" s="154">
        <f t="shared" si="20"/>
        <v>26.56507225407762</v>
      </c>
      <c r="AJ51" s="154">
        <f t="shared" si="21"/>
        <v>2.7110192474719352</v>
      </c>
      <c r="AL51" s="153">
        <f t="shared" si="15"/>
        <v>4752.5368831202577</v>
      </c>
      <c r="AN51" s="154">
        <f>INDEX('(2.2)_Forward_Price_Curve'!$K:$K,MATCH($AB51,'(2.2)_Forward_Price_Curve'!$C:$C,0),1)</f>
        <v>5.3326874999999996</v>
      </c>
      <c r="AP51" s="154">
        <f t="shared" si="5"/>
        <v>38.747421124654863</v>
      </c>
      <c r="AR51" s="154">
        <f t="shared" si="18"/>
        <v>3.059239983903137</v>
      </c>
      <c r="AS51" s="154"/>
      <c r="AT51" s="153">
        <f t="shared" si="6"/>
        <v>2747.8030564939254</v>
      </c>
      <c r="AV51" s="153">
        <f t="shared" si="7"/>
        <v>5637.5582697737127</v>
      </c>
      <c r="AW51" s="273"/>
      <c r="AX51" s="155">
        <f t="shared" si="8"/>
        <v>8385.3613262676372</v>
      </c>
      <c r="AZ51" s="384">
        <f>+IF(AZ50&gt;$I$13+$I$14,XX,AZ50+1)</f>
        <v>2032</v>
      </c>
      <c r="BA51" s="117"/>
      <c r="BB51" s="154">
        <f t="shared" si="16"/>
        <v>63.144603964088525</v>
      </c>
      <c r="BD51" s="154">
        <f t="shared" si="17"/>
        <v>9.6007074052574914</v>
      </c>
      <c r="BF51" s="153">
        <f t="shared" si="9"/>
        <v>2004.7338266263325</v>
      </c>
      <c r="BH51" s="157"/>
    </row>
    <row r="52" spans="2:60" ht="12">
      <c r="B52" s="2"/>
      <c r="C52" s="354">
        <f>+IF(C51&gt;$I$13+$I$14,XX,C51+1)</f>
        <v>2033</v>
      </c>
      <c r="E52" s="356">
        <f>'(2.2)_Forward_Price_Curve'!S46</f>
        <v>2.1999999999999999E-2</v>
      </c>
      <c r="G52" s="470">
        <v>134847.32608695651</v>
      </c>
      <c r="I52" s="360">
        <v>407.21767892013338</v>
      </c>
      <c r="K52" s="471">
        <v>18.531049831143626</v>
      </c>
      <c r="M52" s="28">
        <f t="shared" si="11"/>
        <v>0</v>
      </c>
      <c r="O52" s="471">
        <v>0.84000000000000008</v>
      </c>
      <c r="Q52" s="471">
        <v>0</v>
      </c>
      <c r="S52" s="18">
        <f t="shared" si="0"/>
        <v>18493.623751112111</v>
      </c>
      <c r="U52" s="18">
        <f t="shared" si="1"/>
        <v>8635.2789893137524</v>
      </c>
      <c r="W52" s="18">
        <f t="shared" si="2"/>
        <v>9858.3447617983584</v>
      </c>
      <c r="Y52" s="271">
        <f t="shared" si="3"/>
        <v>73.107454540412533</v>
      </c>
      <c r="Z52" s="235"/>
      <c r="AB52" s="378">
        <f>+IF(AB51&gt;$I$13+$I$14,XX,AB51+1)</f>
        <v>2033</v>
      </c>
      <c r="AC52" s="117"/>
      <c r="AD52" s="151">
        <f t="shared" si="4"/>
        <v>134847.32608695651</v>
      </c>
      <c r="AF52" s="154">
        <f t="shared" si="19"/>
        <v>135.54126295945312</v>
      </c>
      <c r="AH52" s="154">
        <f t="shared" si="20"/>
        <v>27.149503843667329</v>
      </c>
      <c r="AJ52" s="154">
        <f t="shared" si="21"/>
        <v>2.7706616709163177</v>
      </c>
      <c r="AL52" s="153">
        <f t="shared" si="15"/>
        <v>4857.0899238872307</v>
      </c>
      <c r="AN52" s="154">
        <f>INDEX('(2.2)_Forward_Price_Curve'!$K:$K,MATCH($AB52,'(2.2)_Forward_Price_Curve'!$C:$C,0),1)</f>
        <v>5.5168416666666671</v>
      </c>
      <c r="AP52" s="154">
        <f t="shared" si="5"/>
        <v>40.085489227781714</v>
      </c>
      <c r="AR52" s="154">
        <f t="shared" si="18"/>
        <v>3.126543263549006</v>
      </c>
      <c r="AS52" s="154"/>
      <c r="AT52" s="153">
        <f t="shared" si="6"/>
        <v>2808.2519530751188</v>
      </c>
      <c r="AV52" s="153">
        <f t="shared" si="7"/>
        <v>5827.0270362386327</v>
      </c>
      <c r="AW52" s="273"/>
      <c r="AX52" s="155">
        <f t="shared" si="8"/>
        <v>8635.2789893137524</v>
      </c>
      <c r="AZ52" s="384">
        <f>+IF(AZ51&gt;$I$13+$I$14,XX,AZ51+1)</f>
        <v>2033</v>
      </c>
      <c r="BA52" s="117"/>
      <c r="BB52" s="154">
        <f t="shared" si="16"/>
        <v>64.533785251298468</v>
      </c>
      <c r="BD52" s="154">
        <f t="shared" si="17"/>
        <v>9.8119229681731568</v>
      </c>
      <c r="BF52" s="153">
        <f t="shared" si="9"/>
        <v>2048.837970812112</v>
      </c>
      <c r="BH52" s="157"/>
    </row>
    <row r="53" spans="2:60" ht="12">
      <c r="B53" s="2"/>
      <c r="C53" s="354">
        <f>+IF(C52&gt;$I$13+$I$14,XX,C52+1)</f>
        <v>2034</v>
      </c>
      <c r="E53" s="356">
        <f>'(2.2)_Forward_Price_Curve'!S47</f>
        <v>2.1999999999999999E-2</v>
      </c>
      <c r="G53" s="470">
        <v>134847.32608695651</v>
      </c>
      <c r="I53" s="360">
        <v>106.37462484796858</v>
      </c>
      <c r="K53" s="471">
        <v>18.938732927428788</v>
      </c>
      <c r="M53" s="28">
        <f t="shared" si="11"/>
        <v>0</v>
      </c>
      <c r="O53" s="471">
        <v>0.85999999999999988</v>
      </c>
      <c r="Q53" s="471">
        <v>0</v>
      </c>
      <c r="S53" s="18">
        <f t="shared" si="0"/>
        <v>6818.4165642443259</v>
      </c>
      <c r="U53" s="18">
        <f t="shared" si="1"/>
        <v>8874.3272650318249</v>
      </c>
      <c r="W53" s="18">
        <f t="shared" si="2"/>
        <v>-2055.9107007874991</v>
      </c>
      <c r="Y53" s="271">
        <f t="shared" si="3"/>
        <v>-15.246210365800964</v>
      </c>
      <c r="Z53" s="235"/>
      <c r="AB53" s="378">
        <f>+IF(AB52&gt;$I$13+$I$14,XX,AB52+1)</f>
        <v>2034</v>
      </c>
      <c r="AC53" s="117"/>
      <c r="AD53" s="151">
        <f t="shared" si="4"/>
        <v>134847.32608695651</v>
      </c>
      <c r="AF53" s="154">
        <f t="shared" si="19"/>
        <v>138.5231707445611</v>
      </c>
      <c r="AH53" s="154">
        <f t="shared" si="20"/>
        <v>27.746792928228011</v>
      </c>
      <c r="AJ53" s="154">
        <f t="shared" si="21"/>
        <v>2.8316162276764767</v>
      </c>
      <c r="AL53" s="153">
        <f t="shared" si="15"/>
        <v>4963.9459022127503</v>
      </c>
      <c r="AN53" s="154">
        <f>INDEX('(2.2)_Forward_Price_Curve'!$K:$K,MATCH($AB53,'(2.2)_Forward_Price_Curve'!$C:$C,0),1)</f>
        <v>5.688295833333334</v>
      </c>
      <c r="AP53" s="154">
        <f t="shared" si="5"/>
        <v>41.331278860009391</v>
      </c>
      <c r="AR53" s="154">
        <f t="shared" si="18"/>
        <v>3.1953272153470844</v>
      </c>
      <c r="AS53" s="154"/>
      <c r="AT53" s="153">
        <f t="shared" si="6"/>
        <v>2870.0334960427713</v>
      </c>
      <c r="AV53" s="153">
        <f t="shared" si="7"/>
        <v>6004.2937689890532</v>
      </c>
      <c r="AW53" s="273"/>
      <c r="AX53" s="155">
        <f t="shared" si="8"/>
        <v>8874.3272650318249</v>
      </c>
      <c r="AZ53" s="384">
        <f>+IF(AZ52&gt;$I$13+$I$14,XX,AZ52+1)</f>
        <v>2034</v>
      </c>
      <c r="BA53" s="117"/>
      <c r="BB53" s="154">
        <f t="shared" si="16"/>
        <v>65.953528526827043</v>
      </c>
      <c r="BD53" s="154">
        <f t="shared" si="17"/>
        <v>10.027785273472967</v>
      </c>
      <c r="BF53" s="153">
        <f t="shared" si="9"/>
        <v>2093.912406169979</v>
      </c>
      <c r="BH53" s="157"/>
    </row>
    <row r="54" spans="2:60" ht="12">
      <c r="B54" s="2"/>
      <c r="C54" s="354">
        <f>+IF(C53&gt;$I$13+$I$14,XX,C53+1)</f>
        <v>2035</v>
      </c>
      <c r="E54" s="356">
        <f>'(2.2)_Forward_Price_Curve'!S48</f>
        <v>2.1999999999999999E-2</v>
      </c>
      <c r="G54" s="470">
        <v>134847.32608695651</v>
      </c>
      <c r="I54" s="360">
        <v>108.39574272007999</v>
      </c>
      <c r="K54" s="471">
        <v>19.355385051832222</v>
      </c>
      <c r="M54" s="28">
        <f t="shared" si="11"/>
        <v>0</v>
      </c>
      <c r="O54" s="471">
        <v>0.86999999999999988</v>
      </c>
      <c r="Q54" s="471">
        <v>0</v>
      </c>
      <c r="S54" s="18">
        <f t="shared" si="0"/>
        <v>6954.7730594017958</v>
      </c>
      <c r="U54" s="18">
        <f t="shared" si="1"/>
        <v>9101.4664932174346</v>
      </c>
      <c r="W54" s="18">
        <f t="shared" si="2"/>
        <v>-2146.6934338156389</v>
      </c>
      <c r="Y54" s="271">
        <f t="shared" si="3"/>
        <v>-15.919436418274548</v>
      </c>
      <c r="Z54" s="235"/>
      <c r="AB54" s="378">
        <f>+IF(AB53&gt;$I$13+$I$14,XX,AB53+1)</f>
        <v>2035</v>
      </c>
      <c r="AC54" s="117"/>
      <c r="AD54" s="151">
        <f t="shared" si="4"/>
        <v>134847.32608695651</v>
      </c>
      <c r="AF54" s="154">
        <f t="shared" si="19"/>
        <v>141.57068050094145</v>
      </c>
      <c r="AH54" s="154">
        <f t="shared" si="20"/>
        <v>28.357222372649026</v>
      </c>
      <c r="AJ54" s="154">
        <f t="shared" si="21"/>
        <v>2.893911784685359</v>
      </c>
      <c r="AL54" s="153">
        <f t="shared" si="15"/>
        <v>5073.152712061431</v>
      </c>
      <c r="AN54" s="154">
        <f>INDEX('(2.2)_Forward_Price_Curve'!$K:$K,MATCH($AB54,'(2.2)_Forward_Price_Curve'!$C:$C,0),1)</f>
        <v>5.846000000000001</v>
      </c>
      <c r="AP54" s="154">
        <f t="shared" si="5"/>
        <v>42.477160698940715</v>
      </c>
      <c r="AR54" s="154">
        <f t="shared" si="18"/>
        <v>3.2656244140847202</v>
      </c>
      <c r="AS54" s="154"/>
      <c r="AT54" s="153">
        <f t="shared" si="6"/>
        <v>2933.1742329557128</v>
      </c>
      <c r="AV54" s="153">
        <f t="shared" si="7"/>
        <v>6168.2922602617209</v>
      </c>
      <c r="AW54" s="273"/>
      <c r="AX54" s="155">
        <f t="shared" si="8"/>
        <v>9101.4664932174346</v>
      </c>
      <c r="AZ54" s="384">
        <f>+IF(AZ53&gt;$I$13+$I$14,XX,AZ53+1)</f>
        <v>2035</v>
      </c>
      <c r="BA54" s="117"/>
      <c r="BB54" s="154">
        <f t="shared" si="16"/>
        <v>67.404506154417234</v>
      </c>
      <c r="BD54" s="154">
        <f t="shared" si="17"/>
        <v>10.248396549489373</v>
      </c>
      <c r="BF54" s="153">
        <f t="shared" si="9"/>
        <v>2139.9784791057182</v>
      </c>
      <c r="BH54" s="157"/>
    </row>
    <row r="55" spans="2:60" ht="12">
      <c r="B55" s="2"/>
      <c r="C55" s="354">
        <f>+IF(C54&gt;$I$13+$I$14,XX,C54+1)</f>
        <v>2036</v>
      </c>
      <c r="E55" s="356">
        <f>'(2.2)_Forward_Price_Curve'!S49</f>
        <v>2.1999999999999999E-2</v>
      </c>
      <c r="G55" s="470">
        <v>134848.32608695651</v>
      </c>
      <c r="I55" s="360">
        <v>110.45526183176149</v>
      </c>
      <c r="K55" s="471">
        <v>19.83539860111766</v>
      </c>
      <c r="M55" s="28">
        <f t="shared" si="11"/>
        <v>0</v>
      </c>
      <c r="O55" s="471">
        <v>0.89000000000000024</v>
      </c>
      <c r="Q55" s="471">
        <v>0</v>
      </c>
      <c r="S55" s="18">
        <f t="shared" si="0"/>
        <v>7102.540520284364</v>
      </c>
      <c r="U55" s="18">
        <f t="shared" si="1"/>
        <v>9396.9294081434891</v>
      </c>
      <c r="W55" s="18">
        <f t="shared" si="2"/>
        <v>-2294.3888878591251</v>
      </c>
      <c r="Y55" s="271">
        <f t="shared" si="3"/>
        <v>-17.014589312585134</v>
      </c>
      <c r="Z55" s="235"/>
      <c r="AB55" s="378">
        <f>+IF(AB54&gt;$I$13+$I$14,XX,AB54+1)</f>
        <v>2036</v>
      </c>
      <c r="AC55" s="117"/>
      <c r="AD55" s="151">
        <f t="shared" si="4"/>
        <v>134848.32608695651</v>
      </c>
      <c r="AF55" s="154">
        <f t="shared" si="19"/>
        <v>144.68523547196216</v>
      </c>
      <c r="AH55" s="154">
        <f t="shared" si="20"/>
        <v>28.981081264847305</v>
      </c>
      <c r="AJ55" s="154">
        <f t="shared" si="21"/>
        <v>2.957577843948437</v>
      </c>
      <c r="AL55" s="153">
        <f t="shared" si="15"/>
        <v>5184.7650293046263</v>
      </c>
      <c r="AN55" s="154">
        <f>INDEX('(2.2)_Forward_Price_Curve'!$K:$K,MATCH($AB55,'(2.2)_Forward_Price_Curve'!$C:$C,0),1)</f>
        <v>6.0717541666666675</v>
      </c>
      <c r="AP55" s="154">
        <f t="shared" si="5"/>
        <v>44.117495289422315</v>
      </c>
      <c r="AR55" s="154">
        <f t="shared" si="18"/>
        <v>3.3374681511945838</v>
      </c>
      <c r="AS55" s="154"/>
      <c r="AT55" s="153">
        <f t="shared" si="6"/>
        <v>2997.7070236585823</v>
      </c>
      <c r="AV55" s="153">
        <f t="shared" si="7"/>
        <v>6399.2223844849077</v>
      </c>
      <c r="AW55" s="273"/>
      <c r="AX55" s="155">
        <f t="shared" si="8"/>
        <v>9396.9294081434891</v>
      </c>
      <c r="AZ55" s="384">
        <f>+IF(AZ54&gt;$I$13+$I$14,XX,AZ54+1)</f>
        <v>2036</v>
      </c>
      <c r="BA55" s="117"/>
      <c r="BB55" s="154">
        <f t="shared" si="16"/>
        <v>68.88740528981441</v>
      </c>
      <c r="BD55" s="154">
        <f t="shared" si="17"/>
        <v>10.473861273578139</v>
      </c>
      <c r="BF55" s="153">
        <f t="shared" si="9"/>
        <v>2187.058005646044</v>
      </c>
      <c r="BH55" s="157"/>
    </row>
    <row r="56" spans="2:60" ht="12">
      <c r="B56" s="2"/>
      <c r="C56" s="354">
        <f>+IF(C55&gt;$I$13+$I$14,XX,C55+1)</f>
        <v>2037</v>
      </c>
      <c r="E56" s="356">
        <f>'(2.2)_Forward_Price_Curve'!S50</f>
        <v>2.1999999999999999E-2</v>
      </c>
      <c r="G56" s="470">
        <v>134848.32608695651</v>
      </c>
      <c r="I56" s="360">
        <v>112.55391180656498</v>
      </c>
      <c r="K56" s="471">
        <v>20.216390000477926</v>
      </c>
      <c r="M56" s="28">
        <f t="shared" si="11"/>
        <v>0</v>
      </c>
      <c r="O56" s="471">
        <v>0.91000000000000025</v>
      </c>
      <c r="Q56" s="471">
        <v>0</v>
      </c>
      <c r="S56" s="18">
        <f t="shared" si="0"/>
        <v>7238.4608882806988</v>
      </c>
      <c r="U56" s="18">
        <f t="shared" si="1"/>
        <v>9637.6822664762549</v>
      </c>
      <c r="W56" s="18">
        <f t="shared" si="2"/>
        <v>-2399.2213781955561</v>
      </c>
      <c r="Y56" s="271">
        <f t="shared" si="3"/>
        <v>-17.791999706755171</v>
      </c>
      <c r="Z56" s="235"/>
      <c r="AB56" s="378">
        <f>+IF(AB55&gt;$I$13+$I$14,XX,AB55+1)</f>
        <v>2037</v>
      </c>
      <c r="AC56" s="117"/>
      <c r="AD56" s="151">
        <f t="shared" si="4"/>
        <v>134848.32608695651</v>
      </c>
      <c r="AF56" s="154">
        <f t="shared" si="19"/>
        <v>147.86831065234534</v>
      </c>
      <c r="AH56" s="154">
        <f t="shared" si="20"/>
        <v>29.618665052673947</v>
      </c>
      <c r="AJ56" s="154">
        <f t="shared" si="21"/>
        <v>3.0226445565153028</v>
      </c>
      <c r="AL56" s="153">
        <f t="shared" si="15"/>
        <v>5298.8298599493291</v>
      </c>
      <c r="AN56" s="154">
        <f>INDEX('(2.2)_Forward_Price_Curve'!$K:$K,MATCH($AB56,'(2.2)_Forward_Price_Curve'!$C:$C,0),1)</f>
        <v>6.240054166666666</v>
      </c>
      <c r="AP56" s="154">
        <f t="shared" si="5"/>
        <v>45.340366679369573</v>
      </c>
      <c r="AR56" s="154">
        <f t="shared" si="18"/>
        <v>3.4108924505208646</v>
      </c>
      <c r="AS56" s="154"/>
      <c r="AT56" s="153">
        <f t="shared" si="6"/>
        <v>3063.6565781790723</v>
      </c>
      <c r="AV56" s="153">
        <f t="shared" si="7"/>
        <v>6574.0256882971817</v>
      </c>
      <c r="AW56" s="273"/>
      <c r="AX56" s="155">
        <f t="shared" si="8"/>
        <v>9637.6822664762549</v>
      </c>
      <c r="AZ56" s="384">
        <f>+IF(AZ55&gt;$I$13+$I$14,XX,AZ55+1)</f>
        <v>2037</v>
      </c>
      <c r="BA56" s="117"/>
      <c r="BB56" s="154">
        <f t="shared" si="16"/>
        <v>70.402928206190325</v>
      </c>
      <c r="BD56" s="154">
        <f t="shared" si="17"/>
        <v>10.704286221596858</v>
      </c>
      <c r="BF56" s="153">
        <f t="shared" si="9"/>
        <v>2235.1732817702568</v>
      </c>
      <c r="BH56" s="157"/>
    </row>
    <row r="57" spans="2:60" ht="12">
      <c r="B57" s="2"/>
      <c r="C57" s="354">
        <f>+IF(C56&gt;$I$13+$I$14,XX,C56+1)</f>
        <v>2038</v>
      </c>
      <c r="E57" s="356">
        <f>'(2.2)_Forward_Price_Curve'!S51</f>
        <v>2.1999999999999999E-2</v>
      </c>
      <c r="G57" s="470">
        <v>134848.32608695651</v>
      </c>
      <c r="I57" s="360">
        <v>114.6924361308897</v>
      </c>
      <c r="K57" s="471">
        <v>20.681366970488916</v>
      </c>
      <c r="M57" s="28">
        <f t="shared" si="11"/>
        <v>0</v>
      </c>
      <c r="O57" s="471">
        <v>0.92999999999999994</v>
      </c>
      <c r="Q57" s="471">
        <v>0</v>
      </c>
      <c r="S57" s="18">
        <f t="shared" si="0"/>
        <v>7387.2616695260704</v>
      </c>
      <c r="U57" s="18">
        <f t="shared" si="1"/>
        <v>10029.084074403941</v>
      </c>
      <c r="W57" s="18">
        <f t="shared" si="2"/>
        <v>-2641.8224048778711</v>
      </c>
      <c r="Y57" s="271">
        <f t="shared" si="3"/>
        <v>-19.59106561822874</v>
      </c>
      <c r="Z57" s="235"/>
      <c r="AB57" s="378">
        <f>+IF(AB56&gt;$I$13+$I$14,XX,AB56+1)</f>
        <v>2038</v>
      </c>
      <c r="AC57" s="117"/>
      <c r="AD57" s="151">
        <f t="shared" si="4"/>
        <v>134848.32608695651</v>
      </c>
      <c r="AF57" s="154">
        <f t="shared" si="19"/>
        <v>151.12141348669695</v>
      </c>
      <c r="AH57" s="154">
        <f t="shared" si="20"/>
        <v>30.270275683832775</v>
      </c>
      <c r="AJ57" s="154">
        <f t="shared" si="21"/>
        <v>3.0891427367586397</v>
      </c>
      <c r="AL57" s="153">
        <f t="shared" si="15"/>
        <v>5415.4041168682134</v>
      </c>
      <c r="AN57" s="154">
        <f>INDEX('(2.2)_Forward_Price_Curve'!$K:$K,MATCH($AB57,'(2.2)_Forward_Price_Curve'!$C:$C,0),1)</f>
        <v>6.5604041666666673</v>
      </c>
      <c r="AP57" s="154">
        <f t="shared" si="5"/>
        <v>47.66803661264116</v>
      </c>
      <c r="AR57" s="154">
        <f t="shared" si="18"/>
        <v>3.4859320844323238</v>
      </c>
      <c r="AS57" s="154"/>
      <c r="AT57" s="153">
        <f t="shared" si="6"/>
        <v>3131.0570228990109</v>
      </c>
      <c r="AV57" s="153">
        <f t="shared" si="7"/>
        <v>6898.0270515049306</v>
      </c>
      <c r="AW57" s="273"/>
      <c r="AX57" s="155">
        <f t="shared" si="8"/>
        <v>10029.084074403941</v>
      </c>
      <c r="AZ57" s="384">
        <f>+IF(AZ56&gt;$I$13+$I$14,XX,AZ56+1)</f>
        <v>2038</v>
      </c>
      <c r="BA57" s="117"/>
      <c r="BB57" s="154">
        <f t="shared" si="16"/>
        <v>71.951792626726515</v>
      </c>
      <c r="BD57" s="154">
        <f t="shared" si="17"/>
        <v>10.93978051847199</v>
      </c>
      <c r="BF57" s="153">
        <f t="shared" si="9"/>
        <v>2284.3470939692024</v>
      </c>
      <c r="BH57" s="157"/>
    </row>
    <row r="58" spans="2:60" ht="12">
      <c r="B58" s="2"/>
      <c r="C58" s="354">
        <f>+IF(C57&gt;$I$13+$I$14,XX,C57+1)</f>
        <v>2039</v>
      </c>
      <c r="E58" s="356">
        <f>'(2.2)_Forward_Price_Curve'!S52</f>
        <v>2.1999999999999999E-2</v>
      </c>
      <c r="G58" s="470">
        <v>134848.32608695651</v>
      </c>
      <c r="I58" s="360">
        <v>116.87159241737659</v>
      </c>
      <c r="K58" s="471">
        <v>21.157038410810159</v>
      </c>
      <c r="M58" s="28">
        <f t="shared" si="11"/>
        <v>0</v>
      </c>
      <c r="O58" s="471">
        <v>0.95999999999999985</v>
      </c>
      <c r="Q58" s="471">
        <v>0</v>
      </c>
      <c r="S58" s="18">
        <f t="shared" si="0"/>
        <v>7540.4377119763585</v>
      </c>
      <c r="U58" s="18">
        <f t="shared" si="1"/>
        <v>10315.877753597113</v>
      </c>
      <c r="W58" s="18">
        <f t="shared" si="2"/>
        <v>-2775.4400416207545</v>
      </c>
      <c r="Y58" s="271">
        <f t="shared" si="3"/>
        <v>-20.581939147179483</v>
      </c>
      <c r="Z58" s="235"/>
      <c r="AB58" s="378">
        <f>+IF(AB57&gt;$I$13+$I$14,XX,AB57+1)</f>
        <v>2039</v>
      </c>
      <c r="AC58" s="117"/>
      <c r="AD58" s="151">
        <f t="shared" si="4"/>
        <v>134848.32608695651</v>
      </c>
      <c r="AF58" s="154">
        <f t="shared" si="19"/>
        <v>154.44608458340429</v>
      </c>
      <c r="AH58" s="154">
        <f t="shared" si="20"/>
        <v>30.936221748877095</v>
      </c>
      <c r="AJ58" s="154">
        <f t="shared" si="21"/>
        <v>3.1571038769673296</v>
      </c>
      <c r="AL58" s="153">
        <f t="shared" si="15"/>
        <v>5534.5430074393153</v>
      </c>
      <c r="AN58" s="154">
        <f>INDEX('(2.2)_Forward_Price_Curve'!$K:$K,MATCH($AB58,'(2.2)_Forward_Price_Curve'!$C:$C,0),1)</f>
        <v>6.7722499999999988</v>
      </c>
      <c r="AP58" s="154">
        <f t="shared" si="5"/>
        <v>49.207312956449051</v>
      </c>
      <c r="AR58" s="154">
        <f t="shared" si="18"/>
        <v>3.562622590289835</v>
      </c>
      <c r="AS58" s="154"/>
      <c r="AT58" s="153">
        <f t="shared" si="6"/>
        <v>3199.9402774027903</v>
      </c>
      <c r="AV58" s="153">
        <f t="shared" si="7"/>
        <v>7115.9374761943227</v>
      </c>
      <c r="AW58" s="273"/>
      <c r="AX58" s="155">
        <f t="shared" si="8"/>
        <v>10315.877753597113</v>
      </c>
      <c r="AZ58" s="384">
        <f>+IF(AZ57&gt;$I$13+$I$14,XX,AZ57+1)</f>
        <v>2039</v>
      </c>
      <c r="BA58" s="117"/>
      <c r="BB58" s="154">
        <f t="shared" si="16"/>
        <v>73.5347320645145</v>
      </c>
      <c r="BD58" s="154">
        <f t="shared" si="17"/>
        <v>11.180455689878373</v>
      </c>
      <c r="BF58" s="153">
        <f t="shared" si="9"/>
        <v>2334.6027300365249</v>
      </c>
      <c r="BH58" s="157"/>
    </row>
    <row r="59" spans="2:60" ht="12">
      <c r="B59" s="2"/>
      <c r="C59" s="354">
        <f>+IF(C58&gt;$I$13+$I$14,XX,C58+1)</f>
        <v>2040</v>
      </c>
      <c r="E59" s="356">
        <f>'(2.2)_Forward_Price_Curve'!S53</f>
        <v>2.1999999999999999E-2</v>
      </c>
      <c r="G59" s="470">
        <v>134848.32608695651</v>
      </c>
      <c r="I59" s="360">
        <v>119.09215267330676</v>
      </c>
      <c r="K59" s="471">
        <v>21.702947966297856</v>
      </c>
      <c r="M59" s="28">
        <f t="shared" si="11"/>
        <v>0</v>
      </c>
      <c r="O59" s="471">
        <v>0.9800000000000002</v>
      </c>
      <c r="Q59" s="471">
        <v>0</v>
      </c>
      <c r="S59" s="18">
        <f t="shared" si="0"/>
        <v>7703.3515182317642</v>
      </c>
      <c r="U59" s="18">
        <f t="shared" si="1"/>
        <v>10694.246700729474</v>
      </c>
      <c r="W59" s="18">
        <f t="shared" si="2"/>
        <v>-2990.8951824977103</v>
      </c>
      <c r="Y59" s="271">
        <f t="shared" si="3"/>
        <v>-22.179698252754292</v>
      </c>
      <c r="Z59" s="235"/>
      <c r="AB59" s="378">
        <f>+IF(AB58&gt;$I$13+$I$14,XX,AB58+1)</f>
        <v>2040</v>
      </c>
      <c r="AC59" s="117"/>
      <c r="AD59" s="151">
        <f t="shared" si="4"/>
        <v>134848.32608695651</v>
      </c>
      <c r="AF59" s="154">
        <f t="shared" si="19"/>
        <v>157.84389844423919</v>
      </c>
      <c r="AH59" s="154">
        <f t="shared" si="20"/>
        <v>31.616818627352391</v>
      </c>
      <c r="AJ59" s="154">
        <f t="shared" si="21"/>
        <v>3.2265601622606108</v>
      </c>
      <c r="AL59" s="153">
        <f t="shared" si="15"/>
        <v>5656.3029536029799</v>
      </c>
      <c r="AN59" s="154">
        <f>INDEX('(2.2)_Forward_Price_Curve'!$K:$K,MATCH($AB59,'(2.2)_Forward_Price_Curve'!$C:$C,0),1)</f>
        <v>7.075779166666667</v>
      </c>
      <c r="AP59" s="154">
        <f t="shared" si="5"/>
        <v>51.412762355921451</v>
      </c>
      <c r="AR59" s="154">
        <f t="shared" si="18"/>
        <v>3.6410002872762113</v>
      </c>
      <c r="AS59" s="154"/>
      <c r="AT59" s="153">
        <f t="shared" si="6"/>
        <v>3270.338963505651</v>
      </c>
      <c r="AV59" s="153">
        <f t="shared" si="7"/>
        <v>7423.9077372238235</v>
      </c>
      <c r="AW59" s="273"/>
      <c r="AX59" s="155">
        <f t="shared" si="8"/>
        <v>10694.246700729474</v>
      </c>
      <c r="AZ59" s="384">
        <f>+IF(AZ58&gt;$I$13+$I$14,XX,AZ58+1)</f>
        <v>2040</v>
      </c>
      <c r="BA59" s="117"/>
      <c r="BB59" s="154">
        <f t="shared" si="16"/>
        <v>75.152496169933826</v>
      </c>
      <c r="BD59" s="154">
        <f t="shared" si="17"/>
        <v>11.426425715055698</v>
      </c>
      <c r="BF59" s="153">
        <f t="shared" si="9"/>
        <v>2385.9639900973289</v>
      </c>
      <c r="BH59" s="157"/>
    </row>
    <row r="60" spans="2:60" ht="12">
      <c r="B60" s="2"/>
      <c r="C60" s="354">
        <f>+IF(C59&gt;$I$13+$I$14,XX,C59+1)</f>
        <v>2041</v>
      </c>
      <c r="E60" s="356">
        <f>'(2.2)_Forward_Price_Curve'!S54</f>
        <v>2.1999999999999999E-2</v>
      </c>
      <c r="G60" s="470">
        <v>134848.32608695651</v>
      </c>
      <c r="I60" s="360">
        <v>121.35490357409957</v>
      </c>
      <c r="K60" s="471">
        <v>22.141454251026737</v>
      </c>
      <c r="M60" s="28">
        <f t="shared" si="11"/>
        <v>0</v>
      </c>
      <c r="O60" s="471">
        <v>1</v>
      </c>
      <c r="Q60" s="471">
        <v>0</v>
      </c>
      <c r="S60" s="18">
        <f t="shared" si="0"/>
        <v>7853.427608358722</v>
      </c>
      <c r="U60" s="18">
        <f t="shared" si="1"/>
        <v>10936.45998933278</v>
      </c>
      <c r="W60" s="18">
        <f t="shared" si="2"/>
        <v>-3083.0323809740576</v>
      </c>
      <c r="Y60" s="271">
        <f t="shared" si="3"/>
        <v>-22.86296367509949</v>
      </c>
      <c r="Z60" s="235"/>
      <c r="AB60" s="378">
        <f>+IF(AB59&gt;$I$13+$I$14,XX,AB59+1)</f>
        <v>2041</v>
      </c>
      <c r="AC60" s="117"/>
      <c r="AD60" s="151">
        <f t="shared" si="4"/>
        <v>134848.32608695651</v>
      </c>
      <c r="AF60" s="154">
        <f t="shared" si="19"/>
        <v>161.31646421001244</v>
      </c>
      <c r="AH60" s="154">
        <f t="shared" si="20"/>
        <v>32.312388637154143</v>
      </c>
      <c r="AJ60" s="154">
        <f t="shared" si="21"/>
        <v>3.2975444858303442</v>
      </c>
      <c r="AL60" s="153">
        <f t="shared" si="15"/>
        <v>5780.7416185822449</v>
      </c>
      <c r="AN60" s="154">
        <f>INDEX('(2.2)_Forward_Price_Curve'!$K:$K,MATCH($AB60,'(2.2)_Forward_Price_Curve'!$C:$C,0),1)</f>
        <v>7.2385291666666687</v>
      </c>
      <c r="AP60" s="154">
        <f t="shared" si="5"/>
        <v>52.59530732748366</v>
      </c>
      <c r="AR60" s="154">
        <f t="shared" si="18"/>
        <v>3.7211022935962879</v>
      </c>
      <c r="AS60" s="154"/>
      <c r="AT60" s="153">
        <f t="shared" si="6"/>
        <v>3342.2864207027751</v>
      </c>
      <c r="AV60" s="153">
        <f t="shared" si="7"/>
        <v>7594.1735686300044</v>
      </c>
      <c r="AW60" s="273"/>
      <c r="AX60" s="155">
        <f t="shared" si="8"/>
        <v>10936.45998933278</v>
      </c>
      <c r="AZ60" s="384">
        <f>+IF(AZ59&gt;$I$13+$I$14,XX,AZ59+1)</f>
        <v>2041</v>
      </c>
      <c r="BA60" s="117"/>
      <c r="BB60" s="154">
        <f t="shared" si="16"/>
        <v>76.805851085672373</v>
      </c>
      <c r="BD60" s="154">
        <f t="shared" si="17"/>
        <v>11.677807080786923</v>
      </c>
      <c r="BF60" s="153">
        <f t="shared" si="9"/>
        <v>2438.4551978794698</v>
      </c>
      <c r="BH60" s="157"/>
    </row>
    <row r="61" spans="2:60" ht="12">
      <c r="B61" s="2"/>
      <c r="C61" s="354">
        <f>+IF(C60&gt;$I$13+$I$14,XX,C60+1)</f>
        <v>2042</v>
      </c>
      <c r="E61" s="356">
        <f>'(2.2)_Forward_Price_Curve'!S55</f>
        <v>2.1999999999999999E-2</v>
      </c>
      <c r="G61" s="470">
        <v>134848.32608695651</v>
      </c>
      <c r="I61" s="360">
        <v>123.66064674200746</v>
      </c>
      <c r="K61" s="471">
        <v>22.650707698800353</v>
      </c>
      <c r="M61" s="28">
        <f t="shared" si="11"/>
        <v>0</v>
      </c>
      <c r="O61" s="471">
        <v>1.0199999999999998</v>
      </c>
      <c r="Q61" s="471">
        <v>0</v>
      </c>
      <c r="S61" s="18">
        <f t="shared" si="0"/>
        <v>8014.7205334151531</v>
      </c>
      <c r="U61" s="18">
        <f t="shared" si="1"/>
        <v>11184.139470402883</v>
      </c>
      <c r="W61" s="18">
        <f t="shared" si="2"/>
        <v>-3169.4189369877295</v>
      </c>
      <c r="Y61" s="271">
        <f t="shared" si="3"/>
        <v>-23.503583833468866</v>
      </c>
      <c r="Z61" s="235"/>
      <c r="AB61" s="378">
        <f>+IF(AB60&gt;$I$13+$I$14,XX,AB60+1)</f>
        <v>2042</v>
      </c>
      <c r="AC61" s="117"/>
      <c r="AD61" s="151">
        <f t="shared" si="4"/>
        <v>134848.32608695651</v>
      </c>
      <c r="AF61" s="154">
        <f t="shared" si="19"/>
        <v>164.86542642263271</v>
      </c>
      <c r="AH61" s="154">
        <f t="shared" si="20"/>
        <v>33.023261187171535</v>
      </c>
      <c r="AJ61" s="154">
        <f t="shared" si="21"/>
        <v>3.3700904645186118</v>
      </c>
      <c r="AL61" s="153">
        <f t="shared" si="15"/>
        <v>5907.9179341910549</v>
      </c>
      <c r="AN61" s="154">
        <f>INDEX('(2.2)_Forward_Price_Curve'!$K:$K,MATCH($AB61,'(2.2)_Forward_Price_Curve'!$C:$C,0),1)</f>
        <v>7.4050000000000002</v>
      </c>
      <c r="AP61" s="154">
        <f t="shared" si="5"/>
        <v>53.804887953413605</v>
      </c>
      <c r="AR61" s="154">
        <f t="shared" si="18"/>
        <v>3.8029665440554061</v>
      </c>
      <c r="AS61" s="154"/>
      <c r="AT61" s="153">
        <f t="shared" si="6"/>
        <v>3415.8167219582365</v>
      </c>
      <c r="AV61" s="153">
        <f t="shared" si="7"/>
        <v>7768.3227484446461</v>
      </c>
      <c r="AW61" s="273"/>
      <c r="AX61" s="155">
        <f t="shared" si="8"/>
        <v>11184.139470402883</v>
      </c>
      <c r="AZ61" s="384">
        <f>+IF(AZ60&gt;$I$13+$I$14,XX,AZ60+1)</f>
        <v>2042</v>
      </c>
      <c r="BA61" s="117"/>
      <c r="BB61" s="154">
        <f t="shared" si="16"/>
        <v>78.495579809557171</v>
      </c>
      <c r="BD61" s="154">
        <f t="shared" si="17"/>
        <v>11.934718836564237</v>
      </c>
      <c r="BF61" s="153">
        <f t="shared" si="9"/>
        <v>2492.1012122328184</v>
      </c>
      <c r="BH61" s="157"/>
    </row>
    <row r="62" spans="2:60" ht="12">
      <c r="B62" s="2"/>
      <c r="C62" s="354">
        <f>+IF(C61&gt;$I$13+$I$14,XX,C61+1)</f>
        <v>2043</v>
      </c>
      <c r="E62" s="356">
        <f>'(2.2)_Forward_Price_Curve'!S56</f>
        <v>2.1999999999999999E-2</v>
      </c>
      <c r="G62" s="470">
        <v>134848.32608695651</v>
      </c>
      <c r="I62" s="360">
        <v>126.01019903010558</v>
      </c>
      <c r="K62" s="471">
        <v>23.171673975872757</v>
      </c>
      <c r="M62" s="28">
        <f t="shared" si="11"/>
        <v>0</v>
      </c>
      <c r="O62" s="471">
        <v>1.05</v>
      </c>
      <c r="Q62" s="471">
        <v>0</v>
      </c>
      <c r="S62" s="18">
        <f t="shared" si="0"/>
        <v>8180.6499528445556</v>
      </c>
      <c r="U62" s="18">
        <f t="shared" si="1"/>
        <v>11430.190538751747</v>
      </c>
      <c r="W62" s="18">
        <f t="shared" si="2"/>
        <v>-3249.5405859071916</v>
      </c>
      <c r="Y62" s="271">
        <f t="shared" si="3"/>
        <v>-24.097745075543138</v>
      </c>
      <c r="Z62" s="235"/>
      <c r="AB62" s="378">
        <f>+IF(AB61&gt;$I$13+$I$14,XX,AB61+1)</f>
        <v>2043</v>
      </c>
      <c r="AC62" s="117"/>
      <c r="AD62" s="151">
        <f t="shared" si="4"/>
        <v>134848.32608695651</v>
      </c>
      <c r="AF62" s="154">
        <f t="shared" si="19"/>
        <v>168.49246580393063</v>
      </c>
      <c r="AH62" s="154">
        <f t="shared" si="20"/>
        <v>33.749772933289307</v>
      </c>
      <c r="AJ62" s="154">
        <f t="shared" si="21"/>
        <v>3.4442324547380214</v>
      </c>
      <c r="AL62" s="153">
        <f t="shared" si="15"/>
        <v>6037.8921287432586</v>
      </c>
      <c r="AN62" s="154">
        <f>INDEX('(2.2)_Forward_Price_Curve'!$K:$K,MATCH($AB62,'(2.2)_Forward_Price_Curve'!$C:$C,0),1)</f>
        <v>7.5679100000000004</v>
      </c>
      <c r="AP62" s="154">
        <f t="shared" si="5"/>
        <v>54.988595488388711</v>
      </c>
      <c r="AR62" s="154">
        <f t="shared" si="18"/>
        <v>3.8866318080246249</v>
      </c>
      <c r="AS62" s="154"/>
      <c r="AT62" s="153">
        <f t="shared" si="6"/>
        <v>3490.964689841318</v>
      </c>
      <c r="AV62" s="153">
        <f t="shared" si="7"/>
        <v>7939.2258489104288</v>
      </c>
      <c r="AW62" s="273"/>
      <c r="AX62" s="155">
        <f t="shared" si="8"/>
        <v>11430.190538751747</v>
      </c>
      <c r="AZ62" s="384">
        <f>+IF(AZ61&gt;$I$13+$I$14,XX,AZ61+1)</f>
        <v>2043</v>
      </c>
      <c r="BA62" s="117"/>
      <c r="BB62" s="154">
        <f t="shared" si="16"/>
        <v>80.222482565367429</v>
      </c>
      <c r="BD62" s="154">
        <f t="shared" si="17"/>
        <v>12.197282650968651</v>
      </c>
      <c r="BF62" s="153">
        <f t="shared" si="9"/>
        <v>2546.9274389019406</v>
      </c>
      <c r="BH62" s="157"/>
    </row>
    <row r="63" spans="2:60" ht="12">
      <c r="B63" s="2"/>
      <c r="C63" s="354">
        <f>+IF(C62&gt;$I$13+$I$14,XX,C62+1)</f>
        <v>2044</v>
      </c>
      <c r="E63" s="356">
        <f>'(2.2)_Forward_Price_Curve'!S57</f>
        <v>2.3E-2</v>
      </c>
      <c r="G63" s="470">
        <v>134848.32608695651</v>
      </c>
      <c r="I63" s="360">
        <v>128.40439281167758</v>
      </c>
      <c r="K63" s="471">
        <v>23.769566648488571</v>
      </c>
      <c r="M63" s="28">
        <f t="shared" si="11"/>
        <v>0</v>
      </c>
      <c r="O63" s="471">
        <v>1.0700000000000003</v>
      </c>
      <c r="Q63" s="471">
        <v>0</v>
      </c>
      <c r="S63" s="18">
        <f t="shared" si="0"/>
        <v>8357.3453029295015</v>
      </c>
      <c r="U63" s="18">
        <f t="shared" si="1"/>
        <v>11685.669801087552</v>
      </c>
      <c r="W63" s="18">
        <f t="shared" si="2"/>
        <v>-3328.3244981580501</v>
      </c>
      <c r="Y63" s="271">
        <f t="shared" si="3"/>
        <v>-24.681986011541522</v>
      </c>
      <c r="Z63" s="235"/>
      <c r="AB63" s="378">
        <f>+IF(AB62&gt;$I$13+$I$14,XX,AB62+1)</f>
        <v>2044</v>
      </c>
      <c r="AC63" s="117"/>
      <c r="AD63" s="151">
        <f t="shared" si="4"/>
        <v>134848.32608695651</v>
      </c>
      <c r="AF63" s="154">
        <f t="shared" si="19"/>
        <v>172.36779251742101</v>
      </c>
      <c r="AH63" s="154">
        <f t="shared" si="20"/>
        <v>34.526017710754957</v>
      </c>
      <c r="AJ63" s="154">
        <f t="shared" si="21"/>
        <v>3.5234498011969957</v>
      </c>
      <c r="AL63" s="153">
        <f t="shared" si="15"/>
        <v>6176.7636477043516</v>
      </c>
      <c r="AN63" s="154">
        <f>INDEX('(2.2)_Forward_Price_Curve'!$K:$K,MATCH($AB63,'(2.2)_Forward_Price_Curve'!$C:$C,0),1)</f>
        <v>7.7344040200000004</v>
      </c>
      <c r="AP63" s="154">
        <f t="shared" si="5"/>
        <v>56.198344589133256</v>
      </c>
      <c r="AR63" s="154">
        <f t="shared" si="18"/>
        <v>3.9760243396091908</v>
      </c>
      <c r="AS63" s="154"/>
      <c r="AT63" s="153">
        <f t="shared" si="6"/>
        <v>3571.2568777076663</v>
      </c>
      <c r="AV63" s="153">
        <f t="shared" si="7"/>
        <v>8114.4129233798849</v>
      </c>
      <c r="AW63" s="273"/>
      <c r="AX63" s="155">
        <f t="shared" si="8"/>
        <v>11685.669801087552</v>
      </c>
      <c r="AZ63" s="384">
        <f>+IF(AZ62&gt;$I$13+$I$14,XX,AZ62+1)</f>
        <v>2044</v>
      </c>
      <c r="BA63" s="117"/>
      <c r="BB63" s="154">
        <f t="shared" si="16"/>
        <v>82.067599664370874</v>
      </c>
      <c r="BD63" s="154">
        <f t="shared" si="17"/>
        <v>12.477820151940929</v>
      </c>
      <c r="BF63" s="153">
        <f t="shared" si="9"/>
        <v>2605.5067699966853</v>
      </c>
      <c r="BH63" s="157"/>
    </row>
    <row r="64" spans="2:60" ht="12">
      <c r="B64" s="2"/>
      <c r="C64" s="354">
        <f>+IF(C63&gt;$I$13+$I$14,XX,C63+1)</f>
        <v>2045</v>
      </c>
      <c r="E64" s="356">
        <f>'(2.2)_Forward_Price_Curve'!S58</f>
        <v>2.3E-2</v>
      </c>
      <c r="G64" s="470">
        <v>134848.32608695651</v>
      </c>
      <c r="I64" s="360">
        <v>130.8440762750995</v>
      </c>
      <c r="K64" s="471">
        <v>24.249828794296143</v>
      </c>
      <c r="M64" s="28">
        <f t="shared" si="11"/>
        <v>0</v>
      </c>
      <c r="O64" s="471">
        <v>1.1000000000000001</v>
      </c>
      <c r="Q64" s="471">
        <v>0</v>
      </c>
      <c r="S64" s="18">
        <f t="shared" si="0"/>
        <v>8521.3009542306481</v>
      </c>
      <c r="U64" s="18">
        <f t="shared" si="1"/>
        <v>11946.861953815864</v>
      </c>
      <c r="W64" s="18">
        <f t="shared" si="2"/>
        <v>-3425.5609995852155</v>
      </c>
      <c r="Y64" s="271">
        <f t="shared" si="3"/>
        <v>-25.403066533998008</v>
      </c>
      <c r="Z64" s="235"/>
      <c r="AB64" s="378">
        <f>+IF(AB63&gt;$I$13+$I$14,XX,AB63+1)</f>
        <v>2045</v>
      </c>
      <c r="AC64" s="117"/>
      <c r="AD64" s="151">
        <f t="shared" si="4"/>
        <v>134848.32608695651</v>
      </c>
      <c r="AF64" s="154">
        <f t="shared" si="19"/>
        <v>176.33225174532168</v>
      </c>
      <c r="AH64" s="154">
        <f t="shared" si="20"/>
        <v>35.32011611810232</v>
      </c>
      <c r="AJ64" s="154">
        <f t="shared" si="21"/>
        <v>3.6044891466245264</v>
      </c>
      <c r="AL64" s="153">
        <f t="shared" si="15"/>
        <v>6318.8292116015518</v>
      </c>
      <c r="AN64" s="154">
        <f>INDEX('(2.2)_Forward_Price_Curve'!$K:$K,MATCH($AB64,'(2.2)_Forward_Price_Curve'!$C:$C,0),1)</f>
        <v>7.9045609084400006</v>
      </c>
      <c r="AP64" s="154">
        <f t="shared" si="5"/>
        <v>57.43470817009419</v>
      </c>
      <c r="AR64" s="154">
        <f t="shared" si="18"/>
        <v>4.0674728994202018</v>
      </c>
      <c r="AS64" s="154"/>
      <c r="AT64" s="153">
        <f t="shared" si="6"/>
        <v>3653.3957858949429</v>
      </c>
      <c r="AV64" s="153">
        <f t="shared" si="7"/>
        <v>8293.4661679209203</v>
      </c>
      <c r="AW64" s="273"/>
      <c r="AX64" s="155">
        <f t="shared" si="8"/>
        <v>11946.861953815864</v>
      </c>
      <c r="AZ64" s="384">
        <f>+IF(AZ63&gt;$I$13+$I$14,XX,AZ63+1)</f>
        <v>2045</v>
      </c>
      <c r="BA64" s="117"/>
      <c r="BB64" s="154">
        <f t="shared" si="16"/>
        <v>83.9551544566514</v>
      </c>
      <c r="BD64" s="154">
        <f t="shared" si="17"/>
        <v>12.764810015435568</v>
      </c>
      <c r="BF64" s="153">
        <f t="shared" si="9"/>
        <v>2665.4334257066089</v>
      </c>
      <c r="BH64" s="157"/>
    </row>
    <row r="65" spans="2:60" ht="12">
      <c r="B65" s="2"/>
      <c r="C65" s="354">
        <f>+IF(C64&gt;$I$13+$I$14,XX,C64+1)</f>
        <v>2046</v>
      </c>
      <c r="E65" s="356">
        <f>'(2.2)_Forward_Price_Curve'!S59</f>
        <v>2.3E-2</v>
      </c>
      <c r="G65" s="470">
        <v>134848.32608695651</v>
      </c>
      <c r="I65" s="360">
        <v>133.33011372432634</v>
      </c>
      <c r="K65" s="471">
        <v>24.807574856564948</v>
      </c>
      <c r="M65" s="28">
        <f t="shared" si="11"/>
        <v>0</v>
      </c>
      <c r="O65" s="471">
        <v>1.1200000000000001</v>
      </c>
      <c r="Q65" s="471">
        <v>0</v>
      </c>
      <c r="S65" s="18">
        <f t="shared" si="0"/>
        <v>8696.1645041507727</v>
      </c>
      <c r="U65" s="18">
        <f t="shared" si="1"/>
        <v>12213.894804497597</v>
      </c>
      <c r="W65" s="18">
        <f t="shared" si="2"/>
        <v>-3517.7303003468242</v>
      </c>
      <c r="Y65" s="271">
        <f t="shared" si="3"/>
        <v>-26.086570018514188</v>
      </c>
      <c r="Z65" s="235"/>
      <c r="AB65" s="378">
        <f>+IF(AB64&gt;$I$13+$I$14,XX,AB64+1)</f>
        <v>2046</v>
      </c>
      <c r="AC65" s="117"/>
      <c r="AD65" s="151">
        <f t="shared" si="4"/>
        <v>134848.32608695651</v>
      </c>
      <c r="AF65" s="154">
        <f t="shared" si="19"/>
        <v>180.38789353546406</v>
      </c>
      <c r="AH65" s="154">
        <f t="shared" si="20"/>
        <v>36.132478788818666</v>
      </c>
      <c r="AJ65" s="154">
        <f t="shared" si="21"/>
        <v>3.68739239699689</v>
      </c>
      <c r="AL65" s="153">
        <f t="shared" si="15"/>
        <v>6464.1622834683858</v>
      </c>
      <c r="AN65" s="154">
        <f>INDEX('(2.2)_Forward_Price_Curve'!$K:$K,MATCH($AB65,'(2.2)_Forward_Price_Curve'!$C:$C,0),1)</f>
        <v>8.0784612484256808</v>
      </c>
      <c r="AP65" s="154">
        <f t="shared" si="5"/>
        <v>58.698271749836266</v>
      </c>
      <c r="AR65" s="154">
        <f t="shared" si="18"/>
        <v>4.1610247761068662</v>
      </c>
      <c r="AS65" s="154"/>
      <c r="AT65" s="153">
        <f t="shared" si="6"/>
        <v>3737.4238889705252</v>
      </c>
      <c r="AV65" s="153">
        <f t="shared" si="7"/>
        <v>8476.4709155270721</v>
      </c>
      <c r="AW65" s="273"/>
      <c r="AX65" s="155">
        <f t="shared" si="8"/>
        <v>12213.894804497597</v>
      </c>
      <c r="AZ65" s="384">
        <f>+IF(AZ64&gt;$I$13+$I$14,XX,AZ64+1)</f>
        <v>2046</v>
      </c>
      <c r="BA65" s="117"/>
      <c r="BB65" s="154">
        <f t="shared" si="16"/>
        <v>85.886123009154375</v>
      </c>
      <c r="BD65" s="154">
        <f t="shared" si="17"/>
        <v>13.058400645790584</v>
      </c>
      <c r="BF65" s="153">
        <f t="shared" si="9"/>
        <v>2726.7383944978606</v>
      </c>
      <c r="BH65" s="157"/>
    </row>
    <row r="66" spans="2:60" ht="12">
      <c r="B66" s="2"/>
      <c r="C66" s="354">
        <f>+IF(C65&gt;$I$13+$I$14,XX,C65+1)</f>
        <v>2047</v>
      </c>
      <c r="E66" s="356">
        <f>'(2.2)_Forward_Price_Curve'!S60</f>
        <v>2.3E-2</v>
      </c>
      <c r="G66" s="470">
        <v>134848.32608695651</v>
      </c>
      <c r="I66" s="360">
        <v>135.86338588508852</v>
      </c>
      <c r="K66" s="471">
        <v>25.378149078265942</v>
      </c>
      <c r="M66" s="28">
        <f t="shared" si="11"/>
        <v>0</v>
      </c>
      <c r="O66" s="471">
        <v>1.1499999999999997</v>
      </c>
      <c r="Q66" s="471">
        <v>0</v>
      </c>
      <c r="S66" s="18">
        <f t="shared" si="0"/>
        <v>8875.9485469078536</v>
      </c>
      <c r="U66" s="18">
        <f t="shared" si="1"/>
        <v>12486.899021311381</v>
      </c>
      <c r="W66" s="18">
        <f t="shared" si="2"/>
        <v>-3610.9504744035276</v>
      </c>
      <c r="Y66" s="271">
        <f t="shared" si="3"/>
        <v>-26.777866505180182</v>
      </c>
      <c r="Z66" s="235"/>
      <c r="AB66" s="378">
        <f>+IF(AB65&gt;$I$13+$I$14,XX,AB65+1)</f>
        <v>2047</v>
      </c>
      <c r="AC66" s="117"/>
      <c r="AD66" s="151">
        <f t="shared" si="4"/>
        <v>134848.32608695651</v>
      </c>
      <c r="AF66" s="154">
        <f t="shared" si="19"/>
        <v>184.53681508677971</v>
      </c>
      <c r="AH66" s="154">
        <f t="shared" si="20"/>
        <v>36.963525800961492</v>
      </c>
      <c r="AJ66" s="154">
        <f t="shared" si="21"/>
        <v>3.7722024221278181</v>
      </c>
      <c r="AL66" s="153">
        <f t="shared" si="15"/>
        <v>6612.838015988159</v>
      </c>
      <c r="AN66" s="154">
        <f>INDEX('(2.2)_Forward_Price_Curve'!$K:$K,MATCH($AB66,'(2.2)_Forward_Price_Curve'!$C:$C,0),1)</f>
        <v>8.2561873958910468</v>
      </c>
      <c r="AP66" s="154">
        <f t="shared" si="5"/>
        <v>59.98963372833267</v>
      </c>
      <c r="AR66" s="154">
        <f t="shared" si="18"/>
        <v>4.256728345957324</v>
      </c>
      <c r="AS66" s="154"/>
      <c r="AT66" s="153">
        <f t="shared" si="6"/>
        <v>3823.3846384168482</v>
      </c>
      <c r="AV66" s="153">
        <f t="shared" si="7"/>
        <v>8663.5143828945329</v>
      </c>
      <c r="AW66" s="273"/>
      <c r="AX66" s="155">
        <f t="shared" si="8"/>
        <v>12486.899021311381</v>
      </c>
      <c r="AZ66" s="384">
        <f>+IF(AZ65&gt;$I$13+$I$14,XX,AZ65+1)</f>
        <v>2047</v>
      </c>
      <c r="BA66" s="117"/>
      <c r="BB66" s="154">
        <f t="shared" si="16"/>
        <v>87.861503838364911</v>
      </c>
      <c r="BD66" s="154">
        <f t="shared" si="17"/>
        <v>13.358743860643767</v>
      </c>
      <c r="BF66" s="153">
        <f t="shared" si="9"/>
        <v>2789.4533775713107</v>
      </c>
      <c r="BH66" s="157"/>
    </row>
    <row r="67" spans="2:60" ht="12">
      <c r="B67" s="2"/>
      <c r="C67" s="354">
        <f>+IF(C66&gt;$I$13+$I$14,XX,C66+1)</f>
        <v>2048</v>
      </c>
      <c r="E67" s="356">
        <f>'(2.2)_Forward_Price_Curve'!S61</f>
        <v>2.1999999999999999E-2</v>
      </c>
      <c r="G67" s="470">
        <v>134848.32608695651</v>
      </c>
      <c r="I67" s="360">
        <v>138.44479021690523</v>
      </c>
      <c r="K67" s="471">
        <v>26.032974853660757</v>
      </c>
      <c r="M67" s="28">
        <f t="shared" si="11"/>
        <v>0</v>
      </c>
      <c r="O67" s="471">
        <v>1.17</v>
      </c>
      <c r="Q67" s="471">
        <v>0</v>
      </c>
      <c r="S67" s="18">
        <f t="shared" si="0"/>
        <v>9067.622442061027</v>
      </c>
      <c r="U67" s="18">
        <f t="shared" si="1"/>
        <v>12761.610799780232</v>
      </c>
      <c r="W67" s="18">
        <f t="shared" si="2"/>
        <v>-3693.9883577192049</v>
      </c>
      <c r="Y67" s="271">
        <f t="shared" si="3"/>
        <v>-27.393653780597532</v>
      </c>
      <c r="Z67" s="235"/>
      <c r="AB67" s="378">
        <f>+IF(AB66&gt;$I$13+$I$14,XX,AB66+1)</f>
        <v>2048</v>
      </c>
      <c r="AC67" s="117"/>
      <c r="AD67" s="151">
        <f t="shared" si="4"/>
        <v>134848.32608695651</v>
      </c>
      <c r="AF67" s="154">
        <f t="shared" si="19"/>
        <v>188.59662501868885</v>
      </c>
      <c r="AH67" s="154">
        <f t="shared" si="20"/>
        <v>37.776723368582644</v>
      </c>
      <c r="AJ67" s="154">
        <f t="shared" si="21"/>
        <v>3.85519087541463</v>
      </c>
      <c r="AL67" s="153">
        <f>((AF67+AH67)*$AF$11*1000+AJ67*AD67)/1000</f>
        <v>6758.3204523398981</v>
      </c>
      <c r="AN67" s="154">
        <f>INDEX('(2.2)_Forward_Price_Curve'!$K:$K,MATCH($AB67,'(2.2)_Forward_Price_Curve'!$C:$C,0),1)</f>
        <v>8.4378235186006503</v>
      </c>
      <c r="AP67" s="154">
        <f t="shared" si="5"/>
        <v>61.309405670356</v>
      </c>
      <c r="AR67" s="154">
        <f t="shared" si="18"/>
        <v>4.3503763695683855</v>
      </c>
      <c r="AS67" s="154"/>
      <c r="AT67" s="153">
        <f t="shared" si="6"/>
        <v>3907.4991004620183</v>
      </c>
      <c r="AV67" s="153">
        <f t="shared" si="7"/>
        <v>8854.1116993182131</v>
      </c>
      <c r="AW67" s="273"/>
      <c r="AX67" s="155">
        <f t="shared" si="8"/>
        <v>12761.610799780232</v>
      </c>
      <c r="AZ67" s="384">
        <f>+IF(AZ66&gt;$I$13+$I$14,XX,AZ66+1)</f>
        <v>2048</v>
      </c>
      <c r="BA67" s="117"/>
      <c r="BB67" s="154">
        <f t="shared" si="16"/>
        <v>89.794456922808934</v>
      </c>
      <c r="BD67" s="154">
        <f t="shared" si="17"/>
        <v>13.652636225577929</v>
      </c>
      <c r="BF67" s="153">
        <f t="shared" si="9"/>
        <v>2850.8213518778798</v>
      </c>
      <c r="BH67" s="157"/>
    </row>
    <row r="68" spans="2:60" ht="12">
      <c r="B68" s="2"/>
      <c r="C68" s="354">
        <f>+IF(C67&gt;$I$13+$I$14,XX,C67+1)</f>
        <v>2049</v>
      </c>
      <c r="E68" s="356">
        <f>'(2.2)_Forward_Price_Curve'!S62</f>
        <v>2.1999999999999999E-2</v>
      </c>
      <c r="G68" s="470">
        <v>56033.286682307742</v>
      </c>
      <c r="I68" s="360">
        <v>117.56270102585535</v>
      </c>
      <c r="K68" s="471">
        <v>11.066237073636906</v>
      </c>
      <c r="M68" s="28">
        <f t="shared" si="11"/>
        <v>0</v>
      </c>
      <c r="O68" s="471">
        <v>1.2000000000000002</v>
      </c>
      <c r="Q68" s="471">
        <v>0</v>
      </c>
      <c r="S68" s="18">
        <f t="shared" si="0"/>
        <v>5272.2629184686066</v>
      </c>
      <c r="U68" s="18">
        <f t="shared" si="1"/>
        <v>5619.5781013991073</v>
      </c>
      <c r="W68" s="18">
        <f t="shared" si="2"/>
        <v>-347.31518293050067</v>
      </c>
      <c r="Y68" s="271">
        <f t="shared" si="3"/>
        <v>-6.1983724941868141</v>
      </c>
      <c r="Z68" s="235"/>
      <c r="AB68" s="378">
        <f>+IF(AB67&gt;$I$13+$I$14,XX,AB67+1)</f>
        <v>2049</v>
      </c>
      <c r="AC68" s="117"/>
      <c r="AD68" s="151">
        <f t="shared" si="4"/>
        <v>56033.286682307742</v>
      </c>
      <c r="AF68" s="154">
        <f t="shared" si="19"/>
        <v>192.7457507691</v>
      </c>
      <c r="AH68" s="154">
        <f t="shared" si="20"/>
        <v>38.607811282691465</v>
      </c>
      <c r="AJ68" s="154">
        <f t="shared" si="21"/>
        <v>3.9400050746737518</v>
      </c>
      <c r="AL68" s="153">
        <f>((AF68+AH68)*$AR$11*1000+AJ68*AD68)/1000</f>
        <v>4773.0431978854749</v>
      </c>
      <c r="AN68" s="154">
        <f>INDEX('(2.2)_Forward_Price_Curve'!$K:$K,MATCH($AB68,'(2.2)_Forward_Price_Curve'!$C:$C,0),1)</f>
        <v>8.6234556360098651</v>
      </c>
      <c r="AP68" s="154">
        <f t="shared" si="5"/>
        <v>62.658212595103834</v>
      </c>
      <c r="AR68" s="154">
        <f t="shared" si="18"/>
        <v>4.4460846496988902</v>
      </c>
      <c r="AS68" s="154"/>
      <c r="AT68" s="153">
        <f t="shared" si="6"/>
        <v>1859.5037762662823</v>
      </c>
      <c r="AV68" s="153">
        <f t="shared" si="7"/>
        <v>3760.0743251328245</v>
      </c>
      <c r="AW68" s="273"/>
      <c r="AX68" s="155">
        <f t="shared" si="8"/>
        <v>5619.5781013991073</v>
      </c>
      <c r="AZ68" s="384">
        <f>+IF(AZ67&gt;$I$13+$I$14,XX,AZ67+1)</f>
        <v>2049</v>
      </c>
      <c r="BA68" s="117"/>
      <c r="BB68" s="154">
        <f t="shared" si="16"/>
        <v>91.769934975110729</v>
      </c>
      <c r="BD68" s="154">
        <f t="shared" si="17"/>
        <v>13.952994222540644</v>
      </c>
      <c r="BF68" s="153">
        <f t="shared" si="9"/>
        <v>2913.5394216191926</v>
      </c>
      <c r="BH68" s="157"/>
    </row>
    <row r="69" spans="2:60">
      <c r="B69" s="2"/>
      <c r="E69" s="169"/>
      <c r="G69" s="267"/>
      <c r="H69" s="267"/>
      <c r="I69" s="267"/>
      <c r="K69" s="267"/>
      <c r="M69" s="267"/>
      <c r="O69" s="267"/>
      <c r="Q69" s="267"/>
      <c r="S69" s="267"/>
      <c r="U69" s="267"/>
      <c r="W69" s="267"/>
      <c r="Y69" s="267"/>
      <c r="Z69" s="235"/>
      <c r="AB69" s="2"/>
      <c r="AF69" s="274"/>
      <c r="AH69" s="274"/>
      <c r="AJ69" s="274"/>
      <c r="AL69" s="273"/>
      <c r="AN69" s="274"/>
      <c r="AP69" s="274"/>
      <c r="AR69" s="274"/>
      <c r="AS69" s="274"/>
      <c r="AT69" s="274"/>
      <c r="AV69" s="273"/>
      <c r="AW69" s="273"/>
      <c r="AX69" s="275"/>
      <c r="AZ69" s="2"/>
      <c r="BB69" s="274"/>
      <c r="BF69" s="273"/>
      <c r="BH69" s="235"/>
    </row>
    <row r="70" spans="2:60" ht="12">
      <c r="B70" s="2"/>
      <c r="C70" s="4" t="s">
        <v>342</v>
      </c>
      <c r="E70" s="169"/>
      <c r="G70" s="466">
        <f>+-PMT($I$18,41,NPV($I$18,G28:G68))</f>
        <v>128598.10302104156</v>
      </c>
      <c r="I70" s="466">
        <f>+-PMT($I$18,41,NPV($I$18,I28:I68))</f>
        <v>234.09202748645615</v>
      </c>
      <c r="J70" s="28"/>
      <c r="K70" s="466">
        <f>+-PMT($I$18,41,NPV($I$18,K28:K68))</f>
        <v>13.320894256057255</v>
      </c>
      <c r="M70" s="28">
        <f>+-PMT($G$18,$G$14,NPV($G$18,M28:M51))</f>
        <v>0</v>
      </c>
      <c r="O70" s="466">
        <f>+-PMT($I$18,41,NPV($I$18,O28:O68))</f>
        <v>3.2421528227403971</v>
      </c>
      <c r="Q70" s="466">
        <f>+-PMT($I$18,41,NPV($I$18,Q28:Q68))</f>
        <v>-28.420730913200078</v>
      </c>
      <c r="S70" s="466">
        <f>+-PMT($I$18,41,NPV($I$18,S28:S68))</f>
        <v>7645.4604601328538</v>
      </c>
      <c r="U70" s="466">
        <f>+-PMT($I$18,41,NPV($I$18,U28:U68))</f>
        <v>8020.2042537516527</v>
      </c>
      <c r="W70" s="285">
        <f>+-PMT($I$18,41,NPV($I$18,W28:W68))</f>
        <v>-374.74379361879983</v>
      </c>
      <c r="Y70" s="466">
        <f>+-PMT($I$18,41,NPV($I$18,Y28:Y68))</f>
        <v>-3.8522891249440252</v>
      </c>
      <c r="Z70" s="235"/>
      <c r="AB70" s="2"/>
      <c r="AD70" s="466">
        <f>+-PMT($I$18,41,NPV($I$18,AD28:AD68))</f>
        <v>128598.10302104156</v>
      </c>
      <c r="AF70" s="466">
        <f>+-PMT($I$18,41,NPV($I$18,AF28:AF68))</f>
        <v>94.182078616446063</v>
      </c>
      <c r="AH70" s="466">
        <f>+-PMT($I$18,41,NPV($I$18,AH28:AH68))</f>
        <v>16.973878524490814</v>
      </c>
      <c r="AJ70" s="466">
        <f>+-PMT($I$18,41,NPV($I$18,AJ28:AJ68))</f>
        <v>2.5370140171159856</v>
      </c>
      <c r="AL70" s="467">
        <f>+-PMT($I$18,41,NPV($I$18,AL28:AL68))</f>
        <v>3379.8817334259534</v>
      </c>
      <c r="AN70" s="466">
        <f>+-PMT($I$18,41,NPV($I$18,AN28:AN68))</f>
        <v>6.3870502564255052</v>
      </c>
      <c r="AP70" s="466">
        <f>+-PMT($I$18,41,NPV($I$18,AP28:AP68))</f>
        <v>46.408443403078429</v>
      </c>
      <c r="AR70" s="466">
        <f>+-PMT($I$18,41,NPV($I$18,AR28:AR68))</f>
        <v>2.7449700625634819</v>
      </c>
      <c r="AS70" s="154"/>
      <c r="AT70" s="467">
        <f>+-PMT($I$18,41,NPV($I$18,AT28:AT68))</f>
        <v>1756.117567464391</v>
      </c>
      <c r="AV70" s="467">
        <f>+-PMT($I$18,41,NPV($I$18,AV28:AV68))</f>
        <v>6264.0866862872608</v>
      </c>
      <c r="AW70" s="273"/>
      <c r="AX70" s="467">
        <f>+-PMT($I$18,41,NPV($I$18,AX28:AX68))</f>
        <v>8020.2042537516527</v>
      </c>
      <c r="AY70" s="311"/>
      <c r="AZ70" s="2"/>
      <c r="BB70" s="466">
        <f>+-PMT($I$18,41,NPV($I$18,BB28:BB68))</f>
        <v>51.144917010388028</v>
      </c>
      <c r="BD70" s="466">
        <f>+-PMT($I$18,41,NPV($I$18,BD28:BD68))</f>
        <v>7.7762366482204612</v>
      </c>
      <c r="BF70" s="467">
        <f>+-PMT($I$18,41,NPV($I$18,BF28:BF68))</f>
        <v>1623.7641659615624</v>
      </c>
      <c r="BH70" s="157"/>
    </row>
    <row r="71" spans="2:60" ht="12">
      <c r="B71" s="2"/>
      <c r="E71" s="169"/>
      <c r="G71" s="466"/>
      <c r="I71" s="466"/>
      <c r="J71" s="28"/>
      <c r="K71" s="466"/>
      <c r="M71" s="28"/>
      <c r="O71" s="28"/>
      <c r="Q71" s="466"/>
      <c r="S71" s="18"/>
      <c r="U71" s="18"/>
      <c r="W71" s="18"/>
      <c r="Y71" s="271"/>
      <c r="Z71" s="235"/>
      <c r="AB71" s="2"/>
      <c r="AD71" s="151"/>
      <c r="AF71" s="154"/>
      <c r="AH71" s="154"/>
      <c r="AJ71" s="154"/>
      <c r="AL71" s="153"/>
      <c r="AN71" s="154"/>
      <c r="AP71" s="154"/>
      <c r="AR71" s="154"/>
      <c r="AS71" s="154"/>
      <c r="AT71" s="153"/>
      <c r="AV71" s="153"/>
      <c r="AW71" s="273"/>
      <c r="AX71" s="155"/>
      <c r="AZ71" s="2"/>
      <c r="BB71" s="154"/>
      <c r="BD71" s="154"/>
      <c r="BF71" s="153"/>
      <c r="BH71" s="157"/>
    </row>
    <row r="72" spans="2:60" ht="12">
      <c r="B72" s="2"/>
      <c r="E72" s="169"/>
      <c r="I72" s="466"/>
      <c r="W72" s="18"/>
      <c r="Y72" s="271"/>
      <c r="Z72" s="235"/>
      <c r="AB72" s="2"/>
      <c r="AX72" s="235"/>
      <c r="AZ72" s="2"/>
      <c r="BH72" s="235"/>
    </row>
    <row r="73" spans="2:60">
      <c r="B73" s="238"/>
      <c r="C73" s="277"/>
      <c r="D73" s="277"/>
      <c r="E73" s="278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39"/>
      <c r="AB73" s="238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39"/>
      <c r="AZ73" s="238"/>
      <c r="BA73" s="277"/>
      <c r="BB73" s="277"/>
      <c r="BC73" s="277"/>
      <c r="BD73" s="277"/>
      <c r="BE73" s="277"/>
      <c r="BF73" s="277"/>
      <c r="BG73" s="277"/>
      <c r="BH73" s="239"/>
    </row>
    <row r="74" spans="2:60">
      <c r="E74" s="169"/>
    </row>
    <row r="75" spans="2:60">
      <c r="E75" s="169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</sheetData>
  <pageMargins left="0.25" right="0.25" top="0.25" bottom="0.75" header="0.3" footer="0.3"/>
  <pageSetup paperSize="5" scale="48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2">
    <tabColor theme="0" tint="-0.249977111117893"/>
    <pageSetUpPr fitToPage="1"/>
  </sheetPr>
  <dimension ref="A1:BL97"/>
  <sheetViews>
    <sheetView zoomScale="85" zoomScaleNormal="85"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0" max="40" width="13" bestFit="1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  <col min="64" max="64" width="2" customWidth="1"/>
  </cols>
  <sheetData>
    <row r="1" spans="1:64" s="231" customFormat="1">
      <c r="A1" s="231" t="s">
        <v>0</v>
      </c>
    </row>
    <row r="2" spans="1:64" s="231" customFormat="1">
      <c r="A2" s="231" t="str">
        <f>'Workpaper Index'!$C$4</f>
        <v xml:space="preserve">WASHINGTON JUNE, 1 2024 RENEWABLES REPORT </v>
      </c>
    </row>
    <row r="3" spans="1:64" s="231" customFormat="1">
      <c r="A3" s="231" t="s">
        <v>1</v>
      </c>
    </row>
    <row r="4" spans="1:64" s="231" customFormat="1"/>
    <row r="5" spans="1:64" s="231" customFormat="1">
      <c r="A5" s="359"/>
      <c r="B5" s="358"/>
      <c r="C5" s="358"/>
      <c r="D5" s="358"/>
      <c r="E5" s="358"/>
      <c r="F5" s="358"/>
      <c r="G5" s="358"/>
    </row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65" t="s">
        <v>96</v>
      </c>
      <c r="AO8" s="366"/>
      <c r="AP8" s="366"/>
      <c r="AQ8" s="366"/>
      <c r="AR8" s="366"/>
      <c r="AS8" s="366"/>
      <c r="AT8" s="366"/>
      <c r="AU8" s="366"/>
      <c r="AV8" s="366"/>
      <c r="AW8" s="367"/>
      <c r="AZ8" s="244" t="s">
        <v>97</v>
      </c>
      <c r="BA8" s="245"/>
      <c r="BB8" s="245"/>
      <c r="BC8" s="245"/>
      <c r="BD8" s="245"/>
      <c r="BE8" s="246"/>
      <c r="BG8" s="365" t="s">
        <v>97</v>
      </c>
      <c r="BH8" s="366"/>
      <c r="BI8" s="366"/>
      <c r="BJ8" s="366"/>
      <c r="BK8" s="366"/>
      <c r="BL8" s="36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116"/>
      <c r="AO9" s="117"/>
      <c r="AP9" s="117"/>
      <c r="AQ9" s="117"/>
      <c r="AR9" s="118"/>
      <c r="AS9" s="117"/>
      <c r="AT9" s="117"/>
      <c r="AU9" s="117"/>
      <c r="AV9" s="119"/>
      <c r="AW9" s="120"/>
      <c r="AZ9" s="116"/>
      <c r="BA9" s="117"/>
      <c r="BB9" s="117"/>
      <c r="BC9" s="117"/>
      <c r="BD9" s="118"/>
      <c r="BE9" s="121"/>
      <c r="BG9" s="116"/>
      <c r="BH9" s="117"/>
      <c r="BI9" s="117"/>
      <c r="BJ9" s="117"/>
      <c r="BK9" s="118"/>
      <c r="BL9" s="121"/>
    </row>
    <row r="10" spans="1:64" ht="12">
      <c r="B10" s="250"/>
      <c r="C10" s="231" t="s">
        <v>98</v>
      </c>
      <c r="D10" s="231"/>
      <c r="E10" s="231"/>
      <c r="F10" s="231"/>
      <c r="G10" s="251" t="s">
        <v>12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242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417" t="s">
        <v>242</v>
      </c>
      <c r="BH10" s="418"/>
      <c r="BI10" s="418"/>
      <c r="BJ10" s="418"/>
      <c r="BK10" s="350"/>
      <c r="BL10" s="376"/>
    </row>
    <row r="11" spans="1:64" ht="12">
      <c r="B11" s="250"/>
      <c r="C11" s="231" t="s">
        <v>31</v>
      </c>
      <c r="D11" s="231"/>
      <c r="E11" s="231"/>
      <c r="F11" s="231"/>
      <c r="G11" s="251">
        <v>94</v>
      </c>
      <c r="H11" s="252"/>
      <c r="I11" s="348">
        <v>94</v>
      </c>
      <c r="AB11" s="122" t="s">
        <v>99</v>
      </c>
      <c r="AC11" s="123"/>
      <c r="AD11" s="123"/>
      <c r="AE11" s="123"/>
      <c r="AF11" s="134">
        <f>+G11*(G12/AJ16)</f>
        <v>62.60880648141876</v>
      </c>
      <c r="AG11" s="127"/>
      <c r="AH11" s="123" t="s">
        <v>100</v>
      </c>
      <c r="AI11" s="124"/>
      <c r="AJ11" s="129">
        <v>7.9126910299003335</v>
      </c>
      <c r="AK11" s="235"/>
      <c r="AN11" s="122" t="s">
        <v>99</v>
      </c>
      <c r="AO11" s="123"/>
      <c r="AP11" s="123"/>
      <c r="AQ11" s="123"/>
      <c r="AR11" s="368">
        <f>+I11*(I12/AV16)</f>
        <v>46.417982388274211</v>
      </c>
      <c r="AS11" s="127"/>
      <c r="AT11" s="123" t="s">
        <v>100</v>
      </c>
      <c r="AU11" s="124"/>
      <c r="AV11" s="369">
        <f>'(2.1)_Proxy Resources'!L40</f>
        <v>19.215270973980179</v>
      </c>
      <c r="AW11" s="235"/>
      <c r="AZ11" s="122" t="s">
        <v>99</v>
      </c>
      <c r="BA11" s="123"/>
      <c r="BB11" s="123"/>
      <c r="BC11" s="123"/>
      <c r="BD11" s="134">
        <f>(AF11*AF13-G11*G19)</f>
        <v>58.222139814752097</v>
      </c>
      <c r="BE11" s="130"/>
      <c r="BG11" s="122" t="s">
        <v>99</v>
      </c>
      <c r="BH11" s="123"/>
      <c r="BI11" s="123"/>
      <c r="BJ11" s="123"/>
      <c r="BK11" s="368">
        <f>(AR11*AR13-I11*I19)</f>
        <v>35.325982388274213</v>
      </c>
      <c r="BL11" s="130"/>
    </row>
    <row r="12" spans="1:64" ht="12">
      <c r="B12" s="250"/>
      <c r="C12" s="231" t="s">
        <v>32</v>
      </c>
      <c r="D12" s="231"/>
      <c r="E12" s="231"/>
      <c r="F12" s="231"/>
      <c r="G12" s="254">
        <v>0.32430715621392298</v>
      </c>
      <c r="H12" s="252"/>
      <c r="I12" s="349">
        <v>0.34452577526753925</v>
      </c>
      <c r="AB12" s="122" t="s">
        <v>32</v>
      </c>
      <c r="AC12" s="123"/>
      <c r="AD12" s="123"/>
      <c r="AE12" s="123"/>
      <c r="AF12" s="131">
        <f>+AD71/8760/AF11</f>
        <v>0.49623977684548609</v>
      </c>
      <c r="AG12" s="127"/>
      <c r="AH12" s="117" t="s">
        <v>101</v>
      </c>
      <c r="AI12" s="118"/>
      <c r="AJ12" s="117">
        <v>2006</v>
      </c>
      <c r="AK12" s="235"/>
      <c r="AN12" s="122" t="s">
        <v>32</v>
      </c>
      <c r="AO12" s="123"/>
      <c r="AP12" s="123"/>
      <c r="AQ12" s="123"/>
      <c r="AR12" s="370">
        <f>+AD71/8760/AR11</f>
        <v>0.66933068949480878</v>
      </c>
      <c r="AS12" s="127"/>
      <c r="AT12" s="117" t="s">
        <v>101</v>
      </c>
      <c r="AU12" s="118"/>
      <c r="AV12" s="371">
        <v>2018</v>
      </c>
      <c r="AW12" s="235"/>
      <c r="AZ12" s="122"/>
      <c r="BA12" s="123"/>
      <c r="BB12" s="123"/>
      <c r="BC12" s="123"/>
      <c r="BD12" s="131"/>
      <c r="BE12" s="132"/>
      <c r="BG12" s="122"/>
      <c r="BH12" s="123"/>
      <c r="BI12" s="123"/>
      <c r="BJ12" s="123"/>
      <c r="BK12" s="370"/>
      <c r="BL12" s="132"/>
    </row>
    <row r="13" spans="1:64" ht="12">
      <c r="B13" s="250"/>
      <c r="C13" s="231" t="s">
        <v>33</v>
      </c>
      <c r="D13" s="231"/>
      <c r="E13" s="231"/>
      <c r="F13" s="231"/>
      <c r="G13" s="251">
        <v>2008</v>
      </c>
      <c r="H13" s="252"/>
      <c r="I13" s="350">
        <v>2019</v>
      </c>
      <c r="K13" t="s">
        <v>229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N13" s="122" t="s">
        <v>102</v>
      </c>
      <c r="AO13" s="123"/>
      <c r="AP13" s="123"/>
      <c r="AQ13" s="123"/>
      <c r="AR13" s="372">
        <v>1</v>
      </c>
      <c r="AS13" s="127"/>
      <c r="AT13" s="117" t="s">
        <v>103</v>
      </c>
      <c r="AU13" s="118"/>
      <c r="AV13" s="369">
        <f>'(2.1)_Proxy Resources'!O40</f>
        <v>2.2102879231948753</v>
      </c>
      <c r="AW13" s="235"/>
      <c r="AZ13" s="122" t="s">
        <v>102</v>
      </c>
      <c r="BA13" s="123"/>
      <c r="BB13" s="123"/>
      <c r="BC13" s="123"/>
      <c r="BD13" s="133">
        <v>1</v>
      </c>
      <c r="BE13" s="132"/>
      <c r="BG13" s="122" t="s">
        <v>102</v>
      </c>
      <c r="BH13" s="123"/>
      <c r="BI13" s="123"/>
      <c r="BJ13" s="123"/>
      <c r="BK13" s="372">
        <v>1</v>
      </c>
      <c r="BL13" s="132"/>
    </row>
    <row r="14" spans="1:64" ht="12">
      <c r="B14" s="250"/>
      <c r="C14" s="231" t="s">
        <v>34</v>
      </c>
      <c r="D14" s="231"/>
      <c r="E14" s="231"/>
      <c r="F14" s="231"/>
      <c r="G14" s="251">
        <v>25</v>
      </c>
      <c r="H14" s="252"/>
      <c r="I14" s="351">
        <v>30</v>
      </c>
      <c r="K14" s="364">
        <v>42</v>
      </c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N14" s="122" t="s">
        <v>104</v>
      </c>
      <c r="AO14" s="123"/>
      <c r="AP14" s="123"/>
      <c r="AQ14" s="123"/>
      <c r="AR14" s="368">
        <f>'(2.1)_Proxy Resources'!H40</f>
        <v>6500.8988201101647</v>
      </c>
      <c r="AS14" s="127"/>
      <c r="AT14" s="117"/>
      <c r="AU14" s="118"/>
      <c r="AV14" s="369"/>
      <c r="AW14" s="235"/>
      <c r="AZ14" s="122" t="s">
        <v>105</v>
      </c>
      <c r="BA14" s="123"/>
      <c r="BB14" s="123"/>
      <c r="BC14" s="123"/>
      <c r="BD14" s="135">
        <v>454</v>
      </c>
      <c r="BE14" s="132"/>
      <c r="BG14" s="122" t="s">
        <v>244</v>
      </c>
      <c r="BH14" s="123"/>
      <c r="BI14" s="123"/>
      <c r="BJ14" s="123"/>
      <c r="BK14" s="373">
        <f>'(2.1)_Proxy Resources'!J41</f>
        <v>843</v>
      </c>
      <c r="BL14" s="132"/>
    </row>
    <row r="15" spans="1:64" ht="12">
      <c r="A15" t="s">
        <v>106</v>
      </c>
      <c r="B15" s="250"/>
      <c r="C15" s="231" t="s">
        <v>107</v>
      </c>
      <c r="D15" s="231"/>
      <c r="E15" s="231"/>
      <c r="F15" s="231"/>
      <c r="G15" s="255">
        <v>192.46011054334076</v>
      </c>
      <c r="H15" s="252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N15" s="122" t="s">
        <v>243</v>
      </c>
      <c r="AO15" s="123"/>
      <c r="AP15" s="123"/>
      <c r="AQ15" s="123"/>
      <c r="AR15" s="373">
        <f>'(2.1)_Proxy Resources'!J40</f>
        <v>1350.7921550317262</v>
      </c>
      <c r="AS15" s="127"/>
      <c r="AT15" s="117" t="s">
        <v>141</v>
      </c>
      <c r="AU15" s="118"/>
      <c r="AV15" s="369"/>
      <c r="AW15" s="235"/>
      <c r="AZ15" s="122" t="s">
        <v>108</v>
      </c>
      <c r="BA15" s="123"/>
      <c r="BB15" s="123"/>
      <c r="BC15" s="123"/>
      <c r="BD15" s="136">
        <v>8.3299999999999999E-2</v>
      </c>
      <c r="BE15" s="132"/>
      <c r="BG15" s="122" t="s">
        <v>108</v>
      </c>
      <c r="BH15" s="123"/>
      <c r="BI15" s="123"/>
      <c r="BJ15" s="123"/>
      <c r="BK15" s="374">
        <f>'(2.1)_Proxy Resources'!K41</f>
        <v>6.9599999999999995E-2</v>
      </c>
      <c r="BL15" s="132"/>
    </row>
    <row r="16" spans="1:64" ht="12">
      <c r="A16" t="s">
        <v>106</v>
      </c>
      <c r="B16" s="250"/>
      <c r="C16" s="231" t="s">
        <v>109</v>
      </c>
      <c r="D16" s="231"/>
      <c r="E16" s="231"/>
      <c r="F16" s="231"/>
      <c r="G16" s="255">
        <v>14.384830645825609</v>
      </c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N16" s="122" t="s">
        <v>108</v>
      </c>
      <c r="AO16" s="123"/>
      <c r="AP16" s="123"/>
      <c r="AQ16" s="123"/>
      <c r="AR16" s="374">
        <f>'(2.1)_Proxy Resources'!K41</f>
        <v>6.9599999999999995E-2</v>
      </c>
      <c r="AS16" s="127"/>
      <c r="AT16" s="117" t="s">
        <v>110</v>
      </c>
      <c r="AU16" s="124"/>
      <c r="AV16" s="375">
        <f>'(2.1)_Proxy Resources'!D40</f>
        <v>0.6976913086021953</v>
      </c>
      <c r="AW16" s="235"/>
      <c r="AZ16" s="122" t="s">
        <v>100</v>
      </c>
      <c r="BA16" s="124"/>
      <c r="BB16" s="129">
        <v>5.75</v>
      </c>
      <c r="BE16" s="130"/>
      <c r="BG16" s="122" t="s">
        <v>100</v>
      </c>
      <c r="BH16" s="124"/>
      <c r="BI16" s="369">
        <f>'(2.1)_Proxy Resources'!N41</f>
        <v>16.150000000000002</v>
      </c>
      <c r="BL16" s="130"/>
    </row>
    <row r="17" spans="1:64" ht="12">
      <c r="A17" t="s">
        <v>106</v>
      </c>
      <c r="B17" s="250"/>
      <c r="C17" s="231" t="s">
        <v>111</v>
      </c>
      <c r="D17" s="231"/>
      <c r="E17" s="231"/>
      <c r="F17" s="231"/>
      <c r="G17" s="255">
        <v>5.3332720597611454</v>
      </c>
      <c r="H17" s="252"/>
      <c r="I17" s="255">
        <v>0</v>
      </c>
      <c r="AB17" s="2"/>
      <c r="AG17" s="127"/>
      <c r="AI17" s="127"/>
      <c r="AJ17" s="123"/>
      <c r="AK17" s="130"/>
      <c r="AN17" s="2"/>
      <c r="AS17" s="127"/>
      <c r="AU17" s="127"/>
      <c r="AV17" s="123"/>
      <c r="AW17" s="130"/>
      <c r="AZ17" s="116" t="s">
        <v>101</v>
      </c>
      <c r="BA17" s="118"/>
      <c r="BB17" s="117">
        <v>2006</v>
      </c>
      <c r="BE17" s="128"/>
      <c r="BG17" s="116" t="s">
        <v>101</v>
      </c>
      <c r="BH17" s="118"/>
      <c r="BI17" s="371">
        <v>2018</v>
      </c>
      <c r="BL17" s="128"/>
    </row>
    <row r="18" spans="1:64" ht="12">
      <c r="B18" s="250"/>
      <c r="C18" s="231" t="s">
        <v>112</v>
      </c>
      <c r="D18" s="231"/>
      <c r="E18" s="231"/>
      <c r="F18" s="231"/>
      <c r="G18" s="254">
        <v>7.3164524549999999E-2</v>
      </c>
      <c r="H18" s="252"/>
      <c r="I18" s="352">
        <v>6.9199999999999998E-2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138"/>
      <c r="AO18" s="139"/>
      <c r="AP18" s="139"/>
      <c r="AQ18" s="139"/>
      <c r="AR18" s="139"/>
      <c r="AS18" s="139"/>
      <c r="AT18" s="139"/>
      <c r="AU18" s="139"/>
      <c r="AV18" s="139"/>
      <c r="AW18" s="140"/>
      <c r="AZ18" s="138"/>
      <c r="BA18" s="139"/>
      <c r="BB18" s="139"/>
      <c r="BC18" s="139"/>
      <c r="BD18" s="139"/>
      <c r="BE18" s="141"/>
      <c r="BG18" s="138"/>
      <c r="BH18" s="139"/>
      <c r="BI18" s="139"/>
      <c r="BJ18" s="139"/>
      <c r="BK18" s="139"/>
      <c r="BL18" s="141"/>
    </row>
    <row r="19" spans="1:64" ht="12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s="349">
        <v>0.11799999999999999</v>
      </c>
    </row>
    <row r="20" spans="1:64" ht="12.75">
      <c r="B20" s="231"/>
      <c r="C20" s="231"/>
      <c r="D20" s="231"/>
      <c r="E20" s="231"/>
      <c r="F20" s="231"/>
      <c r="G20" t="s">
        <v>113</v>
      </c>
      <c r="H20" s="231"/>
      <c r="AH20" s="213"/>
    </row>
    <row r="23" spans="1:64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f>+G13</f>
        <v>2008</v>
      </c>
      <c r="E28" s="169">
        <v>1.7000000000000001E-2</v>
      </c>
      <c r="G28" s="18">
        <v>267537.77831756306</v>
      </c>
      <c r="I28" s="268">
        <f>$G$15*(1+$E28)</f>
        <v>195.73193242257753</v>
      </c>
      <c r="J28" s="268"/>
      <c r="K28" s="268">
        <f>$G$16*(1+$E28)</f>
        <v>14.629372766804643</v>
      </c>
      <c r="L28" s="269"/>
      <c r="M28" s="268">
        <f>$G$17*(1+$E28)</f>
        <v>5.4239376847770844</v>
      </c>
      <c r="O28" s="270">
        <v>5.1866999999999992</v>
      </c>
      <c r="Q28" s="28">
        <v>-31.822979238320347</v>
      </c>
      <c r="S28" s="18">
        <f>(I28*$G$11*1000+(K28+M28+O28+Q28)*G28)/1000</f>
        <v>16637.608803784373</v>
      </c>
      <c r="U28" s="18">
        <f t="shared" ref="U28:U69" si="0">AX28</f>
        <v>18275.792486144186</v>
      </c>
      <c r="W28" s="18">
        <f>S28-U28</f>
        <v>-1638.1836823598132</v>
      </c>
      <c r="Y28" s="271">
        <f>+W28*1000/G28</f>
        <v>-6.123186387588655</v>
      </c>
      <c r="Z28" s="235"/>
      <c r="AB28" s="146">
        <f>$C$28</f>
        <v>2008</v>
      </c>
      <c r="AC28" s="117"/>
      <c r="AD28" s="151">
        <f>G28</f>
        <v>267537.77831756306</v>
      </c>
      <c r="AF28" s="152">
        <v>58.163412158772744</v>
      </c>
      <c r="AG28" s="272"/>
      <c r="AH28" s="152">
        <v>8.2001037061794015</v>
      </c>
      <c r="AI28" s="272"/>
      <c r="AJ28" s="152">
        <v>2.3050946065283835</v>
      </c>
      <c r="AK28" s="272"/>
      <c r="AL28" s="153">
        <f>((AF28+AH28)*$AF$11*1000+AJ28*AD28)/1000</f>
        <v>4771.6404120577536</v>
      </c>
      <c r="AN28" s="154">
        <v>7.9707205782722266</v>
      </c>
      <c r="AO28" s="272"/>
      <c r="AP28" s="154">
        <f>AN28*$AF$14/1000</f>
        <v>57.915425742323464</v>
      </c>
      <c r="AQ28" s="272"/>
      <c r="AR28" s="152">
        <v>2.3860545125109165</v>
      </c>
      <c r="AS28" s="152"/>
      <c r="AT28" s="153">
        <f t="shared" ref="AT28:AT69" si="1">AL28-BF28</f>
        <v>2142.8684295054004</v>
      </c>
      <c r="AU28" s="272"/>
      <c r="AV28" s="153">
        <f t="shared" ref="AV28:AV69" si="2">(AP28+AR28)*AD28/1000</f>
        <v>16132.924056638787</v>
      </c>
      <c r="AW28" s="273"/>
      <c r="AX28" s="155">
        <f>AT28+AV28</f>
        <v>18275.792486144186</v>
      </c>
      <c r="AZ28" s="146">
        <f>$C$28</f>
        <v>2008</v>
      </c>
      <c r="BA28" s="117"/>
      <c r="BB28" s="152">
        <v>39.191870478599988</v>
      </c>
      <c r="BD28" s="152">
        <v>5.9588572499999986</v>
      </c>
      <c r="BE28" s="272"/>
      <c r="BF28" s="153">
        <f>(BB28+BD28)*$BD$11</f>
        <v>2628.7719825523532</v>
      </c>
      <c r="BG28" s="272"/>
      <c r="BH28" s="156"/>
    </row>
    <row r="29" spans="1:64" ht="12">
      <c r="B29" s="2"/>
      <c r="C29">
        <f>+IF(C28&gt;$G$13+$G$14,XX,C28+1)</f>
        <v>2009</v>
      </c>
      <c r="E29" s="169">
        <v>1.7000000000000001E-2</v>
      </c>
      <c r="G29" s="18">
        <v>266887.27898453025</v>
      </c>
      <c r="I29" s="28">
        <f>I28*(1+$E29)</f>
        <v>199.05937527376133</v>
      </c>
      <c r="K29" s="28">
        <f>K28*(1+$E29)</f>
        <v>14.878072103840321</v>
      </c>
      <c r="M29" s="28">
        <f>M28*(1+$E29)</f>
        <v>5.5161446254182946</v>
      </c>
      <c r="O29" s="270">
        <v>5.2748738999999985</v>
      </c>
      <c r="Q29" s="28">
        <v>-32.441830107908217</v>
      </c>
      <c r="S29" s="18">
        <f>(I29*$G$11*1000+(K29+M29+O29+Q29)*G29)/1000</f>
        <v>16904.023265005671</v>
      </c>
      <c r="U29" s="18">
        <f t="shared" si="0"/>
        <v>17904.357904662171</v>
      </c>
      <c r="W29" s="18">
        <f t="shared" ref="W29:W69" si="3">S29-U29</f>
        <v>-1000.3346396564993</v>
      </c>
      <c r="Y29" s="271">
        <f t="shared" ref="Y29:Y69" si="4">+W29*1000/G29</f>
        <v>-3.7481540651268075</v>
      </c>
      <c r="Z29" s="235"/>
      <c r="AB29" s="146">
        <f>+IF(AB28&gt;$G$13+$G$14,XX,AB28+1)</f>
        <v>2009</v>
      </c>
      <c r="AC29" s="117"/>
      <c r="AD29" s="151">
        <f t="shared" ref="AD29:AD69" si="5">G29</f>
        <v>266887.27898453025</v>
      </c>
      <c r="AF29" s="154">
        <f>AF28*(1+$E29)</f>
        <v>59.152190165471872</v>
      </c>
      <c r="AH29" s="154">
        <f>AH28*(1+$E29)</f>
        <v>8.3395054691844503</v>
      </c>
      <c r="AJ29" s="154">
        <f>AJ28*(1+$E29)</f>
        <v>2.3442812148393659</v>
      </c>
      <c r="AL29" s="153">
        <f t="shared" ref="AL29:AL38" si="6">((AF29+AH29)*$AF$11*1000+AJ29*AD29)/1000</f>
        <v>4851.2333456960405</v>
      </c>
      <c r="AN29" s="154">
        <v>7.7758276535043622</v>
      </c>
      <c r="AP29" s="154">
        <f t="shared" ref="AP29:AP38" si="7">AN29*$AF$14/1000</f>
        <v>56.499329593768707</v>
      </c>
      <c r="AR29" s="154">
        <f>AR28*(1+$E29)</f>
        <v>2.4266174392236017</v>
      </c>
      <c r="AS29" s="154"/>
      <c r="AT29" s="153">
        <f t="shared" si="1"/>
        <v>2177.7722394402981</v>
      </c>
      <c r="AV29" s="153">
        <f t="shared" si="2"/>
        <v>15726.585665221872</v>
      </c>
      <c r="AW29" s="273"/>
      <c r="AX29" s="155">
        <f t="shared" ref="AX29:AX69" si="8">AT29+AV29</f>
        <v>17904.357904662171</v>
      </c>
      <c r="AZ29" s="146">
        <f>+IF(AZ28&gt;$G$13+$G$14,XX,AZ28+1)</f>
        <v>2009</v>
      </c>
      <c r="BA29" s="117"/>
      <c r="BB29" s="154">
        <f>BB28*(1+$E29)</f>
        <v>39.858132276736185</v>
      </c>
      <c r="BD29" s="154">
        <f>BD28*(1+$E29)</f>
        <v>6.0601578232499982</v>
      </c>
      <c r="BF29" s="153">
        <f t="shared" ref="BF29:BF38" si="9">(BB29+BD29)*$BD$11</f>
        <v>2673.4611062557424</v>
      </c>
      <c r="BH29" s="157"/>
    </row>
    <row r="30" spans="1:64" ht="12">
      <c r="B30" s="2"/>
      <c r="C30">
        <f>+IF(C29&gt;$G$13+$G$14,XX,C29+1)</f>
        <v>2010</v>
      </c>
      <c r="E30" s="169">
        <v>1.9E-2</v>
      </c>
      <c r="G30" s="18">
        <v>266887.27898453025</v>
      </c>
      <c r="I30" s="28">
        <f t="shared" ref="I30:I38" si="10">I29*(1+$E30)</f>
        <v>202.84150340396278</v>
      </c>
      <c r="K30" s="28">
        <f>K29*(1+$E30)</f>
        <v>15.160755473813285</v>
      </c>
      <c r="M30" s="28">
        <f t="shared" ref="M30:M69" si="11">M29*(1+$E30)</f>
        <v>5.6209513733012413</v>
      </c>
      <c r="O30" s="270">
        <v>5.3750965040999983</v>
      </c>
      <c r="Q30" s="28">
        <v>-33.072715564073334</v>
      </c>
      <c r="S30" s="18">
        <f t="shared" ref="S30:S38" si="12">(I30*$G$11*1000+(K30+M30+O30+Q30)*G30)/1000</f>
        <v>17221.332327786735</v>
      </c>
      <c r="U30" s="18">
        <f t="shared" si="0"/>
        <v>17379.415844316856</v>
      </c>
      <c r="W30" s="18">
        <f t="shared" si="3"/>
        <v>-158.08351653012141</v>
      </c>
      <c r="Y30" s="271">
        <f t="shared" si="4"/>
        <v>-0.59232316029301835</v>
      </c>
      <c r="Z30" s="235"/>
      <c r="AB30" s="146">
        <f>+IF(AB29&gt;$G$13+$G$14,XX,AB29+1)</f>
        <v>2010</v>
      </c>
      <c r="AC30" s="117"/>
      <c r="AD30" s="151">
        <f t="shared" si="5"/>
        <v>266887.27898453025</v>
      </c>
      <c r="AF30" s="154">
        <f t="shared" ref="AF30:AF68" si="13">AF29*(1+$E30)</f>
        <v>60.276081778615833</v>
      </c>
      <c r="AH30" s="154">
        <f t="shared" ref="AH30:AH68" si="14">AH29*(1+$E30)</f>
        <v>8.4979560730989547</v>
      </c>
      <c r="AJ30" s="154">
        <f t="shared" ref="AJ30:AJ68" si="15">AJ29*(1+$E30)</f>
        <v>2.3888225579213138</v>
      </c>
      <c r="AL30" s="153">
        <f t="shared" si="6"/>
        <v>4943.4067792642645</v>
      </c>
      <c r="AN30" s="154">
        <v>7.4774457529777205</v>
      </c>
      <c r="AP30" s="154">
        <f t="shared" si="7"/>
        <v>54.331280339864243</v>
      </c>
      <c r="AR30" s="154">
        <f t="shared" ref="AR30:AR68" si="16">AR29*(1+$E30)</f>
        <v>2.4727231705688499</v>
      </c>
      <c r="AS30" s="154"/>
      <c r="AT30" s="153">
        <f t="shared" si="1"/>
        <v>2219.149911989663</v>
      </c>
      <c r="AV30" s="153">
        <f t="shared" si="2"/>
        <v>15160.265932327193</v>
      </c>
      <c r="AW30" s="273"/>
      <c r="AX30" s="155">
        <f t="shared" si="8"/>
        <v>17379.415844316856</v>
      </c>
      <c r="AZ30" s="146">
        <f>+IF(AZ29&gt;$G$13+$G$14,XX,AZ29+1)</f>
        <v>2010</v>
      </c>
      <c r="BA30" s="117"/>
      <c r="BB30" s="154">
        <f t="shared" ref="BB30:BB68" si="17">BB29*(1+$E30)</f>
        <v>40.61543678999417</v>
      </c>
      <c r="BD30" s="154">
        <f t="shared" ref="BD30:BD68" si="18">BD29*(1+$E30)</f>
        <v>6.1753008218917476</v>
      </c>
      <c r="BF30" s="153">
        <f t="shared" si="9"/>
        <v>2724.2568672746015</v>
      </c>
      <c r="BH30" s="157"/>
    </row>
    <row r="31" spans="1:64" ht="12">
      <c r="B31" s="2"/>
      <c r="C31">
        <f>+IF(C30&gt;$G$13+$G$14,XX,C30+1)</f>
        <v>2011</v>
      </c>
      <c r="E31" s="169">
        <v>1.9E-2</v>
      </c>
      <c r="G31" s="18">
        <v>266887.27898453025</v>
      </c>
      <c r="I31" s="28">
        <f t="shared" si="10"/>
        <v>206.69549196863804</v>
      </c>
      <c r="K31" s="28">
        <f t="shared" ref="K31:K38" si="19">K30*(1+$E31)</f>
        <v>15.448809827815737</v>
      </c>
      <c r="M31" s="28">
        <f t="shared" si="11"/>
        <v>5.727749449393964</v>
      </c>
      <c r="O31" s="270">
        <v>5.4772233376778976</v>
      </c>
      <c r="Q31" s="28">
        <v>-33.715869639409341</v>
      </c>
      <c r="S31" s="18">
        <f>(I31*$G$11*1000+(K31+M31+O31+Q31)*G31)/1000</f>
        <v>17544.59505512541</v>
      </c>
      <c r="U31" s="18">
        <f t="shared" si="0"/>
        <v>16667.54520753082</v>
      </c>
      <c r="W31" s="18">
        <f t="shared" si="3"/>
        <v>877.04984759458966</v>
      </c>
      <c r="Y31" s="271">
        <f t="shared" si="4"/>
        <v>3.2862182526332648</v>
      </c>
      <c r="Z31" s="235"/>
      <c r="AB31" s="146">
        <f>+IF(AB30&gt;$G$13+$G$14,XX,AB30+1)</f>
        <v>2011</v>
      </c>
      <c r="AC31" s="117"/>
      <c r="AD31" s="151">
        <f t="shared" si="5"/>
        <v>266887.27898453025</v>
      </c>
      <c r="AF31" s="154">
        <f t="shared" si="13"/>
        <v>61.421327332409525</v>
      </c>
      <c r="AH31" s="154">
        <f t="shared" si="14"/>
        <v>8.6594172384878334</v>
      </c>
      <c r="AJ31" s="154">
        <f t="shared" si="15"/>
        <v>2.4342101865218186</v>
      </c>
      <c r="AL31" s="153">
        <f t="shared" si="6"/>
        <v>5037.3315080702851</v>
      </c>
      <c r="AN31" s="154">
        <v>7.0821436233211914</v>
      </c>
      <c r="AP31" s="154">
        <f t="shared" si="7"/>
        <v>51.459006633731178</v>
      </c>
      <c r="AR31" s="154">
        <f t="shared" si="16"/>
        <v>2.5197049108096579</v>
      </c>
      <c r="AS31" s="154"/>
      <c r="AT31" s="153">
        <f t="shared" si="1"/>
        <v>2261.3137603174664</v>
      </c>
      <c r="AV31" s="153">
        <f t="shared" si="2"/>
        <v>14406.231447213353</v>
      </c>
      <c r="AW31" s="273"/>
      <c r="AX31" s="155">
        <f t="shared" si="8"/>
        <v>16667.54520753082</v>
      </c>
      <c r="AZ31" s="146">
        <f>+IF(AZ30&gt;$G$13+$G$14,XX,AZ30+1)</f>
        <v>2011</v>
      </c>
      <c r="BA31" s="117"/>
      <c r="BB31" s="154">
        <f t="shared" si="17"/>
        <v>41.387130089004053</v>
      </c>
      <c r="BD31" s="154">
        <f t="shared" si="18"/>
        <v>6.29263153750769</v>
      </c>
      <c r="BF31" s="153">
        <f t="shared" si="9"/>
        <v>2776.0177477528187</v>
      </c>
      <c r="BH31" s="157"/>
    </row>
    <row r="32" spans="1:64" ht="12">
      <c r="B32" s="2"/>
      <c r="C32">
        <f>+IF(C31&gt;$G$13+$G$14,XX,C31+1)</f>
        <v>2012</v>
      </c>
      <c r="E32" s="169">
        <v>0.02</v>
      </c>
      <c r="G32" s="18">
        <v>267537.77831756306</v>
      </c>
      <c r="I32" s="28">
        <f t="shared" si="10"/>
        <v>210.8294018080108</v>
      </c>
      <c r="K32" s="28">
        <f t="shared" si="19"/>
        <v>15.757786024372052</v>
      </c>
      <c r="M32" s="28">
        <f t="shared" si="11"/>
        <v>5.8423044383818432</v>
      </c>
      <c r="O32" s="270">
        <v>5.5867678044314557</v>
      </c>
      <c r="Q32" s="28">
        <v>-34.371530917663719</v>
      </c>
      <c r="S32" s="18">
        <f t="shared" si="12"/>
        <v>17895.792411105074</v>
      </c>
      <c r="U32" s="18">
        <f t="shared" si="0"/>
        <v>16024.92093536946</v>
      </c>
      <c r="W32" s="18">
        <f t="shared" si="3"/>
        <v>1870.8714757356138</v>
      </c>
      <c r="Y32" s="271">
        <f t="shared" si="4"/>
        <v>6.992924466595964</v>
      </c>
      <c r="Z32" s="235"/>
      <c r="AB32" s="146">
        <f>+IF(AB31&gt;$G$13+$G$14,XX,AB31+1)</f>
        <v>2012</v>
      </c>
      <c r="AC32" s="117"/>
      <c r="AD32" s="151">
        <f t="shared" si="5"/>
        <v>267537.77831756306</v>
      </c>
      <c r="AF32" s="154">
        <f t="shared" si="13"/>
        <v>62.64975387905772</v>
      </c>
      <c r="AH32" s="154">
        <f t="shared" si="14"/>
        <v>8.8326055832575907</v>
      </c>
      <c r="AJ32" s="154">
        <f t="shared" si="15"/>
        <v>2.4828943902522549</v>
      </c>
      <c r="AL32" s="153">
        <f t="shared" si="6"/>
        <v>5139.6932593765414</v>
      </c>
      <c r="AN32" s="154">
        <v>6.7024699037828679</v>
      </c>
      <c r="AP32" s="154">
        <f t="shared" si="7"/>
        <v>48.700289288881038</v>
      </c>
      <c r="AR32" s="154">
        <f t="shared" si="16"/>
        <v>2.5700990090258511</v>
      </c>
      <c r="AS32" s="154"/>
      <c r="AT32" s="153">
        <f t="shared" si="1"/>
        <v>2308.1551566686667</v>
      </c>
      <c r="AV32" s="153">
        <f t="shared" si="2"/>
        <v>13716.765778700794</v>
      </c>
      <c r="AW32" s="273"/>
      <c r="AX32" s="155">
        <f t="shared" si="8"/>
        <v>16024.92093536946</v>
      </c>
      <c r="AZ32" s="146">
        <f>+IF(AZ31&gt;$G$13+$G$14,XX,AZ31+1)</f>
        <v>2012</v>
      </c>
      <c r="BA32" s="117"/>
      <c r="BB32" s="154">
        <f t="shared" si="17"/>
        <v>42.214872690784134</v>
      </c>
      <c r="BD32" s="154">
        <f t="shared" si="18"/>
        <v>6.4184841682578435</v>
      </c>
      <c r="BF32" s="153">
        <f t="shared" si="9"/>
        <v>2831.5381027078747</v>
      </c>
      <c r="BH32" s="157"/>
    </row>
    <row r="33" spans="2:60" ht="12">
      <c r="B33" s="2"/>
      <c r="C33">
        <f>+IF(C32&gt;$G$13+$G$14,XX,C32+1)</f>
        <v>2013</v>
      </c>
      <c r="E33" s="169">
        <v>1.9E-2</v>
      </c>
      <c r="G33" s="18">
        <v>266887.27898453025</v>
      </c>
      <c r="I33" s="28">
        <f t="shared" si="10"/>
        <v>214.83516044236299</v>
      </c>
      <c r="K33" s="28">
        <f t="shared" si="19"/>
        <v>16.057183958835118</v>
      </c>
      <c r="M33" s="28">
        <f t="shared" si="11"/>
        <v>5.9533082227110974</v>
      </c>
      <c r="O33" s="270">
        <v>5.6929163927156532</v>
      </c>
      <c r="Q33" s="28">
        <v>-35.039942622242556</v>
      </c>
      <c r="S33" s="18">
        <f t="shared" si="12"/>
        <v>18236.477472339189</v>
      </c>
      <c r="U33" s="18">
        <f t="shared" si="0"/>
        <v>16041.042138788463</v>
      </c>
      <c r="W33" s="18">
        <f t="shared" si="3"/>
        <v>2195.4353335507258</v>
      </c>
      <c r="Y33" s="271">
        <f t="shared" si="4"/>
        <v>8.2260770985565816</v>
      </c>
      <c r="Z33" s="235"/>
      <c r="AB33" s="146">
        <f>+IF(AB32&gt;$G$13+$G$14,XX,AB32+1)</f>
        <v>2013</v>
      </c>
      <c r="AC33" s="117"/>
      <c r="AD33" s="151">
        <f t="shared" si="5"/>
        <v>266887.27898453025</v>
      </c>
      <c r="AF33" s="154">
        <f>AF32*(1+$E33)</f>
        <v>63.840099202759809</v>
      </c>
      <c r="AH33" s="154">
        <f t="shared" si="14"/>
        <v>9.0004250893394833</v>
      </c>
      <c r="AJ33" s="154">
        <f t="shared" si="15"/>
        <v>2.5300693836670476</v>
      </c>
      <c r="AL33" s="153">
        <f t="shared" si="6"/>
        <v>5235.7016228580924</v>
      </c>
      <c r="AN33" s="154">
        <v>6.6994948806584134</v>
      </c>
      <c r="AP33" s="154">
        <f t="shared" si="7"/>
        <v>48.678672707399592</v>
      </c>
      <c r="AR33" s="154">
        <f t="shared" si="16"/>
        <v>2.6189308901973418</v>
      </c>
      <c r="AS33" s="154"/>
      <c r="AT33" s="153">
        <f t="shared" si="1"/>
        <v>2350.3642961987684</v>
      </c>
      <c r="AV33" s="153">
        <f t="shared" si="2"/>
        <v>13690.677842589696</v>
      </c>
      <c r="AW33" s="273"/>
      <c r="AX33" s="155">
        <f t="shared" si="8"/>
        <v>16041.042138788463</v>
      </c>
      <c r="AZ33" s="146">
        <f>+IF(AZ32&gt;$G$13+$G$14,XX,AZ32+1)</f>
        <v>2013</v>
      </c>
      <c r="BA33" s="117"/>
      <c r="BB33" s="154">
        <f t="shared" si="17"/>
        <v>43.016955271909026</v>
      </c>
      <c r="BD33" s="154">
        <f t="shared" si="18"/>
        <v>6.5404353674547417</v>
      </c>
      <c r="BF33" s="153">
        <f t="shared" si="9"/>
        <v>2885.3373266593239</v>
      </c>
      <c r="BH33" s="157"/>
    </row>
    <row r="34" spans="2:60" ht="12">
      <c r="B34" s="2"/>
      <c r="C34">
        <f>+IF(C33&gt;$G$13+$G$14,XX,C33+1)</f>
        <v>2014</v>
      </c>
      <c r="E34" s="169">
        <v>1.7999999999999999E-2</v>
      </c>
      <c r="G34" s="18">
        <v>266887.27898453025</v>
      </c>
      <c r="I34" s="28">
        <f t="shared" si="10"/>
        <v>218.70219333032551</v>
      </c>
      <c r="K34" s="28">
        <f t="shared" si="19"/>
        <v>16.34621327009415</v>
      </c>
      <c r="M34" s="28">
        <f t="shared" si="11"/>
        <v>6.0604677707198968</v>
      </c>
      <c r="O34" s="270">
        <v>5.7953888877845348</v>
      </c>
      <c r="Q34" s="28">
        <v>-35.721352706436427</v>
      </c>
      <c r="S34" s="18">
        <f t="shared" si="12"/>
        <v>18551.205252558215</v>
      </c>
      <c r="U34" s="18">
        <f t="shared" si="0"/>
        <v>16511.916790422696</v>
      </c>
      <c r="W34" s="18">
        <f t="shared" si="3"/>
        <v>2039.2884621355188</v>
      </c>
      <c r="Y34" s="271">
        <f t="shared" si="4"/>
        <v>7.6410103542391896</v>
      </c>
      <c r="Z34" s="235"/>
      <c r="AB34" s="146">
        <f>+IF(AB33&gt;$G$13+$G$14,XX,AB33+1)</f>
        <v>2014</v>
      </c>
      <c r="AC34" s="117"/>
      <c r="AD34" s="151">
        <f t="shared" si="5"/>
        <v>266887.27898453025</v>
      </c>
      <c r="AF34" s="154">
        <f t="shared" si="13"/>
        <v>64.989220988409485</v>
      </c>
      <c r="AH34" s="154">
        <f t="shared" si="14"/>
        <v>9.1624327409475939</v>
      </c>
      <c r="AJ34" s="154">
        <f t="shared" si="15"/>
        <v>2.5756106325730546</v>
      </c>
      <c r="AL34" s="153">
        <f t="shared" si="6"/>
        <v>5329.9442520695384</v>
      </c>
      <c r="AN34" s="154">
        <v>6.9140085811973453</v>
      </c>
      <c r="AP34" s="154">
        <f t="shared" si="7"/>
        <v>50.2373338312307</v>
      </c>
      <c r="AR34" s="154">
        <f t="shared" si="16"/>
        <v>2.6660716462208942</v>
      </c>
      <c r="AS34" s="154"/>
      <c r="AT34" s="153">
        <f t="shared" si="1"/>
        <v>2392.6708535303464</v>
      </c>
      <c r="AV34" s="153">
        <f t="shared" si="2"/>
        <v>14119.24593689235</v>
      </c>
      <c r="AW34" s="273"/>
      <c r="AX34" s="155">
        <f t="shared" si="8"/>
        <v>16511.916790422696</v>
      </c>
      <c r="AZ34" s="146">
        <f>+IF(AZ33&gt;$G$13+$G$14,XX,AZ33+1)</f>
        <v>2014</v>
      </c>
      <c r="BA34" s="117"/>
      <c r="BB34" s="154">
        <f t="shared" si="17"/>
        <v>43.791260466803386</v>
      </c>
      <c r="BD34" s="154">
        <f t="shared" si="18"/>
        <v>6.6581632040689271</v>
      </c>
      <c r="BF34" s="153">
        <f t="shared" si="9"/>
        <v>2937.2733985391919</v>
      </c>
      <c r="BH34" s="157"/>
    </row>
    <row r="35" spans="2:60" ht="12">
      <c r="B35" s="2"/>
      <c r="C35">
        <f>+IF(C34&gt;$G$13+$G$14,XX,C34+1)</f>
        <v>2015</v>
      </c>
      <c r="E35" s="169">
        <v>1.7999999999999999E-2</v>
      </c>
      <c r="G35" s="18">
        <v>266887.27898453025</v>
      </c>
      <c r="I35" s="28">
        <f t="shared" si="10"/>
        <v>222.63883281027137</v>
      </c>
      <c r="K35" s="28">
        <f t="shared" si="19"/>
        <v>16.640445108955845</v>
      </c>
      <c r="M35" s="28">
        <f t="shared" si="11"/>
        <v>6.1695561905928553</v>
      </c>
      <c r="O35" s="270">
        <v>5.8997058877646564</v>
      </c>
      <c r="Q35" s="28">
        <v>-36.416013945400927</v>
      </c>
      <c r="S35" s="18">
        <f t="shared" si="12"/>
        <v>18871.335042479419</v>
      </c>
      <c r="U35" s="18">
        <f t="shared" si="0"/>
        <v>17348.11582122137</v>
      </c>
      <c r="W35" s="18">
        <f t="shared" si="3"/>
        <v>1523.2192212580485</v>
      </c>
      <c r="Y35" s="271">
        <f t="shared" si="4"/>
        <v>5.7073504104567672</v>
      </c>
      <c r="Z35" s="235"/>
      <c r="AB35" s="146">
        <f>+IF(AB34&gt;$G$13+$G$14,XX,AB34+1)</f>
        <v>2015</v>
      </c>
      <c r="AC35" s="117"/>
      <c r="AD35" s="151">
        <f t="shared" si="5"/>
        <v>266887.27898453025</v>
      </c>
      <c r="AF35" s="154">
        <f t="shared" si="13"/>
        <v>66.159026966200855</v>
      </c>
      <c r="AH35" s="154">
        <f t="shared" si="14"/>
        <v>9.3273565302846499</v>
      </c>
      <c r="AJ35" s="154">
        <f t="shared" si="15"/>
        <v>2.6219716239593698</v>
      </c>
      <c r="AL35" s="153">
        <f t="shared" si="6"/>
        <v>5425.8832486067895</v>
      </c>
      <c r="AN35" s="154">
        <v>7.3164011858738007</v>
      </c>
      <c r="AP35" s="154">
        <f t="shared" si="7"/>
        <v>53.161127080102943</v>
      </c>
      <c r="AR35" s="154">
        <f t="shared" si="16"/>
        <v>2.7140609358528702</v>
      </c>
      <c r="AS35" s="154"/>
      <c r="AT35" s="153">
        <f t="shared" si="1"/>
        <v>2435.7389288938921</v>
      </c>
      <c r="AV35" s="153">
        <f t="shared" si="2"/>
        <v>14912.37689232748</v>
      </c>
      <c r="AW35" s="273"/>
      <c r="AX35" s="155">
        <f t="shared" si="8"/>
        <v>17348.11582122137</v>
      </c>
      <c r="AZ35" s="146">
        <f>+IF(AZ34&gt;$G$13+$G$14,XX,AZ34+1)</f>
        <v>2015</v>
      </c>
      <c r="BA35" s="117"/>
      <c r="BB35" s="154">
        <f t="shared" si="17"/>
        <v>44.579503155205849</v>
      </c>
      <c r="BD35" s="154">
        <f t="shared" si="18"/>
        <v>6.7780101417421683</v>
      </c>
      <c r="BF35" s="153">
        <f t="shared" si="9"/>
        <v>2990.1443197128974</v>
      </c>
      <c r="BH35" s="157"/>
    </row>
    <row r="36" spans="2:60" ht="12">
      <c r="B36" s="2"/>
      <c r="C36">
        <f>+IF(C35&gt;$G$13+$G$14,XX,C35+1)</f>
        <v>2016</v>
      </c>
      <c r="E36" s="169">
        <v>1.7999999999999999E-2</v>
      </c>
      <c r="G36" s="18">
        <v>267537.77831756306</v>
      </c>
      <c r="I36" s="28">
        <f t="shared" si="10"/>
        <v>226.64633180085625</v>
      </c>
      <c r="K36" s="28">
        <f t="shared" si="19"/>
        <v>16.939973120917049</v>
      </c>
      <c r="M36" s="28">
        <f t="shared" si="11"/>
        <v>6.2806082020235268</v>
      </c>
      <c r="O36" s="270">
        <v>6.0059005937444203</v>
      </c>
      <c r="Q36" s="28">
        <v>-37.124184029925821</v>
      </c>
      <c r="S36" s="18">
        <f t="shared" si="12"/>
        <v>19191.821512090111</v>
      </c>
      <c r="U36" s="18">
        <f t="shared" si="0"/>
        <v>18618.768586414961</v>
      </c>
      <c r="W36" s="18">
        <f t="shared" si="3"/>
        <v>573.05292567515062</v>
      </c>
      <c r="Y36" s="271">
        <f t="shared" si="4"/>
        <v>2.1419514256223882</v>
      </c>
      <c r="Z36" s="235"/>
      <c r="AB36" s="146">
        <f>+IF(AB35&gt;$G$13+$G$14,XX,AB35+1)</f>
        <v>2016</v>
      </c>
      <c r="AC36" s="117"/>
      <c r="AD36" s="151">
        <f t="shared" si="5"/>
        <v>267537.77831756306</v>
      </c>
      <c r="AF36" s="154">
        <f t="shared" si="13"/>
        <v>67.349889451592475</v>
      </c>
      <c r="AH36" s="154">
        <f t="shared" si="14"/>
        <v>9.4952489478297739</v>
      </c>
      <c r="AJ36" s="154">
        <f t="shared" si="15"/>
        <v>2.6691671131906385</v>
      </c>
      <c r="AL36" s="153">
        <f t="shared" si="6"/>
        <v>5525.2854385085966</v>
      </c>
      <c r="AN36" s="154">
        <v>7.9211828417083421</v>
      </c>
      <c r="AP36" s="154">
        <f t="shared" si="7"/>
        <v>57.555483491778489</v>
      </c>
      <c r="AR36" s="154">
        <f t="shared" si="16"/>
        <v>2.7629140326982218</v>
      </c>
      <c r="AS36" s="154"/>
      <c r="AT36" s="153">
        <f t="shared" si="1"/>
        <v>2481.3185210408669</v>
      </c>
      <c r="AV36" s="153">
        <f t="shared" si="2"/>
        <v>16137.450065374094</v>
      </c>
      <c r="AW36" s="273"/>
      <c r="AX36" s="155">
        <f t="shared" si="8"/>
        <v>18618.768586414961</v>
      </c>
      <c r="AZ36" s="146">
        <f>+IF(AZ35&gt;$G$13+$G$14,XX,AZ35+1)</f>
        <v>2016</v>
      </c>
      <c r="BA36" s="117"/>
      <c r="BB36" s="154">
        <f t="shared" si="17"/>
        <v>45.381934211999557</v>
      </c>
      <c r="BD36" s="154">
        <f t="shared" si="18"/>
        <v>6.9000143242935277</v>
      </c>
      <c r="BF36" s="153">
        <f t="shared" si="9"/>
        <v>3043.9669174677297</v>
      </c>
      <c r="BH36" s="157"/>
    </row>
    <row r="37" spans="2:60" ht="12">
      <c r="B37" s="2"/>
      <c r="C37">
        <f>+IF(C36&gt;$G$13+$G$14,XX,C36+1)</f>
        <v>2017</v>
      </c>
      <c r="E37" s="169">
        <v>1.7999999999999999E-2</v>
      </c>
      <c r="G37" s="18">
        <v>266887.27898453025</v>
      </c>
      <c r="I37" s="28">
        <f t="shared" si="10"/>
        <v>230.72596577327167</v>
      </c>
      <c r="K37" s="28">
        <f t="shared" si="19"/>
        <v>17.244892637093557</v>
      </c>
      <c r="M37" s="28">
        <f t="shared" si="11"/>
        <v>6.3936591496599506</v>
      </c>
      <c r="O37" s="270">
        <v>6.1140068044318197</v>
      </c>
      <c r="Q37" s="28">
        <v>-37.846125662027781</v>
      </c>
      <c r="S37" s="18">
        <f t="shared" si="12"/>
        <v>19528.170689871593</v>
      </c>
      <c r="U37" s="18">
        <f t="shared" si="0"/>
        <v>19848.814759941983</v>
      </c>
      <c r="W37" s="18">
        <f t="shared" si="3"/>
        <v>-320.64407007038972</v>
      </c>
      <c r="Y37" s="271">
        <f t="shared" si="4"/>
        <v>-1.2014213314714615</v>
      </c>
      <c r="Z37" s="235"/>
      <c r="AB37" s="146">
        <f>+IF(AB36&gt;$G$13+$G$14,XX,AB36+1)</f>
        <v>2017</v>
      </c>
      <c r="AC37" s="117"/>
      <c r="AD37" s="151">
        <f t="shared" si="5"/>
        <v>266887.27898453025</v>
      </c>
      <c r="AF37" s="154">
        <f t="shared" si="13"/>
        <v>68.562187461721138</v>
      </c>
      <c r="AH37" s="154">
        <f t="shared" si="14"/>
        <v>9.6661634288907106</v>
      </c>
      <c r="AJ37" s="154">
        <f t="shared" si="15"/>
        <v>2.7172121212280702</v>
      </c>
      <c r="AL37" s="153">
        <f t="shared" si="6"/>
        <v>5622.9730317291842</v>
      </c>
      <c r="AN37" s="154">
        <v>8.5467545643478058</v>
      </c>
      <c r="AP37" s="154">
        <f>AN37*$AF$14/1000</f>
        <v>62.100900972324112</v>
      </c>
      <c r="AR37" s="154">
        <f t="shared" si="16"/>
        <v>2.8126464852867898</v>
      </c>
      <c r="AS37" s="154"/>
      <c r="AT37" s="153">
        <f t="shared" si="1"/>
        <v>2524.2147097470352</v>
      </c>
      <c r="AV37" s="153">
        <f t="shared" si="2"/>
        <v>17324.600050194946</v>
      </c>
      <c r="AW37" s="273"/>
      <c r="AX37" s="155">
        <f t="shared" si="8"/>
        <v>19848.814759941983</v>
      </c>
      <c r="AZ37" s="146">
        <f>+IF(AZ36&gt;$G$13+$G$14,XX,AZ36+1)</f>
        <v>2017</v>
      </c>
      <c r="BA37" s="117"/>
      <c r="BB37" s="154">
        <f t="shared" si="17"/>
        <v>46.19880902781555</v>
      </c>
      <c r="BD37" s="154">
        <f t="shared" si="18"/>
        <v>7.0242145821308108</v>
      </c>
      <c r="BF37" s="153">
        <f t="shared" si="9"/>
        <v>3098.758321982149</v>
      </c>
      <c r="BH37" s="157"/>
    </row>
    <row r="38" spans="2:60" ht="12">
      <c r="B38" s="2"/>
      <c r="C38">
        <f>+IF(C37&gt;$G$13+$G$14,XX,C37+1)</f>
        <v>2018</v>
      </c>
      <c r="E38" s="169">
        <v>1.7999999999999999E-2</v>
      </c>
      <c r="G38" s="18">
        <v>266887.27898453025</v>
      </c>
      <c r="I38" s="28">
        <f t="shared" si="10"/>
        <v>234.87903315719055</v>
      </c>
      <c r="K38" s="28">
        <f t="shared" si="19"/>
        <v>17.55530070456124</v>
      </c>
      <c r="M38" s="28">
        <f t="shared" si="11"/>
        <v>6.5087450143538295</v>
      </c>
      <c r="O38" s="270">
        <v>6.2240589269115922</v>
      </c>
      <c r="Q38" s="28">
        <v>0</v>
      </c>
      <c r="S38" s="18">
        <f t="shared" si="12"/>
        <v>30162.138951299297</v>
      </c>
      <c r="U38" s="18">
        <f t="shared" si="0"/>
        <v>20994.483925722547</v>
      </c>
      <c r="W38" s="18">
        <f t="shared" si="3"/>
        <v>9167.6550255767506</v>
      </c>
      <c r="Y38" s="271">
        <f t="shared" si="4"/>
        <v>34.350288483057078</v>
      </c>
      <c r="Z38" s="235"/>
      <c r="AB38" s="146">
        <f>+IF(AB37&gt;$G$13+$G$14,XX,AB37+1)</f>
        <v>2018</v>
      </c>
      <c r="AC38" s="117"/>
      <c r="AD38" s="151">
        <f t="shared" si="5"/>
        <v>266887.27898453025</v>
      </c>
      <c r="AF38" s="154">
        <f t="shared" si="13"/>
        <v>69.796306836032116</v>
      </c>
      <c r="AH38" s="154">
        <f t="shared" si="14"/>
        <v>9.8401543706107439</v>
      </c>
      <c r="AJ38" s="154">
        <f t="shared" si="15"/>
        <v>2.7661219394101755</v>
      </c>
      <c r="AL38" s="153">
        <f t="shared" si="6"/>
        <v>5724.1865463003087</v>
      </c>
      <c r="AN38" s="154">
        <v>9.1071488375904099</v>
      </c>
      <c r="AP38" s="154">
        <f t="shared" si="7"/>
        <v>66.172737715275218</v>
      </c>
      <c r="AR38" s="154">
        <f t="shared" si="16"/>
        <v>2.8632741220219522</v>
      </c>
      <c r="AS38" s="154"/>
      <c r="AT38" s="153">
        <f t="shared" si="1"/>
        <v>2569.6505745224813</v>
      </c>
      <c r="AV38" s="153">
        <f t="shared" si="2"/>
        <v>18424.833351200064</v>
      </c>
      <c r="AW38" s="273"/>
      <c r="AX38" s="155">
        <f t="shared" si="8"/>
        <v>20994.483925722547</v>
      </c>
      <c r="AZ38" s="146">
        <f>+IF(AZ37&gt;$G$13+$G$14,XX,AZ37+1)</f>
        <v>2018</v>
      </c>
      <c r="BA38" s="117"/>
      <c r="BB38" s="154">
        <f t="shared" si="17"/>
        <v>47.030387590316231</v>
      </c>
      <c r="BD38" s="154">
        <f t="shared" si="18"/>
        <v>7.1506504446091652</v>
      </c>
      <c r="BF38" s="153">
        <f t="shared" si="9"/>
        <v>3154.5359717778274</v>
      </c>
      <c r="BH38" s="157"/>
    </row>
    <row r="39" spans="2:60" ht="12">
      <c r="B39" s="2"/>
      <c r="C39" s="353">
        <f>+IF(C38&gt;$G$13+$G$14,XX,C38+1)</f>
        <v>2019</v>
      </c>
      <c r="E39" s="355">
        <f>'(2.2)_Forward_Price_Curve'!T33</f>
        <v>1.9E-2</v>
      </c>
      <c r="G39" s="357">
        <v>234139.87310176031</v>
      </c>
      <c r="I39" s="420">
        <v>254.81017601270798</v>
      </c>
      <c r="K39" s="420">
        <v>3.2731671158029365</v>
      </c>
      <c r="M39" s="28">
        <f t="shared" si="11"/>
        <v>6.6324111696265513</v>
      </c>
      <c r="O39" s="420">
        <v>0.61</v>
      </c>
      <c r="Q39" s="361">
        <v>-10.041812300187411</v>
      </c>
      <c r="S39" s="18">
        <f>(I39*$I$11*1000+(K39+M39+O39+Q39)*G39)/1000</f>
        <v>24063.08405285906</v>
      </c>
      <c r="U39" s="18">
        <f>AX39</f>
        <v>6877.9311182473775</v>
      </c>
      <c r="W39" s="18">
        <f t="shared" si="3"/>
        <v>17185.15293461168</v>
      </c>
      <c r="Y39" s="271">
        <f>+W39*1000/G39</f>
        <v>73.396951603978977</v>
      </c>
      <c r="Z39" s="235"/>
      <c r="AB39" s="377">
        <f>+IF(AB38&gt;$G$13+$G$14,XX,AB38+1)</f>
        <v>2019</v>
      </c>
      <c r="AC39" s="117"/>
      <c r="AD39" s="151">
        <f t="shared" si="5"/>
        <v>234139.87310176031</v>
      </c>
      <c r="AF39" s="399">
        <f>AR15*AR16*(1+E39)</f>
        <v>95.80142153602209</v>
      </c>
      <c r="AH39" s="399">
        <f>AV11*(1+E39)</f>
        <v>19.580361122485801</v>
      </c>
      <c r="AJ39" s="399">
        <f>AV13*(1+E39)</f>
        <v>2.2522833937355777</v>
      </c>
      <c r="AL39" s="399">
        <f>((AF39+AH39)*$AR$11*1000+AJ39*AD39)/1000</f>
        <v>5883.1389033687528</v>
      </c>
      <c r="AN39" s="399">
        <f>INDEX('(2.2)_Forward_Price_Curve'!$L:$L,MATCH($AB39,'(2.2)_Forward_Price_Curve'!$C:$C,0),1)</f>
        <v>1.9742583333333332</v>
      </c>
      <c r="AP39" s="399">
        <f>AN39*$AR$14/1000</f>
        <v>12.834453669759327</v>
      </c>
      <c r="AR39" s="154">
        <f>AR38*(1+$E39)</f>
        <v>2.917676330340369</v>
      </c>
      <c r="AS39" s="154"/>
      <c r="AT39" s="153">
        <f>AL39-BF39</f>
        <v>3189.7293989416034</v>
      </c>
      <c r="AV39" s="153">
        <f>(AP39+AR39)*AD39/1000</f>
        <v>3688.2017193057741</v>
      </c>
      <c r="AW39" s="273"/>
      <c r="AX39" s="155">
        <f>AT39+AV39</f>
        <v>6877.9311182473775</v>
      </c>
      <c r="AZ39" s="377">
        <f>+IF(AZ38&gt;$G$13+$G$14,XX,AZ38+1)</f>
        <v>2019</v>
      </c>
      <c r="BA39" s="117"/>
      <c r="BB39" s="399">
        <f>BK14*BK15*(1+E39)</f>
        <v>59.787583199999986</v>
      </c>
      <c r="BD39" s="399">
        <f>BI16*(1+E39)</f>
        <v>16.456849999999999</v>
      </c>
      <c r="BF39" s="399">
        <f>(BB39+BD39)*$BK$11</f>
        <v>2693.4095044271494</v>
      </c>
      <c r="BH39" s="157"/>
    </row>
    <row r="40" spans="2:60" ht="12">
      <c r="B40" s="2"/>
      <c r="C40" s="354">
        <f>+IF(C39&gt;$I$13+$I$14,XX,C39+1)</f>
        <v>2020</v>
      </c>
      <c r="E40" s="356">
        <f>'(2.2)_Forward_Price_Curve'!T34</f>
        <v>2.5000000000000001E-2</v>
      </c>
      <c r="G40" s="414">
        <v>283696.30438630254</v>
      </c>
      <c r="I40" s="419">
        <v>307.61851503131572</v>
      </c>
      <c r="K40" s="419">
        <v>3.6138935061385626</v>
      </c>
      <c r="M40" s="28">
        <f t="shared" si="11"/>
        <v>6.7982214488672144</v>
      </c>
      <c r="O40" s="419">
        <v>0.63000000000000012</v>
      </c>
      <c r="Q40" s="362">
        <v>-33.150783021494966</v>
      </c>
      <c r="S40" s="18">
        <f>(I40*$I$11*1000+(K40+M40+O40+Q40)*G40)/1000</f>
        <v>22643.992987577232</v>
      </c>
      <c r="U40" s="18">
        <f t="shared" si="0"/>
        <v>7708.7597417504639</v>
      </c>
      <c r="W40" s="18">
        <f t="shared" si="3"/>
        <v>14935.233245826768</v>
      </c>
      <c r="Y40" s="271">
        <f t="shared" si="4"/>
        <v>52.64514558317903</v>
      </c>
      <c r="Z40" s="235"/>
      <c r="AB40" s="378">
        <f>+IF(AB39&gt;$I$13+$I$14,XX,AB39+1)</f>
        <v>2020</v>
      </c>
      <c r="AC40" s="117"/>
      <c r="AD40" s="151">
        <f t="shared" si="5"/>
        <v>283696.30438630254</v>
      </c>
      <c r="AF40" s="154">
        <f>AF39*(1+$E40)</f>
        <v>98.196457074422639</v>
      </c>
      <c r="AH40" s="154">
        <f t="shared" si="14"/>
        <v>20.069870150547946</v>
      </c>
      <c r="AJ40" s="154">
        <f t="shared" si="15"/>
        <v>2.3085904785789668</v>
      </c>
      <c r="AL40" s="153">
        <f t="shared" ref="AL40:AL69" si="20">((AF40+AH40)*$AR$11*1000+AJ40*AD40)/1000</f>
        <v>6144.6228813688176</v>
      </c>
      <c r="AN40" s="154">
        <f>INDEX('(2.2)_Forward_Price_Curve'!$L:$L,MATCH($AB40,'(2.2)_Forward_Price_Curve'!$C:$C,0),1)</f>
        <v>1.8849916666666668</v>
      </c>
      <c r="AP40" s="154">
        <f>AN40*$AR$14/1000</f>
        <v>12.254140101750828</v>
      </c>
      <c r="AR40" s="154">
        <f t="shared" si="16"/>
        <v>2.990618238598878</v>
      </c>
      <c r="AS40" s="154"/>
      <c r="AT40" s="153">
        <f t="shared" si="1"/>
        <v>3383.8781393309901</v>
      </c>
      <c r="AV40" s="153">
        <f t="shared" si="2"/>
        <v>4324.8816024194739</v>
      </c>
      <c r="AW40" s="273"/>
      <c r="AX40" s="155">
        <f t="shared" si="8"/>
        <v>7708.7597417504639</v>
      </c>
      <c r="AZ40" s="378">
        <f>+IF(AZ39&gt;$I$13+$I$14,XX,AZ39+1)</f>
        <v>2020</v>
      </c>
      <c r="BA40" s="117"/>
      <c r="BB40" s="154">
        <f t="shared" si="17"/>
        <v>61.282272779999978</v>
      </c>
      <c r="BD40" s="154">
        <f t="shared" si="18"/>
        <v>16.868271249999999</v>
      </c>
      <c r="BF40" s="153">
        <f t="shared" ref="BF40:BF69" si="21">(BB40+BD40)*$BK$11</f>
        <v>2760.7447420378276</v>
      </c>
      <c r="BH40" s="157"/>
    </row>
    <row r="41" spans="2:60" ht="12">
      <c r="B41" s="2"/>
      <c r="C41" s="354">
        <f>+IF(C40&gt;$I$13+$I$14,XX,C40+1)</f>
        <v>2021</v>
      </c>
      <c r="E41" s="356">
        <f>'(2.2)_Forward_Price_Curve'!T35</f>
        <v>2.4E-2</v>
      </c>
      <c r="G41" s="414">
        <v>283696.30438630254</v>
      </c>
      <c r="I41" s="419">
        <v>311.99990905615238</v>
      </c>
      <c r="K41" s="419">
        <v>3.6339910562402933</v>
      </c>
      <c r="M41" s="28">
        <f t="shared" si="11"/>
        <v>6.9613787636400275</v>
      </c>
      <c r="O41" s="419">
        <v>0.64</v>
      </c>
      <c r="Q41" s="362">
        <v>-34.476814342354771</v>
      </c>
      <c r="S41" s="18">
        <f t="shared" ref="S41:S69" si="22">(I41*$I$11*1000+(K41+M41+O41+Q41)*G41)/1000</f>
        <v>22734.479531653047</v>
      </c>
      <c r="U41" s="18">
        <f t="shared" si="0"/>
        <v>7931.4735950479953</v>
      </c>
      <c r="W41" s="18">
        <f t="shared" si="3"/>
        <v>14803.005936605052</v>
      </c>
      <c r="Y41" s="271">
        <f t="shared" si="4"/>
        <v>52.179058055152346</v>
      </c>
      <c r="Z41" s="235"/>
      <c r="AB41" s="378">
        <f>+IF(AB40&gt;$I$13+$I$14,XX,AB40+1)</f>
        <v>2021</v>
      </c>
      <c r="AC41" s="117"/>
      <c r="AD41" s="151">
        <f t="shared" si="5"/>
        <v>283696.30438630254</v>
      </c>
      <c r="AF41" s="154">
        <f t="shared" si="13"/>
        <v>100.55317204420878</v>
      </c>
      <c r="AH41" s="154">
        <f t="shared" si="14"/>
        <v>20.551547034161096</v>
      </c>
      <c r="AJ41" s="154">
        <f t="shared" si="15"/>
        <v>2.3639966500648621</v>
      </c>
      <c r="AL41" s="153">
        <f t="shared" si="20"/>
        <v>6292.0938305216696</v>
      </c>
      <c r="AN41" s="154">
        <f>INDEX('(2.2)_Forward_Price_Curve'!$L:$L,MATCH($AB41,'(2.2)_Forward_Price_Curve'!$C:$C,0),1)</f>
        <v>1.9506749999999997</v>
      </c>
      <c r="AP41" s="154">
        <f t="shared" ref="AP41:AP69" si="23">AN41*$AR$14/1000</f>
        <v>12.681140805918394</v>
      </c>
      <c r="AR41" s="154">
        <f t="shared" si="16"/>
        <v>3.0623930763252512</v>
      </c>
      <c r="AS41" s="154"/>
      <c r="AT41" s="153">
        <f t="shared" si="1"/>
        <v>3465.0912146749342</v>
      </c>
      <c r="AV41" s="153">
        <f t="shared" si="2"/>
        <v>4466.3823803730611</v>
      </c>
      <c r="AW41" s="273"/>
      <c r="AX41" s="155">
        <f t="shared" si="8"/>
        <v>7931.4735950479953</v>
      </c>
      <c r="AZ41" s="378">
        <f>+IF(AZ40&gt;$I$13+$I$14,XX,AZ40+1)</f>
        <v>2021</v>
      </c>
      <c r="BA41" s="117"/>
      <c r="BB41" s="154">
        <f t="shared" si="17"/>
        <v>62.75304732671998</v>
      </c>
      <c r="BD41" s="154">
        <f t="shared" si="18"/>
        <v>17.273109760000001</v>
      </c>
      <c r="BF41" s="153">
        <f t="shared" si="21"/>
        <v>2827.0026158467354</v>
      </c>
      <c r="BH41" s="157"/>
    </row>
    <row r="42" spans="2:60" ht="12">
      <c r="B42" s="2"/>
      <c r="C42" s="354">
        <f>+IF(C41&gt;$I$13+$I$14,XX,C41+1)</f>
        <v>2022</v>
      </c>
      <c r="E42" s="356">
        <f>'(2.2)_Forward_Price_Curve'!T36</f>
        <v>2.4E-2</v>
      </c>
      <c r="G42" s="414">
        <v>283696.30438630254</v>
      </c>
      <c r="I42" s="419">
        <v>316.70796034661851</v>
      </c>
      <c r="K42" s="419">
        <v>3.4269263998040054</v>
      </c>
      <c r="M42" s="28">
        <f t="shared" si="11"/>
        <v>7.1284518539673885</v>
      </c>
      <c r="O42" s="419">
        <v>0.65</v>
      </c>
      <c r="Q42" s="362">
        <v>-34.476814342354771</v>
      </c>
      <c r="S42" s="18">
        <f t="shared" si="22"/>
        <v>23168.527856489003</v>
      </c>
      <c r="U42" s="18">
        <f t="shared" si="0"/>
        <v>8921.8865914808157</v>
      </c>
      <c r="W42" s="18">
        <f t="shared" si="3"/>
        <v>14246.641265008187</v>
      </c>
      <c r="Y42" s="271">
        <f t="shared" si="4"/>
        <v>50.217930388014054</v>
      </c>
      <c r="Z42" s="235"/>
      <c r="AB42" s="378">
        <f>+IF(AB41&gt;$I$13+$I$14,XX,AB41+1)</f>
        <v>2022</v>
      </c>
      <c r="AC42" s="117"/>
      <c r="AD42" s="151">
        <f t="shared" si="5"/>
        <v>283696.30438630254</v>
      </c>
      <c r="AF42" s="154">
        <f t="shared" si="13"/>
        <v>102.9664481732698</v>
      </c>
      <c r="AH42" s="154">
        <f t="shared" si="14"/>
        <v>21.044784162980964</v>
      </c>
      <c r="AJ42" s="154">
        <f t="shared" si="15"/>
        <v>2.420732569666419</v>
      </c>
      <c r="AL42" s="153">
        <f t="shared" si="20"/>
        <v>6443.1040824541897</v>
      </c>
      <c r="AN42" s="154">
        <f>INDEX('(2.2)_Forward_Price_Curve'!$L:$L,MATCH($AB42,'(2.2)_Forward_Price_Curve'!$C:$C,0),1)</f>
        <v>2.431295833333333</v>
      </c>
      <c r="AP42" s="154">
        <f t="shared" si="23"/>
        <v>15.805608214255424</v>
      </c>
      <c r="AR42" s="154">
        <f t="shared" si="16"/>
        <v>3.1358905101570573</v>
      </c>
      <c r="AS42" s="154"/>
      <c r="AT42" s="153">
        <f t="shared" si="1"/>
        <v>3548.2534038271324</v>
      </c>
      <c r="AV42" s="153">
        <f t="shared" si="2"/>
        <v>5373.6331876536842</v>
      </c>
      <c r="AW42" s="273"/>
      <c r="AX42" s="155">
        <f t="shared" si="8"/>
        <v>8921.8865914808157</v>
      </c>
      <c r="AZ42" s="378">
        <f>+IF(AZ41&gt;$I$13+$I$14,XX,AZ41+1)</f>
        <v>2022</v>
      </c>
      <c r="BA42" s="117"/>
      <c r="BB42" s="154">
        <f t="shared" si="17"/>
        <v>64.259120462561256</v>
      </c>
      <c r="BD42" s="154">
        <f t="shared" si="18"/>
        <v>17.687664394240002</v>
      </c>
      <c r="BF42" s="153">
        <f t="shared" si="21"/>
        <v>2894.8506786270573</v>
      </c>
      <c r="BH42" s="157"/>
    </row>
    <row r="43" spans="2:60" ht="12">
      <c r="B43" s="2"/>
      <c r="C43" s="354">
        <f>+IF(C42&gt;$I$13+$I$14,XX,C42+1)</f>
        <v>2023</v>
      </c>
      <c r="E43" s="356">
        <f>'(2.2)_Forward_Price_Curve'!T37</f>
        <v>2.4E-2</v>
      </c>
      <c r="G43" s="414">
        <v>283696.30438630254</v>
      </c>
      <c r="I43" s="419">
        <v>321.50546461160349</v>
      </c>
      <c r="K43" s="419">
        <v>3.5022163336229348</v>
      </c>
      <c r="M43" s="28">
        <f t="shared" si="11"/>
        <v>7.2995346984626055</v>
      </c>
      <c r="O43" s="419">
        <v>0.67</v>
      </c>
      <c r="Q43" s="362">
        <v>-35.802845663214562</v>
      </c>
      <c r="S43" s="18">
        <f t="shared" si="22"/>
        <v>23318.872044966021</v>
      </c>
      <c r="U43" s="18">
        <f t="shared" si="0"/>
        <v>9961.4254737982574</v>
      </c>
      <c r="W43" s="18">
        <f t="shared" si="3"/>
        <v>13357.446571167764</v>
      </c>
      <c r="Y43" s="271">
        <f t="shared" si="4"/>
        <v>47.083611469888041</v>
      </c>
      <c r="Z43" s="235"/>
      <c r="AB43" s="378">
        <f>+IF(AB42&gt;$I$13+$I$14,XX,AB42+1)</f>
        <v>2023</v>
      </c>
      <c r="AC43" s="117"/>
      <c r="AD43" s="151">
        <f t="shared" si="5"/>
        <v>283696.30438630254</v>
      </c>
      <c r="AF43" s="154">
        <f t="shared" si="13"/>
        <v>105.43764292942828</v>
      </c>
      <c r="AH43" s="154">
        <f t="shared" si="14"/>
        <v>21.549858982892509</v>
      </c>
      <c r="AJ43" s="154">
        <f t="shared" si="15"/>
        <v>2.4788301513384132</v>
      </c>
      <c r="AL43" s="153">
        <f t="shared" si="20"/>
        <v>6597.7385804330916</v>
      </c>
      <c r="AN43" s="154">
        <f>INDEX('(2.2)_Forward_Price_Curve'!$L:$L,MATCH($AB43,'(2.2)_Forward_Price_Curve'!$C:$C,0),1)</f>
        <v>2.9371999999999994</v>
      </c>
      <c r="AP43" s="154">
        <f t="shared" si="23"/>
        <v>19.094440014427573</v>
      </c>
      <c r="AR43" s="154">
        <f t="shared" si="16"/>
        <v>3.2111518824008267</v>
      </c>
      <c r="AS43" s="154"/>
      <c r="AT43" s="153">
        <f t="shared" si="1"/>
        <v>3633.4114855189846</v>
      </c>
      <c r="AV43" s="153">
        <f t="shared" si="2"/>
        <v>6328.0139882792728</v>
      </c>
      <c r="AW43" s="273"/>
      <c r="AX43" s="155">
        <f t="shared" si="8"/>
        <v>9961.4254737982574</v>
      </c>
      <c r="AZ43" s="378">
        <f>+IF(AZ42&gt;$I$13+$I$14,XX,AZ42+1)</f>
        <v>2023</v>
      </c>
      <c r="BA43" s="117"/>
      <c r="BB43" s="154">
        <f t="shared" si="17"/>
        <v>65.801339353662726</v>
      </c>
      <c r="BD43" s="154">
        <f t="shared" si="18"/>
        <v>18.112168339701764</v>
      </c>
      <c r="BF43" s="153">
        <f t="shared" si="21"/>
        <v>2964.327094914107</v>
      </c>
      <c r="BH43" s="157"/>
    </row>
    <row r="44" spans="2:60" ht="12">
      <c r="B44" s="2"/>
      <c r="C44" s="354">
        <f>+IF(C43&gt;$I$13+$I$14,XX,C43+1)</f>
        <v>2024</v>
      </c>
      <c r="E44" s="356">
        <f>'(2.2)_Forward_Price_Curve'!T38</f>
        <v>2.3E-2</v>
      </c>
      <c r="G44" s="414">
        <v>283696.30438630254</v>
      </c>
      <c r="I44" s="419">
        <v>326.39412145762316</v>
      </c>
      <c r="K44" s="419">
        <v>3.5759634490849193</v>
      </c>
      <c r="M44" s="28">
        <f t="shared" si="11"/>
        <v>7.4674239965272449</v>
      </c>
      <c r="O44" s="419">
        <v>0.68000000000000016</v>
      </c>
      <c r="Q44" s="362">
        <v>-35.802845663214562</v>
      </c>
      <c r="S44" s="18">
        <f t="shared" si="22"/>
        <v>23849.794109058395</v>
      </c>
      <c r="U44" s="18">
        <f t="shared" si="0"/>
        <v>11044.084218360669</v>
      </c>
      <c r="W44" s="18">
        <f t="shared" si="3"/>
        <v>12805.709890697726</v>
      </c>
      <c r="Y44" s="271">
        <f t="shared" si="4"/>
        <v>45.138796990673853</v>
      </c>
      <c r="Z44" s="235"/>
      <c r="AB44" s="378">
        <f>+IF(AB43&gt;$I$13+$I$14,XX,AB43+1)</f>
        <v>2024</v>
      </c>
      <c r="AC44" s="117"/>
      <c r="AD44" s="151">
        <f t="shared" si="5"/>
        <v>283696.30438630254</v>
      </c>
      <c r="AF44" s="154">
        <f t="shared" si="13"/>
        <v>107.86270871680512</v>
      </c>
      <c r="AH44" s="154">
        <f t="shared" si="14"/>
        <v>22.045505739499035</v>
      </c>
      <c r="AJ44" s="154">
        <f t="shared" si="15"/>
        <v>2.5358432448191963</v>
      </c>
      <c r="AL44" s="153">
        <f t="shared" si="20"/>
        <v>6749.4865677830521</v>
      </c>
      <c r="AN44" s="154">
        <f>INDEX('(2.2)_Forward_Price_Curve'!$L:$L,MATCH($AB44,'(2.2)_Forward_Price_Curve'!$C:$C,0),1)</f>
        <v>3.4675625000000001</v>
      </c>
      <c r="AP44" s="154">
        <f t="shared" si="23"/>
        <v>22.542272964908253</v>
      </c>
      <c r="AR44" s="154">
        <f t="shared" si="16"/>
        <v>3.2850083756960453</v>
      </c>
      <c r="AS44" s="154"/>
      <c r="AT44" s="153">
        <f t="shared" si="1"/>
        <v>3716.9799496859214</v>
      </c>
      <c r="AV44" s="153">
        <f t="shared" si="2"/>
        <v>7327.1042686747487</v>
      </c>
      <c r="AW44" s="273"/>
      <c r="AX44" s="155">
        <f t="shared" si="8"/>
        <v>11044.084218360669</v>
      </c>
      <c r="AZ44" s="378">
        <f>+IF(AZ43&gt;$I$13+$I$14,XX,AZ43+1)</f>
        <v>2024</v>
      </c>
      <c r="BA44" s="117"/>
      <c r="BB44" s="154">
        <f t="shared" si="17"/>
        <v>67.314770158796961</v>
      </c>
      <c r="BD44" s="154">
        <f t="shared" si="18"/>
        <v>18.528748211514902</v>
      </c>
      <c r="BF44" s="153">
        <f t="shared" si="21"/>
        <v>3032.5066180971307</v>
      </c>
      <c r="BH44" s="157"/>
    </row>
    <row r="45" spans="2:60" ht="12">
      <c r="B45" s="2"/>
      <c r="C45" s="354">
        <f>+IF(C44&gt;$I$13+$I$14,XX,C44+1)</f>
        <v>2025</v>
      </c>
      <c r="E45" s="356">
        <f>'(2.2)_Forward_Price_Curve'!T39</f>
        <v>2.1999999999999999E-2</v>
      </c>
      <c r="G45" s="414">
        <v>283696.30438630254</v>
      </c>
      <c r="I45" s="419">
        <v>331.37566278371725</v>
      </c>
      <c r="K45" s="419">
        <v>3.6546475975034154</v>
      </c>
      <c r="M45" s="28">
        <f t="shared" si="11"/>
        <v>7.6317073244508444</v>
      </c>
      <c r="O45" s="419">
        <v>0.7</v>
      </c>
      <c r="Q45" s="362">
        <v>-37.128876984074367</v>
      </c>
      <c r="S45" s="18">
        <f t="shared" si="22"/>
        <v>24016.47170969487</v>
      </c>
      <c r="U45" s="18">
        <f t="shared" si="0"/>
        <v>11805.875436481685</v>
      </c>
      <c r="W45" s="18">
        <f t="shared" si="3"/>
        <v>12210.596273213185</v>
      </c>
      <c r="Y45" s="271">
        <f t="shared" si="4"/>
        <v>43.041083314875706</v>
      </c>
      <c r="Z45" s="235"/>
      <c r="AB45" s="378">
        <f>+IF(AB44&gt;$I$13+$I$14,XX,AB44+1)</f>
        <v>2025</v>
      </c>
      <c r="AC45" s="117"/>
      <c r="AD45" s="151">
        <f t="shared" si="5"/>
        <v>283696.30438630254</v>
      </c>
      <c r="AF45" s="154">
        <f t="shared" si="13"/>
        <v>110.23568830857484</v>
      </c>
      <c r="AH45" s="154">
        <f t="shared" si="14"/>
        <v>22.530506865768015</v>
      </c>
      <c r="AJ45" s="154">
        <f t="shared" si="15"/>
        <v>2.5916317962052187</v>
      </c>
      <c r="AL45" s="153">
        <f t="shared" si="20"/>
        <v>6897.9752722742778</v>
      </c>
      <c r="AN45" s="154">
        <f>INDEX('(2.2)_Forward_Price_Curve'!$L:$L,MATCH($AB45,'(2.2)_Forward_Price_Curve'!$C:$C,0),1)</f>
        <v>3.8251624999999998</v>
      </c>
      <c r="AP45" s="154">
        <f t="shared" si="23"/>
        <v>24.866994382979648</v>
      </c>
      <c r="AR45" s="154">
        <f t="shared" si="16"/>
        <v>3.3572785599613582</v>
      </c>
      <c r="AS45" s="154"/>
      <c r="AT45" s="153">
        <f t="shared" si="1"/>
        <v>3798.7535085790105</v>
      </c>
      <c r="AV45" s="153">
        <f t="shared" si="2"/>
        <v>8007.1219279026745</v>
      </c>
      <c r="AW45" s="273"/>
      <c r="AX45" s="155">
        <f t="shared" si="8"/>
        <v>11805.875436481685</v>
      </c>
      <c r="AZ45" s="378">
        <f>+IF(AZ44&gt;$I$13+$I$14,XX,AZ44+1)</f>
        <v>2025</v>
      </c>
      <c r="BA45" s="117"/>
      <c r="BB45" s="154">
        <f t="shared" si="17"/>
        <v>68.795695102290495</v>
      </c>
      <c r="BD45" s="154">
        <f t="shared" si="18"/>
        <v>18.93638067216823</v>
      </c>
      <c r="BF45" s="153">
        <f t="shared" si="21"/>
        <v>3099.2217636952673</v>
      </c>
      <c r="BH45" s="157"/>
    </row>
    <row r="46" spans="2:60" ht="12">
      <c r="B46" s="2"/>
      <c r="C46" s="354">
        <f>+IF(C45&gt;$I$13+$I$14,XX,C45+1)</f>
        <v>2026</v>
      </c>
      <c r="E46" s="356">
        <f>'(2.2)_Forward_Price_Curve'!T40</f>
        <v>2.1999999999999999E-2</v>
      </c>
      <c r="G46" s="414">
        <v>283696.30438630254</v>
      </c>
      <c r="I46" s="419">
        <v>336.45185339500711</v>
      </c>
      <c r="K46" s="419">
        <v>3.7348745784931405</v>
      </c>
      <c r="M46" s="28">
        <f t="shared" si="11"/>
        <v>7.7996048855887627</v>
      </c>
      <c r="O46" s="419">
        <v>0.71</v>
      </c>
      <c r="Q46" s="362">
        <v>-37.128876984074367</v>
      </c>
      <c r="S46" s="18">
        <f t="shared" si="22"/>
        <v>24566.862605829134</v>
      </c>
      <c r="U46" s="18">
        <f t="shared" si="0"/>
        <v>12296.33302119176</v>
      </c>
      <c r="W46" s="18">
        <f t="shared" si="3"/>
        <v>12270.529584637374</v>
      </c>
      <c r="Y46" s="271">
        <f t="shared" si="4"/>
        <v>43.252342011226496</v>
      </c>
      <c r="Z46" s="235"/>
      <c r="AB46" s="378">
        <f>+IF(AB45&gt;$I$13+$I$14,XX,AB45+1)</f>
        <v>2026</v>
      </c>
      <c r="AC46" s="117"/>
      <c r="AD46" s="151">
        <f t="shared" si="5"/>
        <v>283696.30438630254</v>
      </c>
      <c r="AF46" s="154">
        <f t="shared" si="13"/>
        <v>112.66087345136349</v>
      </c>
      <c r="AH46" s="154">
        <f t="shared" si="14"/>
        <v>23.02617801681491</v>
      </c>
      <c r="AJ46" s="154">
        <f t="shared" si="15"/>
        <v>2.6486476957217335</v>
      </c>
      <c r="AL46" s="153">
        <f t="shared" si="20"/>
        <v>7049.7307282643123</v>
      </c>
      <c r="AN46" s="154">
        <f>INDEX('(2.2)_Forward_Price_Curve'!$L:$L,MATCH($AB46,'(2.2)_Forward_Price_Curve'!$C:$C,0),1)</f>
        <v>4.0344208333333329</v>
      </c>
      <c r="AP46" s="154">
        <f t="shared" si="23"/>
        <v>26.227361635244531</v>
      </c>
      <c r="AR46" s="154">
        <f t="shared" si="16"/>
        <v>3.4311386882805079</v>
      </c>
      <c r="AS46" s="154"/>
      <c r="AT46" s="153">
        <f t="shared" si="1"/>
        <v>3882.3260857677492</v>
      </c>
      <c r="AV46" s="153">
        <f t="shared" si="2"/>
        <v>8414.0069354240113</v>
      </c>
      <c r="AW46" s="273"/>
      <c r="AX46" s="155">
        <f t="shared" si="8"/>
        <v>12296.33302119176</v>
      </c>
      <c r="AZ46" s="378">
        <f>+IF(AZ45&gt;$I$13+$I$14,XX,AZ45+1)</f>
        <v>2026</v>
      </c>
      <c r="BA46" s="117"/>
      <c r="BB46" s="154">
        <f t="shared" si="17"/>
        <v>70.309200394540881</v>
      </c>
      <c r="BD46" s="154">
        <f t="shared" si="18"/>
        <v>19.352981046955932</v>
      </c>
      <c r="BF46" s="153">
        <f t="shared" si="21"/>
        <v>3167.4046424965632</v>
      </c>
      <c r="BH46" s="157"/>
    </row>
    <row r="47" spans="2:60" ht="12">
      <c r="B47" s="2"/>
      <c r="C47" s="354">
        <f>+IF(C46&gt;$I$13+$I$14,XX,C46+1)</f>
        <v>2027</v>
      </c>
      <c r="E47" s="356">
        <f>'(2.2)_Forward_Price_Curve'!T41</f>
        <v>2.1999999999999999E-2</v>
      </c>
      <c r="G47" s="414">
        <v>283696.30438630254</v>
      </c>
      <c r="I47" s="419">
        <v>341.62449162791148</v>
      </c>
      <c r="K47" s="419">
        <v>3.8170418192199898</v>
      </c>
      <c r="M47" s="28">
        <f t="shared" si="11"/>
        <v>7.9711961930717159</v>
      </c>
      <c r="O47" s="419">
        <v>0.73</v>
      </c>
      <c r="Q47" s="362">
        <v>-38.454908304934165</v>
      </c>
      <c r="S47" s="18">
        <f t="shared" si="22"/>
        <v>24754.564702915013</v>
      </c>
      <c r="U47" s="18">
        <f t="shared" si="0"/>
        <v>12325.891336966095</v>
      </c>
      <c r="W47" s="18">
        <f t="shared" si="3"/>
        <v>12428.673365948918</v>
      </c>
      <c r="Y47" s="271">
        <f t="shared" si="4"/>
        <v>43.809782410930133</v>
      </c>
      <c r="Z47" s="235"/>
      <c r="AB47" s="378">
        <f>+IF(AB46&gt;$I$13+$I$14,XX,AB46+1)</f>
        <v>2027</v>
      </c>
      <c r="AC47" s="117"/>
      <c r="AD47" s="151">
        <f t="shared" si="5"/>
        <v>283696.30438630254</v>
      </c>
      <c r="AF47" s="154">
        <f t="shared" si="13"/>
        <v>115.13941266729348</v>
      </c>
      <c r="AH47" s="154">
        <f t="shared" si="14"/>
        <v>23.532753933184839</v>
      </c>
      <c r="AJ47" s="154">
        <f t="shared" si="15"/>
        <v>2.7069179450276115</v>
      </c>
      <c r="AL47" s="153">
        <f t="shared" si="20"/>
        <v>7204.8248042861287</v>
      </c>
      <c r="AN47" s="154">
        <f>INDEX('(2.2)_Forward_Price_Curve'!$L:$L,MATCH($AB47,'(2.2)_Forward_Price_Curve'!$C:$C,0),1)</f>
        <v>3.9925249999999992</v>
      </c>
      <c r="AP47" s="154">
        <f t="shared" si="23"/>
        <v>25.955001061760328</v>
      </c>
      <c r="AR47" s="154">
        <f t="shared" si="16"/>
        <v>3.5066237394226794</v>
      </c>
      <c r="AS47" s="154"/>
      <c r="AT47" s="153">
        <f t="shared" si="1"/>
        <v>3967.7372596546411</v>
      </c>
      <c r="AV47" s="153">
        <f t="shared" si="2"/>
        <v>8358.1540773114539</v>
      </c>
      <c r="AW47" s="273"/>
      <c r="AX47" s="155">
        <f t="shared" si="8"/>
        <v>12325.891336966095</v>
      </c>
      <c r="AZ47" s="378">
        <f>+IF(AZ46&gt;$I$13+$I$14,XX,AZ46+1)</f>
        <v>2027</v>
      </c>
      <c r="BA47" s="117"/>
      <c r="BB47" s="154">
        <f t="shared" si="17"/>
        <v>71.856002803220775</v>
      </c>
      <c r="BD47" s="154">
        <f t="shared" si="18"/>
        <v>19.778746629988962</v>
      </c>
      <c r="BF47" s="153">
        <f t="shared" si="21"/>
        <v>3237.0875446314876</v>
      </c>
      <c r="BH47" s="157"/>
    </row>
    <row r="48" spans="2:60" ht="12">
      <c r="B48" s="2"/>
      <c r="C48" s="354">
        <f>+IF(C47&gt;$I$13+$I$14,XX,C47+1)</f>
        <v>2028</v>
      </c>
      <c r="E48" s="356">
        <f>'(2.2)_Forward_Price_Curve'!T42</f>
        <v>2.1999999999999999E-2</v>
      </c>
      <c r="G48" s="414">
        <v>283696.30438630254</v>
      </c>
      <c r="I48" s="419">
        <v>346.89540998724101</v>
      </c>
      <c r="K48" s="419">
        <v>3.901016739242829</v>
      </c>
      <c r="M48" s="28">
        <f t="shared" si="11"/>
        <v>8.1465625093192937</v>
      </c>
      <c r="O48" s="419">
        <v>0.71</v>
      </c>
      <c r="Q48" s="362">
        <v>-38.454908304934165</v>
      </c>
      <c r="S48" s="18">
        <f t="shared" si="22"/>
        <v>25317.931252909159</v>
      </c>
      <c r="U48" s="18">
        <f t="shared" si="0"/>
        <v>12324.410654757674</v>
      </c>
      <c r="W48" s="18">
        <f t="shared" si="3"/>
        <v>12993.520598151485</v>
      </c>
      <c r="Y48" s="271">
        <f t="shared" si="4"/>
        <v>45.800810222957701</v>
      </c>
      <c r="Z48" s="235"/>
      <c r="AB48" s="378">
        <f>+IF(AB47&gt;$I$13+$I$14,XX,AB47+1)</f>
        <v>2028</v>
      </c>
      <c r="AC48" s="117"/>
      <c r="AD48" s="151">
        <f t="shared" si="5"/>
        <v>283696.30438630254</v>
      </c>
      <c r="AF48" s="154">
        <f t="shared" si="13"/>
        <v>117.67247974597394</v>
      </c>
      <c r="AH48" s="154">
        <f t="shared" si="14"/>
        <v>24.050474519714907</v>
      </c>
      <c r="AJ48" s="154">
        <f t="shared" si="15"/>
        <v>2.7664701398182192</v>
      </c>
      <c r="AL48" s="153">
        <f t="shared" si="20"/>
        <v>7363.3309499804227</v>
      </c>
      <c r="AN48" s="154">
        <f>INDEX('(2.2)_Forward_Price_Curve'!$L:$L,MATCH($AB48,'(2.2)_Forward_Price_Curve'!$C:$C,0),1)</f>
        <v>3.9325250000000005</v>
      </c>
      <c r="AP48" s="154">
        <f t="shared" si="23"/>
        <v>25.564947132553726</v>
      </c>
      <c r="AR48" s="154">
        <f t="shared" si="16"/>
        <v>3.5837694616899785</v>
      </c>
      <c r="AS48" s="154"/>
      <c r="AT48" s="153">
        <f t="shared" si="1"/>
        <v>4055.0274793670424</v>
      </c>
      <c r="AV48" s="153">
        <f t="shared" si="2"/>
        <v>8269.3831753906306</v>
      </c>
      <c r="AW48" s="273"/>
      <c r="AX48" s="155">
        <f t="shared" si="8"/>
        <v>12324.410654757674</v>
      </c>
      <c r="AZ48" s="378">
        <f>+IF(AZ47&gt;$I$13+$I$14,XX,AZ47+1)</f>
        <v>2028</v>
      </c>
      <c r="BA48" s="117"/>
      <c r="BB48" s="154">
        <f t="shared" si="17"/>
        <v>73.436834864891637</v>
      </c>
      <c r="BD48" s="154">
        <f t="shared" si="18"/>
        <v>20.213879055848722</v>
      </c>
      <c r="BF48" s="153">
        <f t="shared" si="21"/>
        <v>3308.3034706133803</v>
      </c>
      <c r="BH48" s="157"/>
    </row>
    <row r="49" spans="2:60" ht="12">
      <c r="B49" s="2"/>
      <c r="C49" s="354">
        <f>+IF(C48&gt;$I$13+$I$14,XX,C48+1)</f>
        <v>2029</v>
      </c>
      <c r="E49" s="356">
        <f>'(2.2)_Forward_Price_Curve'!T43</f>
        <v>2.1999999999999999E-2</v>
      </c>
      <c r="G49" s="414">
        <v>283696.30438630254</v>
      </c>
      <c r="I49" s="419">
        <v>352.26647579539781</v>
      </c>
      <c r="K49" s="419">
        <v>3.982938090766929</v>
      </c>
      <c r="M49" s="28">
        <f t="shared" si="11"/>
        <v>8.3257868845243177</v>
      </c>
      <c r="O49" s="419">
        <v>0.76</v>
      </c>
      <c r="Q49" s="362">
        <v>-29.835704719345468</v>
      </c>
      <c r="S49" s="18">
        <f t="shared" si="22"/>
        <v>28356.318535659218</v>
      </c>
      <c r="U49" s="18">
        <f t="shared" si="0"/>
        <v>13024.337389736063</v>
      </c>
      <c r="W49" s="18">
        <f t="shared" si="3"/>
        <v>15331.981145923155</v>
      </c>
      <c r="Y49" s="271">
        <f t="shared" si="4"/>
        <v>54.043640713225358</v>
      </c>
      <c r="Z49" s="235"/>
      <c r="AB49" s="378">
        <f>+IF(AB48&gt;$I$13+$I$14,XX,AB48+1)</f>
        <v>2029</v>
      </c>
      <c r="AC49" s="117"/>
      <c r="AD49" s="151">
        <f t="shared" si="5"/>
        <v>283696.30438630254</v>
      </c>
      <c r="AF49" s="154">
        <f t="shared" si="13"/>
        <v>120.26127430038538</v>
      </c>
      <c r="AH49" s="154">
        <f t="shared" si="14"/>
        <v>24.579584959148637</v>
      </c>
      <c r="AJ49" s="154">
        <f t="shared" si="15"/>
        <v>2.8273324828942199</v>
      </c>
      <c r="AL49" s="153">
        <f t="shared" si="20"/>
        <v>7525.3242308799945</v>
      </c>
      <c r="AN49" s="154">
        <f>INDEX('(2.2)_Forward_Price_Curve'!$L:$L,MATCH($AB49,'(2.2)_Forward_Price_Curve'!$C:$C,0),1)</f>
        <v>4.2515375000000004</v>
      </c>
      <c r="AP49" s="154">
        <f t="shared" si="23"/>
        <v>27.638815117404125</v>
      </c>
      <c r="AR49" s="154">
        <f t="shared" si="16"/>
        <v>3.6626123898471579</v>
      </c>
      <c r="AS49" s="154"/>
      <c r="AT49" s="153">
        <f t="shared" si="1"/>
        <v>4144.2380839131201</v>
      </c>
      <c r="AV49" s="153">
        <f t="shared" si="2"/>
        <v>8880.0993058229433</v>
      </c>
      <c r="AW49" s="273"/>
      <c r="AX49" s="155">
        <f t="shared" si="8"/>
        <v>13024.337389736063</v>
      </c>
      <c r="AZ49" s="378">
        <f>+IF(AZ48&gt;$I$13+$I$14,XX,AZ48+1)</f>
        <v>2029</v>
      </c>
      <c r="BA49" s="117"/>
      <c r="BB49" s="154">
        <f t="shared" si="17"/>
        <v>75.052445231919251</v>
      </c>
      <c r="BD49" s="154">
        <f t="shared" si="18"/>
        <v>20.658584395077394</v>
      </c>
      <c r="BF49" s="153">
        <f t="shared" si="21"/>
        <v>3381.0861469668748</v>
      </c>
      <c r="BH49" s="157"/>
    </row>
    <row r="50" spans="2:60" ht="12">
      <c r="B50" s="2"/>
      <c r="C50" s="354">
        <f>+IF(C49&gt;$I$13+$I$14,XX,C49+1)</f>
        <v>2030</v>
      </c>
      <c r="E50" s="356">
        <f>'(2.2)_Forward_Price_Curve'!T44</f>
        <v>2.1999999999999999E-2</v>
      </c>
      <c r="G50" s="414">
        <v>283696.30438630254</v>
      </c>
      <c r="I50" s="419">
        <v>358.02765059383131</v>
      </c>
      <c r="K50" s="419">
        <v>4.0705627287638011</v>
      </c>
      <c r="M50" s="28">
        <f t="shared" si="11"/>
        <v>8.5089541959838524</v>
      </c>
      <c r="O50" s="419">
        <v>0.78</v>
      </c>
      <c r="Q50" s="360">
        <v>0</v>
      </c>
      <c r="S50" s="18">
        <f t="shared" si="22"/>
        <v>37444.644735757305</v>
      </c>
      <c r="U50" s="18">
        <f t="shared" si="0"/>
        <v>14168.34728923948</v>
      </c>
      <c r="W50" s="18">
        <f t="shared" si="3"/>
        <v>23276.297446517827</v>
      </c>
      <c r="Y50" s="271">
        <f t="shared" si="4"/>
        <v>82.046530344727515</v>
      </c>
      <c r="Z50" s="235"/>
      <c r="AB50" s="378">
        <f>+IF(AB49&gt;$I$13+$I$14,XX,AB49+1)</f>
        <v>2030</v>
      </c>
      <c r="AC50" s="117"/>
      <c r="AD50" s="151">
        <f t="shared" si="5"/>
        <v>283696.30438630254</v>
      </c>
      <c r="AF50" s="154">
        <f t="shared" si="13"/>
        <v>122.90702233499385</v>
      </c>
      <c r="AH50" s="154">
        <f t="shared" si="14"/>
        <v>25.120335828249907</v>
      </c>
      <c r="AJ50" s="154">
        <f t="shared" si="15"/>
        <v>2.8895337975178927</v>
      </c>
      <c r="AL50" s="153">
        <f t="shared" si="20"/>
        <v>7690.8813639593536</v>
      </c>
      <c r="AN50" s="154">
        <f>INDEX('(2.2)_Forward_Price_Curve'!$L:$L,MATCH($AB50,'(2.2)_Forward_Price_Curve'!$C:$C,0),1)</f>
        <v>4.8100083333333341</v>
      </c>
      <c r="AP50" s="154">
        <f t="shared" si="23"/>
        <v>31.26937749888673</v>
      </c>
      <c r="AR50" s="154">
        <f t="shared" si="16"/>
        <v>3.7431898624237956</v>
      </c>
      <c r="AS50" s="154"/>
      <c r="AT50" s="153">
        <f t="shared" si="1"/>
        <v>4235.4113217592076</v>
      </c>
      <c r="AV50" s="153">
        <f t="shared" si="2"/>
        <v>9932.9359674802727</v>
      </c>
      <c r="AW50" s="273"/>
      <c r="AX50" s="155">
        <f t="shared" si="8"/>
        <v>14168.34728923948</v>
      </c>
      <c r="AZ50" s="378">
        <f>+IF(AZ49&gt;$I$13+$I$14,XX,AZ49+1)</f>
        <v>2030</v>
      </c>
      <c r="BA50" s="117"/>
      <c r="BB50" s="154">
        <f t="shared" si="17"/>
        <v>76.703599027021482</v>
      </c>
      <c r="BD50" s="154">
        <f t="shared" si="18"/>
        <v>21.113073251769098</v>
      </c>
      <c r="BF50" s="153">
        <f t="shared" si="21"/>
        <v>3455.4700422001465</v>
      </c>
      <c r="BH50" s="157"/>
    </row>
    <row r="51" spans="2:60" ht="12">
      <c r="B51" s="2"/>
      <c r="C51" s="354">
        <f>+IF(C50&gt;$I$13+$I$14,XX,C50+1)</f>
        <v>2031</v>
      </c>
      <c r="E51" s="356">
        <f>'(2.2)_Forward_Price_Curve'!T45</f>
        <v>2.1999999999999999E-2</v>
      </c>
      <c r="G51" s="414">
        <v>283696.30438630254</v>
      </c>
      <c r="I51" s="419">
        <v>363.90404888823349</v>
      </c>
      <c r="K51" s="419">
        <v>4.160115108796604</v>
      </c>
      <c r="M51" s="28">
        <f t="shared" si="11"/>
        <v>8.6961511882954969</v>
      </c>
      <c r="O51" s="419">
        <v>0.8</v>
      </c>
      <c r="Q51" s="360">
        <v>0</v>
      </c>
      <c r="S51" s="18">
        <f t="shared" si="22"/>
        <v>38081.212875694197</v>
      </c>
      <c r="U51" s="18">
        <f t="shared" si="0"/>
        <v>14858.529321538821</v>
      </c>
      <c r="W51" s="18">
        <f t="shared" si="3"/>
        <v>23222.683554155374</v>
      </c>
      <c r="Y51" s="271">
        <f t="shared" si="4"/>
        <v>81.857546944050398</v>
      </c>
      <c r="Z51" s="235"/>
      <c r="AB51" s="378">
        <f>+IF(AB50&gt;$I$13+$I$14,XX,AB50+1)</f>
        <v>2031</v>
      </c>
      <c r="AC51" s="117"/>
      <c r="AD51" s="151">
        <f t="shared" si="5"/>
        <v>283696.30438630254</v>
      </c>
      <c r="AF51" s="154">
        <f t="shared" si="13"/>
        <v>125.61097682636372</v>
      </c>
      <c r="AH51" s="154">
        <f t="shared" si="14"/>
        <v>25.672983216471405</v>
      </c>
      <c r="AJ51" s="154">
        <f t="shared" si="15"/>
        <v>2.9531035410632867</v>
      </c>
      <c r="AL51" s="153">
        <f t="shared" si="20"/>
        <v>7860.0807539664584</v>
      </c>
      <c r="AN51" s="154">
        <f>INDEX('(2.2)_Forward_Price_Curve'!$L:$L,MATCH($AB51,'(2.2)_Forward_Price_Curve'!$C:$C,0),1)</f>
        <v>5.1210458333333335</v>
      </c>
      <c r="AP51" s="154">
        <f t="shared" si="23"/>
        <v>33.291400815646746</v>
      </c>
      <c r="AR51" s="154">
        <f t="shared" si="16"/>
        <v>3.8255400393971191</v>
      </c>
      <c r="AS51" s="154"/>
      <c r="AT51" s="153">
        <f t="shared" si="1"/>
        <v>4328.5903708379083</v>
      </c>
      <c r="AV51" s="153">
        <f t="shared" si="2"/>
        <v>10529.938950700913</v>
      </c>
      <c r="AW51" s="273"/>
      <c r="AX51" s="155">
        <f t="shared" si="8"/>
        <v>14858.529321538821</v>
      </c>
      <c r="AZ51" s="378">
        <f>+IF(AZ50&gt;$I$13+$I$14,XX,AZ50+1)</f>
        <v>2031</v>
      </c>
      <c r="BA51" s="117"/>
      <c r="BB51" s="154">
        <f t="shared" si="17"/>
        <v>78.391078205615955</v>
      </c>
      <c r="BD51" s="154">
        <f t="shared" si="18"/>
        <v>21.577560863308019</v>
      </c>
      <c r="BF51" s="153">
        <f t="shared" si="21"/>
        <v>3531.4903831285496</v>
      </c>
      <c r="BH51" s="157"/>
    </row>
    <row r="52" spans="2:60" ht="12">
      <c r="B52" s="2"/>
      <c r="C52" s="354">
        <f>+IF(C51&gt;$I$13+$I$14,XX,C51+1)</f>
        <v>2032</v>
      </c>
      <c r="E52" s="356">
        <f>'(2.2)_Forward_Price_Curve'!T46</f>
        <v>2.1000000000000001E-2</v>
      </c>
      <c r="G52" s="414">
        <v>283696.30438630254</v>
      </c>
      <c r="I52" s="419">
        <v>370.19767146153816</v>
      </c>
      <c r="K52" s="419">
        <v>4.2516376411901282</v>
      </c>
      <c r="M52" s="28">
        <f t="shared" si="11"/>
        <v>8.8787703632497017</v>
      </c>
      <c r="O52" s="419">
        <v>0.81</v>
      </c>
      <c r="Q52" s="360">
        <v>0</v>
      </c>
      <c r="S52" s="18">
        <f t="shared" si="22"/>
        <v>38753.423349881406</v>
      </c>
      <c r="U52" s="18">
        <f t="shared" ref="U52:U68" si="24">AX52</f>
        <v>15529.393492509451</v>
      </c>
      <c r="W52" s="18">
        <f t="shared" si="3"/>
        <v>23224.029857371956</v>
      </c>
      <c r="Y52" s="271">
        <f t="shared" ref="Y52:Y68" si="25">+W52*1000/G52</f>
        <v>81.862292523022589</v>
      </c>
      <c r="Z52" s="235"/>
      <c r="AB52" s="378">
        <f>+IF(AB51&gt;$I$13+$I$14,XX,AB51+1)</f>
        <v>2032</v>
      </c>
      <c r="AC52" s="117"/>
      <c r="AD52" s="151">
        <f t="shared" ref="AD52:AD68" si="26">G52</f>
        <v>283696.30438630254</v>
      </c>
      <c r="AF52" s="154">
        <f t="shared" si="13"/>
        <v>128.24880733971736</v>
      </c>
      <c r="AH52" s="154">
        <f t="shared" si="14"/>
        <v>26.212115864017303</v>
      </c>
      <c r="AJ52" s="154">
        <f t="shared" si="15"/>
        <v>3.0151187154256154</v>
      </c>
      <c r="AL52" s="153">
        <f t="shared" si="20"/>
        <v>8025.1424497997541</v>
      </c>
      <c r="AN52" s="154">
        <f>INDEX('(2.2)_Forward_Price_Curve'!$L:$L,MATCH($AB52,'(2.2)_Forward_Price_Curve'!$C:$C,0),1)</f>
        <v>5.4231541666666665</v>
      </c>
      <c r="AP52" s="154">
        <f t="shared" si="23"/>
        <v>35.255376523358855</v>
      </c>
      <c r="AR52" s="154">
        <f t="shared" si="16"/>
        <v>3.9058763802244583</v>
      </c>
      <c r="AS52" s="154"/>
      <c r="AT52" s="153">
        <f t="shared" ref="AT52:AT68" si="27">AL52-BF52</f>
        <v>4419.4907686255046</v>
      </c>
      <c r="AV52" s="153">
        <f t="shared" ref="AV52:AV68" si="28">(AP52+AR52)*AD52/1000</f>
        <v>11109.902723883946</v>
      </c>
      <c r="AW52" s="273"/>
      <c r="AX52" s="155">
        <f t="shared" ref="AX52:AX68" si="29">AT52+AV52</f>
        <v>15529.393492509451</v>
      </c>
      <c r="AZ52" s="378">
        <f>+IF(AZ51&gt;$I$13+$I$14,XX,AZ51+1)</f>
        <v>2032</v>
      </c>
      <c r="BA52" s="117"/>
      <c r="BB52" s="154">
        <f t="shared" si="17"/>
        <v>80.037290847933889</v>
      </c>
      <c r="BD52" s="154">
        <f t="shared" si="18"/>
        <v>22.030689641437487</v>
      </c>
      <c r="BF52" s="153">
        <f t="shared" si="21"/>
        <v>3605.6516811742495</v>
      </c>
      <c r="BH52" s="157"/>
    </row>
    <row r="53" spans="2:60" ht="12">
      <c r="B53" s="2"/>
      <c r="C53" s="354">
        <f>+IF(C52&gt;$I$13+$I$14,XX,C52+1)</f>
        <v>2033</v>
      </c>
      <c r="E53" s="356">
        <f>'(2.2)_Forward_Price_Curve'!T47</f>
        <v>2.1000000000000001E-2</v>
      </c>
      <c r="G53" s="414">
        <v>283696.30438630254</v>
      </c>
      <c r="I53" s="419">
        <v>85.41885624030391</v>
      </c>
      <c r="K53" s="419">
        <v>4.3451736692963117</v>
      </c>
      <c r="M53" s="28">
        <f t="shared" si="11"/>
        <v>9.0652245408779439</v>
      </c>
      <c r="O53" s="419">
        <v>0.83</v>
      </c>
      <c r="Q53" s="360">
        <v>0</v>
      </c>
      <c r="S53" s="18">
        <f t="shared" si="22"/>
        <v>12069.32083180432</v>
      </c>
      <c r="U53" s="18">
        <f t="shared" si="24"/>
        <v>16230.347822493666</v>
      </c>
      <c r="W53" s="18">
        <f t="shared" si="3"/>
        <v>-4161.0269906893463</v>
      </c>
      <c r="Y53" s="271">
        <f t="shared" si="25"/>
        <v>-14.667187856713758</v>
      </c>
      <c r="Z53" s="235"/>
      <c r="AB53" s="378">
        <f>+IF(AB52&gt;$I$13+$I$14,XX,AB52+1)</f>
        <v>2033</v>
      </c>
      <c r="AC53" s="117"/>
      <c r="AD53" s="151">
        <f t="shared" si="26"/>
        <v>283696.30438630254</v>
      </c>
      <c r="AF53" s="154">
        <f t="shared" si="13"/>
        <v>130.94203229385141</v>
      </c>
      <c r="AH53" s="154">
        <f t="shared" si="14"/>
        <v>26.762570297161663</v>
      </c>
      <c r="AJ53" s="154">
        <f t="shared" si="15"/>
        <v>3.0784362084495531</v>
      </c>
      <c r="AL53" s="153">
        <f t="shared" si="20"/>
        <v>8193.6704412455474</v>
      </c>
      <c r="AN53" s="154">
        <f>INDEX('(2.2)_Forward_Price_Curve'!$L:$L,MATCH($AB53,'(2.2)_Forward_Price_Curve'!$C:$C,0),1)</f>
        <v>5.7402833333333332</v>
      </c>
      <c r="AP53" s="154">
        <f t="shared" si="23"/>
        <v>37.317001148764703</v>
      </c>
      <c r="AR53" s="154">
        <f t="shared" si="16"/>
        <v>3.9878997842091715</v>
      </c>
      <c r="AS53" s="154"/>
      <c r="AT53" s="153">
        <f t="shared" si="27"/>
        <v>4512.3000747666392</v>
      </c>
      <c r="AV53" s="153">
        <f t="shared" si="28"/>
        <v>11718.047747727027</v>
      </c>
      <c r="AW53" s="273"/>
      <c r="AX53" s="155">
        <f t="shared" si="29"/>
        <v>16230.347822493666</v>
      </c>
      <c r="AZ53" s="378">
        <f>+IF(AZ52&gt;$I$13+$I$14,XX,AZ52+1)</f>
        <v>2033</v>
      </c>
      <c r="BA53" s="117"/>
      <c r="BB53" s="154">
        <f t="shared" si="17"/>
        <v>81.718073955740493</v>
      </c>
      <c r="BD53" s="154">
        <f t="shared" si="18"/>
        <v>22.493334123907673</v>
      </c>
      <c r="BF53" s="153">
        <f t="shared" si="21"/>
        <v>3681.3703664789082</v>
      </c>
      <c r="BH53" s="157"/>
    </row>
    <row r="54" spans="2:60" ht="12">
      <c r="B54" s="2"/>
      <c r="C54" s="354">
        <f>+IF(C53&gt;$I$13+$I$14,XX,C53+1)</f>
        <v>2034</v>
      </c>
      <c r="E54" s="356">
        <f>'(2.2)_Forward_Price_Curve'!T48</f>
        <v>2.1000000000000001E-2</v>
      </c>
      <c r="G54" s="414">
        <v>283696.30438630254</v>
      </c>
      <c r="I54" s="419">
        <v>87.315154848838674</v>
      </c>
      <c r="K54" s="419">
        <v>4.4407674900208312</v>
      </c>
      <c r="M54" s="28">
        <f t="shared" si="11"/>
        <v>9.25559425623638</v>
      </c>
      <c r="O54" s="419">
        <v>0.85000000000000009</v>
      </c>
      <c r="Q54" s="360">
        <v>0</v>
      </c>
      <c r="S54" s="18">
        <f t="shared" si="22"/>
        <v>12334.373625470289</v>
      </c>
      <c r="U54" s="18">
        <f t="shared" si="24"/>
        <v>16917.909734045374</v>
      </c>
      <c r="W54" s="18">
        <f t="shared" si="3"/>
        <v>-4583.5361085750847</v>
      </c>
      <c r="Y54" s="271">
        <f t="shared" si="25"/>
        <v>-16.156488603157101</v>
      </c>
      <c r="Z54" s="235"/>
      <c r="AB54" s="378">
        <f>+IF(AB53&gt;$I$13+$I$14,XX,AB53+1)</f>
        <v>2034</v>
      </c>
      <c r="AC54" s="117"/>
      <c r="AD54" s="151">
        <f t="shared" si="26"/>
        <v>283696.30438630254</v>
      </c>
      <c r="AF54" s="154">
        <f t="shared" si="13"/>
        <v>133.69181497202229</v>
      </c>
      <c r="AH54" s="154">
        <f t="shared" si="14"/>
        <v>27.324584273402056</v>
      </c>
      <c r="AJ54" s="154">
        <f t="shared" si="15"/>
        <v>3.1430833688269932</v>
      </c>
      <c r="AL54" s="153">
        <f t="shared" si="20"/>
        <v>8365.7375205117041</v>
      </c>
      <c r="AN54" s="154">
        <f>INDEX('(2.2)_Forward_Price_Curve'!$L:$L,MATCH($AB54,'(2.2)_Forward_Price_Curve'!$C:$C,0),1)</f>
        <v>6.0488291666666667</v>
      </c>
      <c r="AP54" s="154">
        <f t="shared" si="23"/>
        <v>39.322826392631285</v>
      </c>
      <c r="AR54" s="154">
        <f t="shared" si="16"/>
        <v>4.0716456796775633</v>
      </c>
      <c r="AS54" s="154"/>
      <c r="AT54" s="153">
        <f t="shared" si="27"/>
        <v>4607.0583763367395</v>
      </c>
      <c r="AV54" s="153">
        <f t="shared" si="28"/>
        <v>12310.851357708636</v>
      </c>
      <c r="AW54" s="273"/>
      <c r="AX54" s="155">
        <f t="shared" si="29"/>
        <v>16917.909734045374</v>
      </c>
      <c r="AZ54" s="378">
        <f>+IF(AZ53&gt;$I$13+$I$14,XX,AZ53+1)</f>
        <v>2034</v>
      </c>
      <c r="BA54" s="117"/>
      <c r="BB54" s="154">
        <f t="shared" si="17"/>
        <v>83.434153508811036</v>
      </c>
      <c r="BD54" s="154">
        <f t="shared" si="18"/>
        <v>22.965694140509733</v>
      </c>
      <c r="BF54" s="153">
        <f t="shared" si="21"/>
        <v>3758.6791441749651</v>
      </c>
      <c r="BH54" s="157"/>
    </row>
    <row r="55" spans="2:60" ht="12">
      <c r="B55" s="2"/>
      <c r="C55" s="354">
        <f>+IF(C54&gt;$I$13+$I$14,XX,C54+1)</f>
        <v>2035</v>
      </c>
      <c r="E55" s="356">
        <f>'(2.2)_Forward_Price_Curve'!T49</f>
        <v>2.1000000000000001E-2</v>
      </c>
      <c r="G55" s="414">
        <v>283696.30438630254</v>
      </c>
      <c r="I55" s="419">
        <v>89.253551286482903</v>
      </c>
      <c r="K55" s="419">
        <v>4.5384643748012898</v>
      </c>
      <c r="M55" s="28">
        <f t="shared" si="11"/>
        <v>9.4499617356173431</v>
      </c>
      <c r="O55" s="419">
        <v>0.87</v>
      </c>
      <c r="Q55" s="360">
        <v>0</v>
      </c>
      <c r="S55" s="18">
        <f t="shared" si="22"/>
        <v>12605.114397452104</v>
      </c>
      <c r="U55" s="18">
        <f t="shared" si="24"/>
        <v>16450.789454952574</v>
      </c>
      <c r="W55" s="18">
        <f t="shared" si="3"/>
        <v>-3845.6750575004698</v>
      </c>
      <c r="Y55" s="271">
        <f t="shared" si="25"/>
        <v>-13.555605053860361</v>
      </c>
      <c r="Z55" s="235"/>
      <c r="AB55" s="378">
        <f>+IF(AB54&gt;$I$13+$I$14,XX,AB54+1)</f>
        <v>2035</v>
      </c>
      <c r="AC55" s="117"/>
      <c r="AD55" s="151">
        <f t="shared" si="26"/>
        <v>283696.30438630254</v>
      </c>
      <c r="AF55" s="154">
        <f t="shared" si="13"/>
        <v>136.49934308643475</v>
      </c>
      <c r="AH55" s="154">
        <f t="shared" si="14"/>
        <v>27.898400543143499</v>
      </c>
      <c r="AJ55" s="154">
        <f t="shared" si="15"/>
        <v>3.20908811957236</v>
      </c>
      <c r="AL55" s="153">
        <f t="shared" si="20"/>
        <v>8541.4180084424497</v>
      </c>
      <c r="AN55" s="154">
        <f>INDEX('(2.2)_Forward_Price_Curve'!$L:$L,MATCH($AB55,'(2.2)_Forward_Price_Curve'!$C:$C,0),1)</f>
        <v>5.7299374999999992</v>
      </c>
      <c r="AP55" s="154">
        <f t="shared" si="23"/>
        <v>37.24974393305498</v>
      </c>
      <c r="AR55" s="154">
        <f t="shared" si="16"/>
        <v>4.1571502389507922</v>
      </c>
      <c r="AS55" s="154"/>
      <c r="AT55" s="153">
        <f t="shared" si="27"/>
        <v>4703.8066022398107</v>
      </c>
      <c r="AV55" s="153">
        <f t="shared" si="28"/>
        <v>11746.982852712765</v>
      </c>
      <c r="AW55" s="273"/>
      <c r="AX55" s="155">
        <f t="shared" si="29"/>
        <v>16450.789454952574</v>
      </c>
      <c r="AZ55" s="378">
        <f>+IF(AZ54&gt;$I$13+$I$14,XX,AZ54+1)</f>
        <v>2035</v>
      </c>
      <c r="BA55" s="117"/>
      <c r="BB55" s="154">
        <f t="shared" si="17"/>
        <v>85.186270732496055</v>
      </c>
      <c r="BD55" s="154">
        <f t="shared" si="18"/>
        <v>23.447973717460435</v>
      </c>
      <c r="BF55" s="153">
        <f t="shared" si="21"/>
        <v>3837.611406202639</v>
      </c>
      <c r="BH55" s="157"/>
    </row>
    <row r="56" spans="2:60" ht="12">
      <c r="B56" s="2"/>
      <c r="C56" s="354">
        <f>+IF(C55&gt;$I$13+$I$14,XX,C55+1)</f>
        <v>2036</v>
      </c>
      <c r="E56" s="356">
        <f>'(2.2)_Forward_Price_Curve'!T50</f>
        <v>2.1000000000000001E-2</v>
      </c>
      <c r="G56" s="414">
        <v>283696.30438630254</v>
      </c>
      <c r="I56" s="419">
        <v>91.23498012504281</v>
      </c>
      <c r="K56" s="419">
        <v>4.6383105910469178</v>
      </c>
      <c r="M56" s="28">
        <f t="shared" si="11"/>
        <v>9.6484109320653069</v>
      </c>
      <c r="O56" s="419">
        <v>0.89</v>
      </c>
      <c r="Q56" s="360">
        <v>0</v>
      </c>
      <c r="S56" s="18">
        <f t="shared" si="22"/>
        <v>12881.667940561019</v>
      </c>
      <c r="U56" s="18">
        <f t="shared" si="24"/>
        <v>16662.730974963641</v>
      </c>
      <c r="W56" s="18">
        <f t="shared" si="3"/>
        <v>-3781.0630344026213</v>
      </c>
      <c r="Y56" s="271">
        <f t="shared" si="25"/>
        <v>-13.327854384927191</v>
      </c>
      <c r="Z56" s="235"/>
      <c r="AB56" s="378">
        <f>+IF(AB55&gt;$I$13+$I$14,XX,AB55+1)</f>
        <v>2036</v>
      </c>
      <c r="AC56" s="117"/>
      <c r="AD56" s="151">
        <f t="shared" si="26"/>
        <v>283696.30438630254</v>
      </c>
      <c r="AF56" s="154">
        <f t="shared" si="13"/>
        <v>139.36582929124987</v>
      </c>
      <c r="AH56" s="154">
        <f t="shared" si="14"/>
        <v>28.484266954549511</v>
      </c>
      <c r="AJ56" s="154">
        <f t="shared" si="15"/>
        <v>3.2764789700833794</v>
      </c>
      <c r="AL56" s="153">
        <f t="shared" si="20"/>
        <v>8720.7877866197396</v>
      </c>
      <c r="AN56" s="154">
        <f>INDEX('(2.2)_Forward_Price_Curve'!$L:$L,MATCH($AB56,'(2.2)_Forward_Price_Curve'!$C:$C,0),1)</f>
        <v>5.7778666666666672</v>
      </c>
      <c r="AP56" s="154">
        <f t="shared" si="23"/>
        <v>37.561326596087184</v>
      </c>
      <c r="AR56" s="154">
        <f t="shared" si="16"/>
        <v>4.2444503939687586</v>
      </c>
      <c r="AS56" s="154"/>
      <c r="AT56" s="153">
        <f t="shared" si="27"/>
        <v>4802.5865408868458</v>
      </c>
      <c r="AV56" s="153">
        <f t="shared" si="28"/>
        <v>11860.144434076796</v>
      </c>
      <c r="AW56" s="273"/>
      <c r="AX56" s="155">
        <f t="shared" si="29"/>
        <v>16662.730974963641</v>
      </c>
      <c r="AZ56" s="378">
        <f>+IF(AZ55&gt;$I$13+$I$14,XX,AZ55+1)</f>
        <v>2036</v>
      </c>
      <c r="BA56" s="117"/>
      <c r="BB56" s="154">
        <f t="shared" si="17"/>
        <v>86.975182417878472</v>
      </c>
      <c r="BD56" s="154">
        <f t="shared" si="18"/>
        <v>23.940381165527103</v>
      </c>
      <c r="BF56" s="153">
        <f t="shared" si="21"/>
        <v>3918.2012457328938</v>
      </c>
      <c r="BH56" s="157"/>
    </row>
    <row r="57" spans="2:60" ht="12">
      <c r="B57" s="2"/>
      <c r="C57" s="354">
        <f>+IF(C56&gt;$I$13+$I$14,XX,C56+1)</f>
        <v>2037</v>
      </c>
      <c r="E57" s="356">
        <f>'(2.2)_Forward_Price_Curve'!T51</f>
        <v>2.1000000000000001E-2</v>
      </c>
      <c r="G57" s="414">
        <v>283696.30438630254</v>
      </c>
      <c r="I57" s="419">
        <v>93.26039668381874</v>
      </c>
      <c r="K57" s="419">
        <v>4.7403534240499505</v>
      </c>
      <c r="M57" s="28">
        <f t="shared" si="11"/>
        <v>9.8510275616386771</v>
      </c>
      <c r="O57" s="419">
        <v>0.91000000000000014</v>
      </c>
      <c r="Q57" s="360">
        <v>0</v>
      </c>
      <c r="S57" s="18">
        <f t="shared" si="22"/>
        <v>13164.161786802924</v>
      </c>
      <c r="U57" s="18">
        <f t="shared" si="24"/>
        <v>17416.680736382386</v>
      </c>
      <c r="W57" s="18">
        <f t="shared" si="3"/>
        <v>-4252.5189495794621</v>
      </c>
      <c r="Y57" s="271">
        <f t="shared" si="25"/>
        <v>-14.989687506781577</v>
      </c>
      <c r="Z57" s="235"/>
      <c r="AB57" s="378">
        <f>+IF(AB56&gt;$I$13+$I$14,XX,AB56+1)</f>
        <v>2037</v>
      </c>
      <c r="AC57" s="117"/>
      <c r="AD57" s="151">
        <f t="shared" si="26"/>
        <v>283696.30438630254</v>
      </c>
      <c r="AF57" s="154">
        <f t="shared" si="13"/>
        <v>142.2925117063661</v>
      </c>
      <c r="AH57" s="154">
        <f t="shared" si="14"/>
        <v>29.082436560595049</v>
      </c>
      <c r="AJ57" s="154">
        <f t="shared" si="15"/>
        <v>3.3452850284551299</v>
      </c>
      <c r="AL57" s="153">
        <f t="shared" si="20"/>
        <v>8903.9243301387542</v>
      </c>
      <c r="AN57" s="154">
        <f>INDEX('(2.2)_Forward_Price_Curve'!$L:$L,MATCH($AB57,'(2.2)_Forward_Price_Curve'!$C:$C,0),1)</f>
        <v>6.1182749999999997</v>
      </c>
      <c r="AP57" s="154">
        <f t="shared" si="23"/>
        <v>39.774286728609511</v>
      </c>
      <c r="AR57" s="154">
        <f t="shared" si="16"/>
        <v>4.3335838522421017</v>
      </c>
      <c r="AS57" s="154"/>
      <c r="AT57" s="153">
        <f t="shared" si="27"/>
        <v>4903.4408582454689</v>
      </c>
      <c r="AV57" s="153">
        <f t="shared" si="28"/>
        <v>12513.239878136917</v>
      </c>
      <c r="AW57" s="273"/>
      <c r="AX57" s="155">
        <f t="shared" si="29"/>
        <v>17416.680736382386</v>
      </c>
      <c r="AZ57" s="378">
        <f>+IF(AZ56&gt;$I$13+$I$14,XX,AZ56+1)</f>
        <v>2037</v>
      </c>
      <c r="BA57" s="117"/>
      <c r="BB57" s="154">
        <f t="shared" si="17"/>
        <v>88.801661248653915</v>
      </c>
      <c r="BD57" s="154">
        <f t="shared" si="18"/>
        <v>24.443129170003171</v>
      </c>
      <c r="BF57" s="153">
        <f t="shared" si="21"/>
        <v>4000.4834718932848</v>
      </c>
      <c r="BH57" s="157"/>
    </row>
    <row r="58" spans="2:60" ht="12">
      <c r="B58" s="2"/>
      <c r="C58" s="354">
        <f>+IF(C57&gt;$I$13+$I$14,XX,C57+1)</f>
        <v>2038</v>
      </c>
      <c r="E58" s="356">
        <f>'(2.2)_Forward_Price_Curve'!T52</f>
        <v>2.1000000000000001E-2</v>
      </c>
      <c r="G58" s="414">
        <v>283696.30438630254</v>
      </c>
      <c r="I58" s="419">
        <v>95.330777490199537</v>
      </c>
      <c r="K58" s="419">
        <v>4.8493815528030986</v>
      </c>
      <c r="M58" s="28">
        <f t="shared" si="11"/>
        <v>10.057899140433088</v>
      </c>
      <c r="O58" s="419">
        <v>0.93</v>
      </c>
      <c r="Q58" s="360">
        <v>0</v>
      </c>
      <c r="S58" s="18">
        <f t="shared" si="22"/>
        <v>13454.071088278402</v>
      </c>
      <c r="U58" s="18">
        <f t="shared" si="24"/>
        <v>18455.784884105982</v>
      </c>
      <c r="W58" s="18">
        <f t="shared" si="3"/>
        <v>-5001.7137958275798</v>
      </c>
      <c r="Y58" s="271">
        <f t="shared" si="25"/>
        <v>-17.630521506606811</v>
      </c>
      <c r="Z58" s="235"/>
      <c r="AB58" s="378">
        <f>+IF(AB57&gt;$I$13+$I$14,XX,AB57+1)</f>
        <v>2038</v>
      </c>
      <c r="AC58" s="117"/>
      <c r="AD58" s="151">
        <f t="shared" si="26"/>
        <v>283696.30438630254</v>
      </c>
      <c r="AF58" s="154">
        <f t="shared" si="13"/>
        <v>145.28065445219977</v>
      </c>
      <c r="AH58" s="154">
        <f t="shared" si="14"/>
        <v>29.693167728367541</v>
      </c>
      <c r="AJ58" s="154">
        <f t="shared" si="15"/>
        <v>3.4155360140526874</v>
      </c>
      <c r="AL58" s="153">
        <f t="shared" si="20"/>
        <v>9090.9067410716652</v>
      </c>
      <c r="AN58" s="154">
        <f>INDEX('(2.2)_Forward_Price_Curve'!$L:$L,MATCH($AB58,'(2.2)_Forward_Price_Curve'!$C:$C,0),1)</f>
        <v>6.6118625</v>
      </c>
      <c r="AP58" s="154">
        <f t="shared" si="23"/>
        <v>42.983049124980646</v>
      </c>
      <c r="AR58" s="154">
        <f t="shared" si="16"/>
        <v>4.4245891131391852</v>
      </c>
      <c r="AS58" s="154"/>
      <c r="AT58" s="153">
        <f t="shared" si="27"/>
        <v>5006.4131162686226</v>
      </c>
      <c r="AV58" s="153">
        <f t="shared" si="28"/>
        <v>13449.371767837358</v>
      </c>
      <c r="AW58" s="273"/>
      <c r="AX58" s="155">
        <f t="shared" si="29"/>
        <v>18455.784884105982</v>
      </c>
      <c r="AZ58" s="378">
        <f>+IF(AZ57&gt;$I$13+$I$14,XX,AZ57+1)</f>
        <v>2038</v>
      </c>
      <c r="BA58" s="117"/>
      <c r="BB58" s="154">
        <f t="shared" si="17"/>
        <v>90.666496134875644</v>
      </c>
      <c r="BD58" s="154">
        <f t="shared" si="18"/>
        <v>24.956434882573237</v>
      </c>
      <c r="BF58" s="153">
        <f t="shared" si="21"/>
        <v>4084.4936248030431</v>
      </c>
      <c r="BH58" s="157"/>
    </row>
    <row r="59" spans="2:60" ht="12">
      <c r="B59" s="2"/>
      <c r="C59" s="354">
        <f>+IF(C58&gt;$I$13+$I$14,XX,C58+1)</f>
        <v>2039</v>
      </c>
      <c r="E59" s="356">
        <f>'(2.2)_Forward_Price_Curve'!T53</f>
        <v>2.1000000000000001E-2</v>
      </c>
      <c r="G59" s="414">
        <v>283696.30438630254</v>
      </c>
      <c r="I59" s="419">
        <v>97.447120750481957</v>
      </c>
      <c r="K59" s="419">
        <v>4.9609173285175707</v>
      </c>
      <c r="M59" s="28">
        <f t="shared" si="11"/>
        <v>10.269115022382183</v>
      </c>
      <c r="O59" s="419">
        <v>0.95000000000000007</v>
      </c>
      <c r="Q59" s="360">
        <v>0</v>
      </c>
      <c r="S59" s="18">
        <f t="shared" si="22"/>
        <v>13750.244733346384</v>
      </c>
      <c r="U59" s="18">
        <f t="shared" si="24"/>
        <v>19472.626670590653</v>
      </c>
      <c r="W59" s="18">
        <f t="shared" si="3"/>
        <v>-5722.3819372442686</v>
      </c>
      <c r="Y59" s="271">
        <f t="shared" si="25"/>
        <v>-20.170801835515757</v>
      </c>
      <c r="Z59" s="235"/>
      <c r="AB59" s="378">
        <f>+IF(AB58&gt;$I$13+$I$14,XX,AB58+1)</f>
        <v>2039</v>
      </c>
      <c r="AC59" s="117"/>
      <c r="AD59" s="151">
        <f t="shared" si="26"/>
        <v>283696.30438630254</v>
      </c>
      <c r="AF59" s="154">
        <f t="shared" si="13"/>
        <v>148.33154819569594</v>
      </c>
      <c r="AH59" s="154">
        <f t="shared" si="14"/>
        <v>30.316724250663256</v>
      </c>
      <c r="AJ59" s="154">
        <f t="shared" si="15"/>
        <v>3.4872622703477933</v>
      </c>
      <c r="AL59" s="153">
        <f t="shared" si="20"/>
        <v>9281.8157826341703</v>
      </c>
      <c r="AN59" s="154">
        <f>INDEX('(2.2)_Forward_Price_Curve'!$L:$L,MATCH($AB59,'(2.2)_Forward_Price_Curve'!$C:$C,0),1)</f>
        <v>7.0919124999999994</v>
      </c>
      <c r="AP59" s="154">
        <f t="shared" si="23"/>
        <v>46.103805603574521</v>
      </c>
      <c r="AR59" s="154">
        <f t="shared" si="16"/>
        <v>4.5175054845151079</v>
      </c>
      <c r="AS59" s="154"/>
      <c r="AT59" s="153">
        <f t="shared" si="27"/>
        <v>5111.5477917102635</v>
      </c>
      <c r="AV59" s="153">
        <f t="shared" si="28"/>
        <v>14361.078878880387</v>
      </c>
      <c r="AW59" s="273"/>
      <c r="AX59" s="155">
        <f t="shared" si="29"/>
        <v>19472.626670590653</v>
      </c>
      <c r="AZ59" s="378">
        <f>+IF(AZ58&gt;$I$13+$I$14,XX,AZ58+1)</f>
        <v>2039</v>
      </c>
      <c r="BA59" s="117"/>
      <c r="BB59" s="154">
        <f t="shared" si="17"/>
        <v>92.570492553708021</v>
      </c>
      <c r="BD59" s="154">
        <f t="shared" si="18"/>
        <v>25.480520015107274</v>
      </c>
      <c r="BF59" s="153">
        <f t="shared" si="21"/>
        <v>4170.2679909239068</v>
      </c>
      <c r="BH59" s="157"/>
    </row>
    <row r="60" spans="2:60" ht="12">
      <c r="B60" s="2"/>
      <c r="C60" s="354">
        <f>+IF(C59&gt;$I$13+$I$14,XX,C59+1)</f>
        <v>2040</v>
      </c>
      <c r="E60" s="356">
        <f>'(2.2)_Forward_Price_Curve'!T54</f>
        <v>2.1000000000000001E-2</v>
      </c>
      <c r="G60" s="414">
        <v>283696.30438630254</v>
      </c>
      <c r="I60" s="419">
        <v>99.610446831142653</v>
      </c>
      <c r="K60" s="419">
        <v>5.0750184270734726</v>
      </c>
      <c r="M60" s="28">
        <f t="shared" si="11"/>
        <v>10.484766437852208</v>
      </c>
      <c r="O60" s="419">
        <v>0.97000000000000008</v>
      </c>
      <c r="Q60" s="360">
        <v>0</v>
      </c>
      <c r="S60" s="18">
        <f t="shared" si="22"/>
        <v>14052.820880607462</v>
      </c>
      <c r="U60" s="18">
        <f t="shared" si="24"/>
        <v>20032.266171882944</v>
      </c>
      <c r="W60" s="18">
        <f t="shared" si="3"/>
        <v>-5979.4452912754823</v>
      </c>
      <c r="Y60" s="271">
        <f t="shared" si="25"/>
        <v>-21.076923452388062</v>
      </c>
      <c r="Z60" s="235"/>
      <c r="AB60" s="378">
        <f>+IF(AB59&gt;$I$13+$I$14,XX,AB59+1)</f>
        <v>2040</v>
      </c>
      <c r="AC60" s="117"/>
      <c r="AD60" s="151">
        <f t="shared" si="26"/>
        <v>283696.30438630254</v>
      </c>
      <c r="AF60" s="154">
        <f t="shared" si="13"/>
        <v>151.44651070780554</v>
      </c>
      <c r="AH60" s="154">
        <f t="shared" si="14"/>
        <v>30.95337545992718</v>
      </c>
      <c r="AJ60" s="154">
        <f t="shared" si="15"/>
        <v>3.5604947780250966</v>
      </c>
      <c r="AL60" s="153">
        <f t="shared" si="20"/>
        <v>9476.7339140694876</v>
      </c>
      <c r="AN60" s="154">
        <f>INDEX('(2.2)_Forward_Price_Curve'!$L:$L,MATCH($AB60,'(2.2)_Forward_Price_Curve'!$C:$C,0),1)</f>
        <v>7.3225625000000001</v>
      </c>
      <c r="AP60" s="154">
        <f t="shared" si="23"/>
        <v>47.603237916432938</v>
      </c>
      <c r="AR60" s="154">
        <f t="shared" si="16"/>
        <v>4.6123730996899246</v>
      </c>
      <c r="AS60" s="154"/>
      <c r="AT60" s="153">
        <f t="shared" si="27"/>
        <v>5218.8902953361794</v>
      </c>
      <c r="AV60" s="153">
        <f t="shared" si="28"/>
        <v>14813.375876546765</v>
      </c>
      <c r="AW60" s="273"/>
      <c r="AX60" s="155">
        <f t="shared" si="29"/>
        <v>20032.266171882944</v>
      </c>
      <c r="AZ60" s="378">
        <f>+IF(AZ59&gt;$I$13+$I$14,XX,AZ59+1)</f>
        <v>2040</v>
      </c>
      <c r="BA60" s="117"/>
      <c r="BB60" s="154">
        <f t="shared" si="17"/>
        <v>94.514472897335878</v>
      </c>
      <c r="BD60" s="154">
        <f t="shared" si="18"/>
        <v>26.015610935424526</v>
      </c>
      <c r="BF60" s="153">
        <f t="shared" si="21"/>
        <v>4257.8436187333082</v>
      </c>
      <c r="BH60" s="157"/>
    </row>
    <row r="61" spans="2:60" ht="12">
      <c r="B61" s="2"/>
      <c r="C61" s="354">
        <f>+IF(C60&gt;$I$13+$I$14,XX,C60+1)</f>
        <v>2041</v>
      </c>
      <c r="E61" s="356">
        <f>'(2.2)_Forward_Price_Curve'!T55</f>
        <v>2.1000000000000001E-2</v>
      </c>
      <c r="G61" s="414">
        <v>283696.30438630254</v>
      </c>
      <c r="I61" s="419">
        <v>101.82179875079402</v>
      </c>
      <c r="K61" s="419">
        <v>5.1917438508961613</v>
      </c>
      <c r="M61" s="28">
        <f t="shared" si="11"/>
        <v>10.704946533047103</v>
      </c>
      <c r="O61" s="419">
        <v>0.99</v>
      </c>
      <c r="Q61" s="360">
        <v>0</v>
      </c>
      <c r="S61" s="18">
        <f t="shared" si="22"/>
        <v>14361.940737815054</v>
      </c>
      <c r="U61" s="18">
        <f t="shared" si="24"/>
        <v>20466.448624166194</v>
      </c>
      <c r="W61" s="18">
        <f t="shared" si="3"/>
        <v>-6104.5078863511408</v>
      </c>
      <c r="Y61" s="271">
        <f t="shared" si="25"/>
        <v>-21.517756107385797</v>
      </c>
      <c r="Z61" s="235"/>
      <c r="AB61" s="378">
        <f>+IF(AB60&gt;$I$13+$I$14,XX,AB60+1)</f>
        <v>2041</v>
      </c>
      <c r="AC61" s="117"/>
      <c r="AD61" s="151">
        <f t="shared" si="26"/>
        <v>283696.30438630254</v>
      </c>
      <c r="AF61" s="154">
        <f t="shared" si="13"/>
        <v>154.62688743266943</v>
      </c>
      <c r="AH61" s="154">
        <f t="shared" si="14"/>
        <v>31.603396344585647</v>
      </c>
      <c r="AJ61" s="154">
        <f t="shared" si="15"/>
        <v>3.6352651683636235</v>
      </c>
      <c r="AL61" s="153">
        <f t="shared" si="20"/>
        <v>9675.7453262649415</v>
      </c>
      <c r="AN61" s="154">
        <f>INDEX('(2.2)_Forward_Price_Curve'!$L:$L,MATCH($AB61,'(2.2)_Forward_Price_Curve'!$C:$C,0),1)</f>
        <v>7.4836588750000006</v>
      </c>
      <c r="AP61" s="154">
        <f t="shared" si="23"/>
        <v>48.650509150594466</v>
      </c>
      <c r="AR61" s="154">
        <f t="shared" si="16"/>
        <v>4.7092329347834125</v>
      </c>
      <c r="AS61" s="154"/>
      <c r="AT61" s="153">
        <f t="shared" si="27"/>
        <v>5328.4869915382342</v>
      </c>
      <c r="AV61" s="153">
        <f t="shared" si="28"/>
        <v>15137.961632627961</v>
      </c>
      <c r="AW61" s="273"/>
      <c r="AX61" s="155">
        <f t="shared" si="29"/>
        <v>20466.448624166194</v>
      </c>
      <c r="AZ61" s="378">
        <f>+IF(AZ60&gt;$I$13+$I$14,XX,AZ60+1)</f>
        <v>2041</v>
      </c>
      <c r="BA61" s="117"/>
      <c r="BB61" s="154">
        <f t="shared" si="17"/>
        <v>96.499276828179916</v>
      </c>
      <c r="BD61" s="154">
        <f t="shared" si="18"/>
        <v>26.56193876506844</v>
      </c>
      <c r="BF61" s="153">
        <f t="shared" si="21"/>
        <v>4347.2583347267073</v>
      </c>
      <c r="BH61" s="157"/>
    </row>
    <row r="62" spans="2:60" ht="12">
      <c r="B62" s="2"/>
      <c r="C62" s="354">
        <f>+IF(C61&gt;$I$13+$I$14,XX,C61+1)</f>
        <v>2042</v>
      </c>
      <c r="E62" s="356">
        <f>'(2.2)_Forward_Price_Curve'!T56</f>
        <v>2.1999999999999999E-2</v>
      </c>
      <c r="G62" s="414">
        <v>283696.30438630254</v>
      </c>
      <c r="I62" s="419">
        <v>104.08224268306165</v>
      </c>
      <c r="K62" s="419">
        <v>5.3111539594667736</v>
      </c>
      <c r="M62" s="28">
        <f t="shared" si="11"/>
        <v>10.940455356774139</v>
      </c>
      <c r="O62" s="419">
        <v>1.01</v>
      </c>
      <c r="Q62" s="360">
        <v>0</v>
      </c>
      <c r="S62" s="18">
        <f t="shared" si="22"/>
        <v>14680.785582985513</v>
      </c>
      <c r="U62" s="18">
        <f t="shared" si="24"/>
        <v>20916.710493897859</v>
      </c>
      <c r="W62" s="18">
        <f t="shared" si="3"/>
        <v>-6235.9249109123466</v>
      </c>
      <c r="Y62" s="271">
        <f t="shared" si="25"/>
        <v>-21.980987466163942</v>
      </c>
      <c r="Z62" s="235"/>
      <c r="AB62" s="378">
        <f>+IF(AB61&gt;$I$13+$I$14,XX,AB61+1)</f>
        <v>2042</v>
      </c>
      <c r="AC62" s="117"/>
      <c r="AD62" s="151">
        <f t="shared" si="26"/>
        <v>283696.30438630254</v>
      </c>
      <c r="AF62" s="154">
        <f t="shared" si="13"/>
        <v>158.02867895618817</v>
      </c>
      <c r="AH62" s="154">
        <f t="shared" si="14"/>
        <v>32.298671064166534</v>
      </c>
      <c r="AJ62" s="154">
        <f t="shared" si="15"/>
        <v>3.7152410020676232</v>
      </c>
      <c r="AL62" s="153">
        <f t="shared" si="20"/>
        <v>9888.6117234427766</v>
      </c>
      <c r="AN62" s="154">
        <f>INDEX('(2.2)_Forward_Price_Curve'!$L:$L,MATCH($AB62,'(2.2)_Forward_Price_Curve'!$C:$C,0),1)</f>
        <v>7.6482993702500011</v>
      </c>
      <c r="AP62" s="154">
        <f t="shared" si="23"/>
        <v>49.720820351907548</v>
      </c>
      <c r="AR62" s="154">
        <f t="shared" si="16"/>
        <v>4.8128360593486477</v>
      </c>
      <c r="AS62" s="154"/>
      <c r="AT62" s="153">
        <f t="shared" si="27"/>
        <v>5445.7137053520819</v>
      </c>
      <c r="AV62" s="153">
        <f t="shared" si="28"/>
        <v>15470.996788545775</v>
      </c>
      <c r="AW62" s="273"/>
      <c r="AX62" s="155">
        <f t="shared" si="29"/>
        <v>20916.710493897859</v>
      </c>
      <c r="AZ62" s="378">
        <f>+IF(AZ61&gt;$I$13+$I$14,XX,AZ61+1)</f>
        <v>2042</v>
      </c>
      <c r="BA62" s="117"/>
      <c r="BB62" s="154">
        <f t="shared" si="17"/>
        <v>98.622260918399874</v>
      </c>
      <c r="BD62" s="154">
        <f t="shared" si="18"/>
        <v>27.146301417899945</v>
      </c>
      <c r="BF62" s="153">
        <f t="shared" si="21"/>
        <v>4442.8980180906947</v>
      </c>
      <c r="BH62" s="157"/>
    </row>
    <row r="63" spans="2:60" ht="12">
      <c r="B63" s="2"/>
      <c r="C63" s="354">
        <f>+IF(C62&gt;$I$13+$I$14,XX,C62+1)</f>
        <v>2043</v>
      </c>
      <c r="E63" s="356">
        <f>'(2.2)_Forward_Price_Curve'!T57</f>
        <v>2.1999999999999999E-2</v>
      </c>
      <c r="G63" s="414">
        <v>283696.30438630254</v>
      </c>
      <c r="I63" s="419">
        <v>106.39286847062564</v>
      </c>
      <c r="K63" s="419">
        <v>5.4333105005345086</v>
      </c>
      <c r="M63" s="28">
        <f t="shared" si="11"/>
        <v>11.181145374623171</v>
      </c>
      <c r="O63" s="419">
        <v>1.04</v>
      </c>
      <c r="Q63" s="360">
        <v>0</v>
      </c>
      <c r="S63" s="18">
        <f t="shared" si="22"/>
        <v>15009.433523972089</v>
      </c>
      <c r="U63" s="18">
        <f t="shared" ref="U63:U65" si="30">AX63</f>
        <v>21376.878124763611</v>
      </c>
      <c r="W63" s="18">
        <f t="shared" si="3"/>
        <v>-6367.4446007915212</v>
      </c>
      <c r="Y63" s="271">
        <f t="shared" ref="Y63:Y65" si="31">+W63*1000/G63</f>
        <v>-22.444580709522118</v>
      </c>
      <c r="Z63" s="235"/>
      <c r="AB63" s="378">
        <f>+IF(AB62&gt;$I$13+$I$14,XX,AB62+1)</f>
        <v>2043</v>
      </c>
      <c r="AC63" s="117"/>
      <c r="AD63" s="151">
        <f t="shared" ref="AD63:AD65" si="32">G63</f>
        <v>283696.30438630254</v>
      </c>
      <c r="AF63" s="154">
        <f t="shared" si="13"/>
        <v>161.50530989322431</v>
      </c>
      <c r="AH63" s="154">
        <f t="shared" si="14"/>
        <v>33.009241827578201</v>
      </c>
      <c r="AJ63" s="154">
        <f t="shared" si="15"/>
        <v>3.796976304113111</v>
      </c>
      <c r="AL63" s="153">
        <f t="shared" si="20"/>
        <v>10106.161181358517</v>
      </c>
      <c r="AN63" s="154">
        <f>INDEX('(2.2)_Forward_Price_Curve'!$L:$L,MATCH($AB63,'(2.2)_Forward_Price_Curve'!$C:$C,0),1)</f>
        <v>7.8165619563955016</v>
      </c>
      <c r="AP63" s="154">
        <f t="shared" si="23"/>
        <v>50.814678399649516</v>
      </c>
      <c r="AR63" s="154">
        <f t="shared" si="16"/>
        <v>4.9187184526543177</v>
      </c>
      <c r="AS63" s="154"/>
      <c r="AT63" s="153">
        <f t="shared" ref="AT63:AT65" si="33">AL63-BF63</f>
        <v>5565.5194068698256</v>
      </c>
      <c r="AV63" s="153">
        <f t="shared" ref="AV63:AV65" si="34">(AP63+AR63)*AD63/1000</f>
        <v>15811.358717893785</v>
      </c>
      <c r="AW63" s="273"/>
      <c r="AX63" s="155">
        <f t="shared" ref="AX63:AX65" si="35">AT63+AV63</f>
        <v>21376.878124763611</v>
      </c>
      <c r="AZ63" s="378">
        <f>+IF(AZ62&gt;$I$13+$I$14,XX,AZ62+1)</f>
        <v>2043</v>
      </c>
      <c r="BA63" s="117"/>
      <c r="BB63" s="154">
        <f t="shared" si="17"/>
        <v>100.79195065860468</v>
      </c>
      <c r="BD63" s="154">
        <f t="shared" si="18"/>
        <v>27.743520049093746</v>
      </c>
      <c r="BF63" s="153">
        <f t="shared" si="21"/>
        <v>4540.6417744886912</v>
      </c>
      <c r="BH63" s="157"/>
    </row>
    <row r="64" spans="2:60" ht="12">
      <c r="B64" s="2"/>
      <c r="C64" s="354">
        <f>+IF(C63&gt;$I$13+$I$14,XX,C63+1)</f>
        <v>2044</v>
      </c>
      <c r="E64" s="356">
        <f>'(2.2)_Forward_Price_Curve'!T58</f>
        <v>2.1999999999999999E-2</v>
      </c>
      <c r="G64" s="414">
        <v>283696.30438630254</v>
      </c>
      <c r="I64" s="419">
        <v>108.7547901506735</v>
      </c>
      <c r="K64" s="419">
        <v>5.5582766420468017</v>
      </c>
      <c r="M64" s="28">
        <f t="shared" si="11"/>
        <v>11.427130572864881</v>
      </c>
      <c r="O64" s="419">
        <v>1.06</v>
      </c>
      <c r="Q64" s="360">
        <v>0</v>
      </c>
      <c r="S64" s="18">
        <f t="shared" si="22"/>
        <v>15342.365612179674</v>
      </c>
      <c r="U64" s="18">
        <f t="shared" si="30"/>
        <v>21847.16944350841</v>
      </c>
      <c r="W64" s="18">
        <f t="shared" si="3"/>
        <v>-6504.8038313287361</v>
      </c>
      <c r="Y64" s="271">
        <f t="shared" si="31"/>
        <v>-22.928757727035098</v>
      </c>
      <c r="Z64" s="235"/>
      <c r="AB64" s="378">
        <f>+IF(AB63&gt;$I$13+$I$14,XX,AB63+1)</f>
        <v>2044</v>
      </c>
      <c r="AC64" s="117"/>
      <c r="AD64" s="151">
        <f t="shared" si="32"/>
        <v>283696.30438630254</v>
      </c>
      <c r="AF64" s="154">
        <f t="shared" si="13"/>
        <v>165.05842671087524</v>
      </c>
      <c r="AH64" s="154">
        <f t="shared" si="14"/>
        <v>33.735445147784922</v>
      </c>
      <c r="AJ64" s="154">
        <f t="shared" si="15"/>
        <v>3.8805097828035997</v>
      </c>
      <c r="AL64" s="153">
        <f t="shared" si="20"/>
        <v>10328.496727348404</v>
      </c>
      <c r="AN64" s="154">
        <f>INDEX('(2.2)_Forward_Price_Curve'!$L:$L,MATCH($AB64,'(2.2)_Forward_Price_Curve'!$C:$C,0),1)</f>
        <v>7.9885263194362031</v>
      </c>
      <c r="AP64" s="154">
        <f t="shared" si="23"/>
        <v>51.932601324441805</v>
      </c>
      <c r="AR64" s="154">
        <f t="shared" si="16"/>
        <v>5.0269302586127127</v>
      </c>
      <c r="AS64" s="154"/>
      <c r="AT64" s="153">
        <f t="shared" si="33"/>
        <v>5687.9608338209619</v>
      </c>
      <c r="AV64" s="153">
        <f t="shared" si="34"/>
        <v>16159.208609687448</v>
      </c>
      <c r="AW64" s="273"/>
      <c r="AX64" s="155">
        <f t="shared" si="35"/>
        <v>21847.16944350841</v>
      </c>
      <c r="AZ64" s="378">
        <f>+IF(AZ63&gt;$I$13+$I$14,XX,AZ63+1)</f>
        <v>2044</v>
      </c>
      <c r="BA64" s="117"/>
      <c r="BB64" s="154">
        <f t="shared" si="17"/>
        <v>103.00937357309398</v>
      </c>
      <c r="BD64" s="154">
        <f t="shared" si="18"/>
        <v>28.353877490173808</v>
      </c>
      <c r="BF64" s="153">
        <f t="shared" si="21"/>
        <v>4640.5358935274417</v>
      </c>
      <c r="BH64" s="157"/>
    </row>
    <row r="65" spans="2:60" ht="12">
      <c r="B65" s="2"/>
      <c r="C65" s="354">
        <f>+IF(C64&gt;$I$13+$I$14,XX,C64+1)</f>
        <v>2045</v>
      </c>
      <c r="E65" s="356">
        <f>'(2.2)_Forward_Price_Curve'!T59</f>
        <v>2.1999999999999999E-2</v>
      </c>
      <c r="G65" s="414">
        <v>283696.30438630254</v>
      </c>
      <c r="I65" s="419">
        <v>111.16914649201846</v>
      </c>
      <c r="K65" s="419">
        <v>5.6861170048138776</v>
      </c>
      <c r="M65" s="28">
        <f t="shared" si="11"/>
        <v>11.678527445467909</v>
      </c>
      <c r="O65" s="419">
        <v>1.08</v>
      </c>
      <c r="Q65" s="360">
        <v>0</v>
      </c>
      <c r="S65" s="18">
        <f t="shared" si="22"/>
        <v>15682.577236514002</v>
      </c>
      <c r="U65" s="18">
        <f t="shared" si="30"/>
        <v>20128.944619936367</v>
      </c>
      <c r="W65" s="18">
        <f t="shared" si="3"/>
        <v>-4446.3673834223646</v>
      </c>
      <c r="Y65" s="271">
        <f t="shared" si="31"/>
        <v>-15.672983097333024</v>
      </c>
      <c r="Z65" s="235"/>
      <c r="AB65" s="378">
        <f>+IF(AB64&gt;$I$13+$I$14,XX,AB64+1)</f>
        <v>2045</v>
      </c>
      <c r="AC65" s="117"/>
      <c r="AD65" s="151">
        <f t="shared" si="32"/>
        <v>283696.30438630254</v>
      </c>
      <c r="AF65" s="154">
        <f>AF47*(1+$E65)</f>
        <v>117.67247974597394</v>
      </c>
      <c r="AH65" s="154">
        <f>AH47*(1+$E65)</f>
        <v>24.050474519714907</v>
      </c>
      <c r="AJ65" s="154">
        <f>AJ47*(1+$E65)</f>
        <v>2.7664701398182192</v>
      </c>
      <c r="AL65" s="153">
        <f t="shared" si="20"/>
        <v>7363.3309499804227</v>
      </c>
      <c r="AN65" s="154">
        <f>INDEX('(2.2)_Forward_Price_Curve'!$L:$L,MATCH($AB65,'(2.2)_Forward_Price_Curve'!$C:$C,0),1)</f>
        <v>8.164273898463799</v>
      </c>
      <c r="AP65" s="154">
        <f t="shared" si="23"/>
        <v>53.075118553579522</v>
      </c>
      <c r="AR65" s="154">
        <f>AR47*(1+$E65)</f>
        <v>3.5837694616899785</v>
      </c>
      <c r="AS65" s="154"/>
      <c r="AT65" s="153">
        <f t="shared" si="33"/>
        <v>4055.0274793670424</v>
      </c>
      <c r="AV65" s="153">
        <f t="shared" si="34"/>
        <v>16073.917140569323</v>
      </c>
      <c r="AW65" s="273"/>
      <c r="AX65" s="155">
        <f t="shared" si="35"/>
        <v>20128.944619936367</v>
      </c>
      <c r="AZ65" s="378">
        <f>+IF(AZ64&gt;$I$13+$I$14,XX,AZ64+1)</f>
        <v>2045</v>
      </c>
      <c r="BA65" s="117"/>
      <c r="BB65" s="154">
        <f>BB47*(1+$E65)</f>
        <v>73.436834864891637</v>
      </c>
      <c r="BD65" s="154">
        <f>BD47*(1+$E65)</f>
        <v>20.213879055848722</v>
      </c>
      <c r="BF65" s="153">
        <f t="shared" si="21"/>
        <v>3308.3034706133803</v>
      </c>
      <c r="BH65" s="157"/>
    </row>
    <row r="66" spans="2:60" ht="12">
      <c r="B66" s="2"/>
      <c r="C66" s="354">
        <f>+IF(C65&gt;$I$13+$I$14,XX,C65+1)</f>
        <v>2046</v>
      </c>
      <c r="E66" s="356">
        <f>'(2.2)_Forward_Price_Curve'!T60</f>
        <v>2.1999999999999999E-2</v>
      </c>
      <c r="G66" s="414">
        <v>283696.30438630254</v>
      </c>
      <c r="I66" s="419">
        <v>113.63710154414126</v>
      </c>
      <c r="K66" s="419">
        <v>5.816897695924597</v>
      </c>
      <c r="M66" s="28">
        <f t="shared" si="11"/>
        <v>11.935455049268203</v>
      </c>
      <c r="O66" s="419">
        <v>1.1100000000000001</v>
      </c>
      <c r="Q66" s="360">
        <v>0</v>
      </c>
      <c r="S66" s="18">
        <f t="shared" si="22"/>
        <v>16033.067310991304</v>
      </c>
      <c r="U66" s="18">
        <f t="shared" si="24"/>
        <v>22349.415372467298</v>
      </c>
      <c r="W66" s="18">
        <f t="shared" si="3"/>
        <v>-6316.3480614759937</v>
      </c>
      <c r="Y66" s="271">
        <f t="shared" si="25"/>
        <v>-22.264470716809807</v>
      </c>
      <c r="Z66" s="235"/>
      <c r="AB66" s="378">
        <f>+IF(AB65&gt;$I$13+$I$14,XX,AB65+1)</f>
        <v>2046</v>
      </c>
      <c r="AC66" s="117"/>
      <c r="AD66" s="151">
        <f t="shared" si="26"/>
        <v>283696.30438630254</v>
      </c>
      <c r="AF66" s="154">
        <f>AF62*(1+$E66)</f>
        <v>161.50530989322431</v>
      </c>
      <c r="AH66" s="154">
        <f>AH62*(1+$E66)</f>
        <v>33.009241827578201</v>
      </c>
      <c r="AJ66" s="154">
        <f>AJ62*(1+$E66)</f>
        <v>3.796976304113111</v>
      </c>
      <c r="AL66" s="153">
        <f t="shared" si="20"/>
        <v>10106.161181358517</v>
      </c>
      <c r="AN66" s="154">
        <f>INDEX('(2.2)_Forward_Price_Curve'!$L:$L,MATCH($AB66,'(2.2)_Forward_Price_Curve'!$C:$C,0),1)</f>
        <v>8.3438879242300033</v>
      </c>
      <c r="AP66" s="154">
        <f t="shared" si="23"/>
        <v>54.242771161758284</v>
      </c>
      <c r="AR66" s="154">
        <f>AR62*(1+$E66)</f>
        <v>4.9187184526543177</v>
      </c>
      <c r="AS66" s="154"/>
      <c r="AT66" s="153">
        <f t="shared" si="27"/>
        <v>5565.5194068698256</v>
      </c>
      <c r="AV66" s="153">
        <f t="shared" si="28"/>
        <v>16783.895965597472</v>
      </c>
      <c r="AW66" s="273"/>
      <c r="AX66" s="155">
        <f t="shared" si="29"/>
        <v>22349.415372467298</v>
      </c>
      <c r="AZ66" s="378">
        <f>+IF(AZ65&gt;$I$13+$I$14,XX,AZ65+1)</f>
        <v>2046</v>
      </c>
      <c r="BA66" s="117"/>
      <c r="BB66" s="154">
        <f>BB62*(1+$E66)</f>
        <v>100.79195065860468</v>
      </c>
      <c r="BD66" s="154">
        <f>BD62*(1+$E66)</f>
        <v>27.743520049093746</v>
      </c>
      <c r="BF66" s="153">
        <f t="shared" si="21"/>
        <v>4540.6417744886912</v>
      </c>
      <c r="BH66" s="157"/>
    </row>
    <row r="67" spans="2:60" ht="12">
      <c r="B67" s="2"/>
      <c r="C67" s="354">
        <f>+IF(C66&gt;$I$13+$I$14,XX,C66+1)</f>
        <v>2047</v>
      </c>
      <c r="E67" s="356">
        <f>'(2.2)_Forward_Price_Curve'!T61</f>
        <v>2.1999999999999999E-2</v>
      </c>
      <c r="G67" s="414">
        <v>283696.30438630254</v>
      </c>
      <c r="I67" s="419">
        <v>116.15984519842118</v>
      </c>
      <c r="K67" s="419">
        <v>5.9506863429308616</v>
      </c>
      <c r="M67" s="28">
        <f t="shared" si="11"/>
        <v>12.198035060352103</v>
      </c>
      <c r="O67" s="419">
        <v>1.1299999999999999</v>
      </c>
      <c r="Q67" s="360">
        <v>0</v>
      </c>
      <c r="S67" s="18">
        <f t="shared" si="22"/>
        <v>16388.327464056081</v>
      </c>
      <c r="U67" s="18">
        <f t="shared" si="24"/>
        <v>22841.102510661582</v>
      </c>
      <c r="W67" s="18">
        <f t="shared" si="3"/>
        <v>-6452.7750466055004</v>
      </c>
      <c r="Y67" s="271">
        <f t="shared" si="25"/>
        <v>-22.745361666110778</v>
      </c>
      <c r="Z67" s="235"/>
      <c r="AB67" s="378">
        <f>+IF(AB66&gt;$I$13+$I$14,XX,AB66+1)</f>
        <v>2047</v>
      </c>
      <c r="AC67" s="117"/>
      <c r="AD67" s="151">
        <f t="shared" si="26"/>
        <v>283696.30438630254</v>
      </c>
      <c r="AF67" s="154">
        <f t="shared" si="13"/>
        <v>165.05842671087524</v>
      </c>
      <c r="AH67" s="154">
        <f t="shared" si="14"/>
        <v>33.735445147784922</v>
      </c>
      <c r="AJ67" s="154">
        <f t="shared" si="15"/>
        <v>3.8805097828035997</v>
      </c>
      <c r="AL67" s="153">
        <f t="shared" si="20"/>
        <v>10328.496727348404</v>
      </c>
      <c r="AN67" s="154">
        <f>INDEX('(2.2)_Forward_Price_Curve'!$L:$L,MATCH($AB67,'(2.2)_Forward_Price_Curve'!$C:$C,0),1)</f>
        <v>8.5274534585630644</v>
      </c>
      <c r="AP67" s="154">
        <f t="shared" si="23"/>
        <v>55.436112127316967</v>
      </c>
      <c r="AR67" s="154">
        <f t="shared" si="16"/>
        <v>5.0269302586127127</v>
      </c>
      <c r="AS67" s="154"/>
      <c r="AT67" s="153">
        <f t="shared" si="27"/>
        <v>5687.9608338209619</v>
      </c>
      <c r="AV67" s="153">
        <f t="shared" si="28"/>
        <v>17153.14167684062</v>
      </c>
      <c r="AW67" s="273"/>
      <c r="AX67" s="155">
        <f t="shared" si="29"/>
        <v>22841.102510661582</v>
      </c>
      <c r="AZ67" s="378">
        <f>+IF(AZ66&gt;$I$13+$I$14,XX,AZ66+1)</f>
        <v>2047</v>
      </c>
      <c r="BA67" s="117"/>
      <c r="BB67" s="154">
        <f t="shared" si="17"/>
        <v>103.00937357309398</v>
      </c>
      <c r="BD67" s="154">
        <f t="shared" si="18"/>
        <v>28.353877490173808</v>
      </c>
      <c r="BF67" s="153">
        <f t="shared" si="21"/>
        <v>4640.5358935274417</v>
      </c>
      <c r="BH67" s="157"/>
    </row>
    <row r="68" spans="2:60" ht="12">
      <c r="B68" s="2"/>
      <c r="C68" s="354">
        <f>+IF(C67&gt;$I$13+$I$14,XX,C67+1)</f>
        <v>2048</v>
      </c>
      <c r="E68" s="356">
        <f>'(2.2)_Forward_Price_Curve'!T62</f>
        <v>2.1999999999999999E-2</v>
      </c>
      <c r="G68" s="414">
        <v>255326.6739476723</v>
      </c>
      <c r="I68" s="419">
        <v>118.73859376182617</v>
      </c>
      <c r="K68" s="419">
        <v>6.0875521288182703</v>
      </c>
      <c r="M68" s="28">
        <f t="shared" si="11"/>
        <v>12.46639183167985</v>
      </c>
      <c r="O68" s="419">
        <v>1.1599999999999999</v>
      </c>
      <c r="Q68" s="360">
        <v>0</v>
      </c>
      <c r="S68" s="18">
        <f t="shared" si="22"/>
        <v>16194.923555436446</v>
      </c>
      <c r="U68" s="18">
        <f t="shared" si="24"/>
        <v>21478.04510824546</v>
      </c>
      <c r="W68" s="18">
        <f t="shared" si="3"/>
        <v>-5283.1215528090142</v>
      </c>
      <c r="Y68" s="271">
        <f t="shared" si="25"/>
        <v>-20.69161623862205</v>
      </c>
      <c r="Z68" s="235"/>
      <c r="AB68" s="378">
        <f>+IF(AB67&gt;$I$13+$I$14,XX,AB67+1)</f>
        <v>2048</v>
      </c>
      <c r="AC68" s="117"/>
      <c r="AD68" s="151">
        <f t="shared" si="26"/>
        <v>255326.6739476723</v>
      </c>
      <c r="AF68" s="154">
        <f t="shared" si="13"/>
        <v>168.68971209851449</v>
      </c>
      <c r="AH68" s="154">
        <f t="shared" si="14"/>
        <v>34.47762494103619</v>
      </c>
      <c r="AJ68" s="154">
        <f t="shared" si="15"/>
        <v>3.9658809980252792</v>
      </c>
      <c r="AL68" s="153">
        <f t="shared" si="20"/>
        <v>10443.213077072503</v>
      </c>
      <c r="AN68" s="154">
        <f>INDEX('(2.2)_Forward_Price_Curve'!$L:$L,MATCH($AB68,'(2.2)_Forward_Price_Curve'!$C:$C,0),1)</f>
        <v>8.7150574346514524</v>
      </c>
      <c r="AP68" s="154">
        <f t="shared" si="23"/>
        <v>56.655706594117945</v>
      </c>
      <c r="AR68" s="154">
        <f t="shared" si="16"/>
        <v>5.1375227243021921</v>
      </c>
      <c r="AS68" s="154"/>
      <c r="AT68" s="153">
        <f t="shared" si="27"/>
        <v>5700.5853938874579</v>
      </c>
      <c r="AV68" s="153">
        <f t="shared" si="28"/>
        <v>15777.459714358003</v>
      </c>
      <c r="AW68" s="273"/>
      <c r="AX68" s="155">
        <f t="shared" si="29"/>
        <v>21478.04510824546</v>
      </c>
      <c r="AZ68" s="378">
        <f>+IF(AZ67&gt;$I$13+$I$14,XX,AZ67+1)</f>
        <v>2048</v>
      </c>
      <c r="BA68" s="117"/>
      <c r="BB68" s="154">
        <f t="shared" si="17"/>
        <v>105.27557979170206</v>
      </c>
      <c r="BD68" s="154">
        <f t="shared" si="18"/>
        <v>28.977662794957631</v>
      </c>
      <c r="BF68" s="153">
        <f t="shared" si="21"/>
        <v>4742.6276831850455</v>
      </c>
      <c r="BH68" s="157"/>
    </row>
    <row r="69" spans="2:60" ht="12">
      <c r="B69" s="2"/>
      <c r="C69" s="354">
        <f>+IF(C68&gt;$I$13+$I$14,XX,C68+1)</f>
        <v>2049</v>
      </c>
      <c r="E69" s="356">
        <f>'(2.2)_Forward_Price_Curve'!T63</f>
        <v>2.1999999999999999E-2</v>
      </c>
      <c r="G69" s="414">
        <v>159579.17121729517</v>
      </c>
      <c r="I69" s="419">
        <v>91.030942907503999</v>
      </c>
      <c r="K69" s="419">
        <v>4.670674370835818</v>
      </c>
      <c r="M69" s="28">
        <f t="shared" si="11"/>
        <v>12.740652451976807</v>
      </c>
      <c r="O69" s="419">
        <v>1.18</v>
      </c>
      <c r="Q69" s="360">
        <v>0</v>
      </c>
      <c r="S69" s="18">
        <f t="shared" si="22"/>
        <v>11523.697159519683</v>
      </c>
      <c r="U69" s="18">
        <f t="shared" si="0"/>
        <v>13913.106187756421</v>
      </c>
      <c r="W69" s="18">
        <f t="shared" si="3"/>
        <v>-2389.4090282367379</v>
      </c>
      <c r="Y69" s="271">
        <f t="shared" si="4"/>
        <v>-14.973188606069</v>
      </c>
      <c r="Z69" s="235"/>
      <c r="AB69" s="378">
        <f>+IF(AB68&gt;$I$13+$I$14,XX,AB68+1)</f>
        <v>2049</v>
      </c>
      <c r="AC69" s="117"/>
      <c r="AD69" s="151">
        <f t="shared" si="5"/>
        <v>159579.17121729517</v>
      </c>
      <c r="AF69" s="154">
        <f>AF51*(1+$E69)</f>
        <v>128.37441831654374</v>
      </c>
      <c r="AH69" s="154">
        <f>AH51*(1+$E69)</f>
        <v>26.237788847233777</v>
      </c>
      <c r="AJ69" s="154">
        <f>AJ51*(1+$E69)</f>
        <v>3.0180718189666789</v>
      </c>
      <c r="AL69" s="153">
        <f t="shared" si="20"/>
        <v>7658.4081086854058</v>
      </c>
      <c r="AN69" s="154">
        <f>INDEX('(2.2)_Forward_Price_Curve'!$L:$L,MATCH($AB69,'(2.2)_Forward_Price_Curve'!$C:$C,0),1)</f>
        <v>8.9067886982137843</v>
      </c>
      <c r="AP69" s="154">
        <f t="shared" si="23"/>
        <v>57.902132139188545</v>
      </c>
      <c r="AR69" s="154">
        <f>AR51*(1+$E69)</f>
        <v>3.9097019202638559</v>
      </c>
      <c r="AS69" s="154"/>
      <c r="AT69" s="153">
        <f t="shared" si="1"/>
        <v>4049.2249371280282</v>
      </c>
      <c r="AV69" s="153">
        <f t="shared" si="2"/>
        <v>9863.8812506283921</v>
      </c>
      <c r="AW69" s="273"/>
      <c r="AX69" s="155">
        <f t="shared" si="8"/>
        <v>13913.106187756421</v>
      </c>
      <c r="AZ69" s="378">
        <f>+IF(AZ68&gt;$I$13+$I$14,XX,AZ68+1)</f>
        <v>2049</v>
      </c>
      <c r="BA69" s="117"/>
      <c r="BB69" s="154">
        <f>BB51*(1+$E69)</f>
        <v>80.115681926139501</v>
      </c>
      <c r="BD69" s="154">
        <f>BD51*(1+$E69)</f>
        <v>22.052267202300797</v>
      </c>
      <c r="BF69" s="153">
        <f t="shared" si="21"/>
        <v>3609.1831715573776</v>
      </c>
      <c r="BH69" s="157"/>
    </row>
    <row r="70" spans="2:60">
      <c r="B70" s="2"/>
      <c r="E70" s="169"/>
      <c r="G70" s="267"/>
      <c r="I70" s="267"/>
      <c r="K70" s="267"/>
      <c r="M70" s="267"/>
      <c r="O70" s="267"/>
      <c r="Q70" s="267"/>
      <c r="S70" s="267"/>
      <c r="U70" s="267"/>
      <c r="W70" s="267"/>
      <c r="Y70" s="267"/>
      <c r="Z70" s="235"/>
      <c r="AB70" s="2"/>
      <c r="AF70" s="274"/>
      <c r="AH70" s="274"/>
      <c r="AJ70" s="274"/>
      <c r="AL70" s="273"/>
      <c r="AN70" s="274"/>
      <c r="AP70" s="274"/>
      <c r="AR70" s="274"/>
      <c r="AS70" s="274"/>
      <c r="AT70" s="274"/>
      <c r="AV70" s="273"/>
      <c r="AW70" s="273"/>
      <c r="AX70" s="275"/>
      <c r="AZ70" s="2"/>
      <c r="BB70" s="274"/>
      <c r="BF70" s="273"/>
      <c r="BH70" s="235"/>
    </row>
    <row r="71" spans="2:60" ht="12">
      <c r="B71" s="2"/>
      <c r="C71" s="276" t="str">
        <f>K14&amp;"-year Nominal Levelized at "&amp;TEXT($I$18,"#.00%")</f>
        <v>42-year Nominal Levelized at 6.92%</v>
      </c>
      <c r="E71" s="169"/>
      <c r="G71" s="363">
        <f>+-PMT($I$18,$K$14,NPV($I$18,G28:G69))</f>
        <v>272164.26617445686</v>
      </c>
      <c r="I71" s="28">
        <f>+-PMT($I$18,$K$14,NPV($I$18,I28:I69))</f>
        <v>231.45773135684382</v>
      </c>
      <c r="J71" s="28"/>
      <c r="K71" s="28">
        <f>+-PMT($I$18,$K$14,NPV($I$18,K28:K69))</f>
        <v>10.615632488407092</v>
      </c>
      <c r="M71" s="28">
        <f>+-PMT($I$18,$K$14,NPV($I$18,M28:M69))</f>
        <v>7.015275149823867</v>
      </c>
      <c r="O71" s="28">
        <f>+-PMT($I$18,$K$14,NPV($I$18,O28:O69))</f>
        <v>3.4625718376658345</v>
      </c>
      <c r="Q71" s="28">
        <f>+-PMT($I$18,$K$14,NPV($I$18,Q28:Q69))</f>
        <v>-26.408312167259535</v>
      </c>
      <c r="S71" s="285">
        <f>+-PMT($I$18,$K$14,NPV($I$18,S28:S69))</f>
        <v>20279.851149041704</v>
      </c>
      <c r="U71" s="285">
        <f>+-PMT($I$18,$K$14,NPV($I$18,U28:U69))</f>
        <v>15628.68978043069</v>
      </c>
      <c r="W71" s="285">
        <f>+-PMT($I$18,$K$14,NPV($I$18,W28:W69))</f>
        <v>4651.1613686110186</v>
      </c>
      <c r="Y71" s="271">
        <f>+W71/G71*1000</f>
        <v>17.08953726360841</v>
      </c>
      <c r="Z71" s="235"/>
      <c r="AB71" s="2"/>
      <c r="AD71" s="412">
        <f>+-PMT($I$18,$K$14,NPV($I$18,AD28:AD69))</f>
        <v>272164.26617445686</v>
      </c>
      <c r="AF71" s="154">
        <f>+-PMT($I$18,$K$14,NPV($I$18,AF28:AF69))</f>
        <v>88.487298292951508</v>
      </c>
      <c r="AH71" s="154">
        <f>+-PMT($I$18,$K$14,NPV($I$18,AH28:AH69))</f>
        <v>15.868604670362874</v>
      </c>
      <c r="AJ71" s="154">
        <f>+-PMT($I$18,$K$14,NPV($I$18,AJ28:AJ69))</f>
        <v>2.6440263314118808</v>
      </c>
      <c r="AL71" s="154">
        <f>+-PMT($I$18,$K$14,NPV($I$18,AL28:AL69))</f>
        <v>6211.119059026385</v>
      </c>
      <c r="AN71" s="154">
        <f>+-PMT($I$18,$K$14,NPV($I$18,AN28:AN69))</f>
        <v>6.1393156867571417</v>
      </c>
      <c r="AP71" s="154">
        <f>+-PMT($I$18,$K$14,NPV($I$18,AP28:AP69))</f>
        <v>43.109001667294294</v>
      </c>
      <c r="AR71" s="154">
        <f>+-PMT($I$18,$K$14,NPV($I$18,AR28:AR69))</f>
        <v>3.0644329931777485</v>
      </c>
      <c r="AS71" s="154"/>
      <c r="AT71" s="154">
        <f>+-PMT($I$18,$K$14,NPV($I$18,AT28:AT69))</f>
        <v>3126.0648819911435</v>
      </c>
      <c r="AV71" s="154">
        <f>+-PMT($I$18,$K$14,NPV($I$18,AV28:AV69))</f>
        <v>12502.624898439542</v>
      </c>
      <c r="AW71" s="273"/>
      <c r="AX71" s="154">
        <f>+-PMT($I$18,$K$14,NPV($I$18,AX28:AX69))</f>
        <v>15628.68978043069</v>
      </c>
      <c r="AZ71" s="2"/>
      <c r="BB71" s="154">
        <f>+-PMT($I$18,$K$14,NPV($I$18,BB28:BB69))</f>
        <v>56.962373830349591</v>
      </c>
      <c r="BD71" s="154">
        <f>+-PMT($I$18,$K$14,NPV($I$18,BD28:BD69))</f>
        <v>12.776230783330261</v>
      </c>
      <c r="BF71" s="154">
        <f>+-PMT($I$18,$K$14,NPV($I$18,BF28:BF69))</f>
        <v>3085.0541770352374</v>
      </c>
      <c r="BH71" s="157"/>
    </row>
    <row r="72" spans="2:60">
      <c r="B72" s="2"/>
      <c r="E72" s="169"/>
      <c r="W72" s="18"/>
      <c r="Y72" s="271"/>
      <c r="Z72" s="235"/>
      <c r="AB72" s="2"/>
      <c r="AX72" s="235"/>
      <c r="AZ72" s="2"/>
      <c r="BH72" s="235"/>
    </row>
    <row r="73" spans="2:60">
      <c r="B73" s="238"/>
      <c r="C73" s="277"/>
      <c r="D73" s="277"/>
      <c r="E73" s="278"/>
      <c r="F73" s="277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39"/>
      <c r="AB73" s="238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39"/>
      <c r="AZ73" s="238"/>
      <c r="BA73" s="277"/>
      <c r="BB73" s="277"/>
      <c r="BC73" s="277"/>
      <c r="BD73" s="277"/>
      <c r="BE73" s="277"/>
      <c r="BF73" s="277"/>
      <c r="BG73" s="277"/>
      <c r="BH73" s="239"/>
    </row>
    <row r="74" spans="2:60">
      <c r="E74" s="169"/>
    </row>
    <row r="75" spans="2:60">
      <c r="E75" s="169"/>
      <c r="G75" s="18"/>
      <c r="I75" s="18"/>
      <c r="K75" s="18"/>
      <c r="O75" s="18"/>
      <c r="Q75" s="18"/>
      <c r="S75" s="18"/>
      <c r="U75" s="18"/>
      <c r="W75" s="18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  <row r="87" spans="5:5">
      <c r="E87" s="169"/>
    </row>
    <row r="88" spans="5:5">
      <c r="E88" s="169"/>
    </row>
    <row r="89" spans="5:5">
      <c r="E89" s="169"/>
    </row>
    <row r="90" spans="5:5">
      <c r="E90" s="169"/>
    </row>
    <row r="91" spans="5:5">
      <c r="E91" s="169"/>
    </row>
    <row r="92" spans="5:5">
      <c r="E92" s="169"/>
    </row>
    <row r="93" spans="5:5">
      <c r="E93" s="169"/>
    </row>
    <row r="94" spans="5:5">
      <c r="E94" s="169"/>
    </row>
    <row r="95" spans="5:5">
      <c r="E95" s="169"/>
    </row>
    <row r="96" spans="5:5">
      <c r="E96" s="169"/>
    </row>
    <row r="97" spans="5:5">
      <c r="E97" s="169"/>
    </row>
  </sheetData>
  <pageMargins left="0.25" right="0.25" top="0.25" bottom="0.75" header="0.3" footer="0.3"/>
  <pageSetup paperSize="5" scale="48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967E4-076D-4694-B40D-D8011593B5D8}">
  <sheetPr codeName="Sheet38">
    <tabColor theme="0" tint="-0.249977111117893"/>
    <pageSetUpPr fitToPage="1"/>
  </sheetPr>
  <dimension ref="A1:BL81"/>
  <sheetViews>
    <sheetView workbookViewId="0"/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231" customFormat="1">
      <c r="A1" s="231" t="s">
        <v>0</v>
      </c>
    </row>
    <row r="2" spans="1:64" s="231" customFormat="1">
      <c r="A2" s="231" t="s">
        <v>143</v>
      </c>
    </row>
    <row r="3" spans="1:64" s="231" customFormat="1">
      <c r="A3" s="231" t="s">
        <v>1</v>
      </c>
    </row>
    <row r="4" spans="1:64" s="231" customFormat="1"/>
    <row r="5" spans="1:64" s="231" customFormat="1"/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85" t="s">
        <v>96</v>
      </c>
      <c r="AO8" s="386"/>
      <c r="AP8" s="386"/>
      <c r="AQ8" s="386"/>
      <c r="AR8" s="386"/>
      <c r="AS8" s="386"/>
      <c r="AT8" s="386"/>
      <c r="AU8" s="386"/>
      <c r="AV8" s="386"/>
      <c r="AW8" s="387"/>
      <c r="AZ8" s="244" t="s">
        <v>97</v>
      </c>
      <c r="BA8" s="245"/>
      <c r="BB8" s="245"/>
      <c r="BC8" s="245"/>
      <c r="BD8" s="245"/>
      <c r="BE8" s="246"/>
      <c r="BG8" s="385" t="s">
        <v>97</v>
      </c>
      <c r="BH8" s="386"/>
      <c r="BI8" s="386"/>
      <c r="BJ8" s="386"/>
      <c r="BK8" s="386"/>
      <c r="BL8" s="38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436"/>
      <c r="AO9" s="437"/>
      <c r="AP9" s="437"/>
      <c r="AQ9" s="437"/>
      <c r="AR9" s="438"/>
      <c r="AS9" s="437"/>
      <c r="AT9" s="437"/>
      <c r="AU9" s="437"/>
      <c r="AV9" s="439"/>
      <c r="AW9" s="440"/>
      <c r="AZ9" s="116"/>
      <c r="BA9" s="117"/>
      <c r="BB9" s="117"/>
      <c r="BC9" s="117"/>
      <c r="BD9" s="118"/>
      <c r="BE9" s="121"/>
      <c r="BG9" s="436"/>
      <c r="BH9" s="437"/>
      <c r="BI9" s="437"/>
      <c r="BJ9" s="437"/>
      <c r="BK9" s="438"/>
      <c r="BL9" s="441"/>
    </row>
    <row r="10" spans="1:64" ht="12">
      <c r="B10" s="250"/>
      <c r="C10" s="231" t="s">
        <v>98</v>
      </c>
      <c r="D10" s="231"/>
      <c r="E10" s="231"/>
      <c r="F10" s="231"/>
      <c r="G10" s="251" t="s">
        <v>255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230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388" t="s">
        <v>230</v>
      </c>
      <c r="BH10" s="389"/>
      <c r="BI10" s="389"/>
      <c r="BJ10" s="389"/>
      <c r="BK10" s="390"/>
      <c r="BL10" s="398"/>
    </row>
    <row r="11" spans="1:64" ht="12">
      <c r="B11" s="250"/>
      <c r="C11" s="231" t="s">
        <v>31</v>
      </c>
      <c r="D11" s="231"/>
      <c r="E11" s="231"/>
      <c r="F11" s="231"/>
      <c r="G11" s="251">
        <v>99</v>
      </c>
      <c r="H11" s="252"/>
      <c r="I11" s="348">
        <v>99</v>
      </c>
      <c r="AB11" s="122" t="s">
        <v>99</v>
      </c>
      <c r="AC11" s="123"/>
      <c r="AD11" s="123"/>
      <c r="AE11" s="123"/>
      <c r="AF11" s="134">
        <f>+G11*(G12/AJ16)</f>
        <v>74.758446896876848</v>
      </c>
      <c r="AG11" s="127"/>
      <c r="AH11" s="123" t="s">
        <v>100</v>
      </c>
      <c r="AI11" s="124"/>
      <c r="AJ11" s="129">
        <v>7.9126910299003335</v>
      </c>
      <c r="AK11" s="235"/>
      <c r="AN11" s="444" t="s">
        <v>99</v>
      </c>
      <c r="AO11" s="445"/>
      <c r="AP11" s="445"/>
      <c r="AQ11" s="445"/>
      <c r="AR11" s="446">
        <f>+I11*(I12/AV16)</f>
        <v>53.687641496050453</v>
      </c>
      <c r="AS11" s="447"/>
      <c r="AT11" s="445" t="s">
        <v>100</v>
      </c>
      <c r="AU11" s="448"/>
      <c r="AV11" s="396">
        <f>'(2.1)_Proxy Resources'!N53</f>
        <v>19.805241420865066</v>
      </c>
      <c r="AW11" s="235"/>
      <c r="AZ11" s="122" t="s">
        <v>99</v>
      </c>
      <c r="BA11" s="123"/>
      <c r="BB11" s="123"/>
      <c r="BC11" s="123"/>
      <c r="BD11" s="134">
        <f>(AF11*AF13-G11*B19)</f>
        <v>74.758446896876848</v>
      </c>
      <c r="BE11" s="130"/>
      <c r="BG11" s="444" t="s">
        <v>99</v>
      </c>
      <c r="BH11" s="445"/>
      <c r="BI11" s="445"/>
      <c r="BJ11" s="445"/>
      <c r="BK11" s="368">
        <f>(AR11*AR13-I11*I19)</f>
        <v>38.04564149605045</v>
      </c>
      <c r="BL11" s="449"/>
    </row>
    <row r="12" spans="1:64" ht="12">
      <c r="B12" s="250"/>
      <c r="C12" s="231" t="s">
        <v>32</v>
      </c>
      <c r="D12" s="231"/>
      <c r="E12" s="231"/>
      <c r="F12" s="231"/>
      <c r="G12" s="254">
        <v>0.36768341143012434</v>
      </c>
      <c r="H12" s="252"/>
      <c r="I12" s="349">
        <v>0.38115824990285679</v>
      </c>
      <c r="AB12" s="122" t="s">
        <v>32</v>
      </c>
      <c r="AC12" s="123"/>
      <c r="AD12" s="123"/>
      <c r="AE12" s="123"/>
      <c r="AF12" s="131">
        <f>+AD53/8760/AF11</f>
        <v>0.56232387536888873</v>
      </c>
      <c r="AG12" s="127"/>
      <c r="AH12" s="117" t="s">
        <v>101</v>
      </c>
      <c r="AI12" s="118"/>
      <c r="AJ12" s="117">
        <v>2006</v>
      </c>
      <c r="AK12" s="235"/>
      <c r="AN12" s="444" t="s">
        <v>32</v>
      </c>
      <c r="AO12" s="445"/>
      <c r="AP12" s="445"/>
      <c r="AQ12" s="445"/>
      <c r="AR12" s="131">
        <f>AD70/8760/AR11</f>
        <v>0.71607937983337722</v>
      </c>
      <c r="AS12" s="447"/>
      <c r="AT12" s="437" t="s">
        <v>101</v>
      </c>
      <c r="AU12" s="438"/>
      <c r="AV12" s="450">
        <v>2016</v>
      </c>
      <c r="AW12" s="235"/>
      <c r="AZ12" s="122"/>
      <c r="BA12" s="123"/>
      <c r="BB12" s="123"/>
      <c r="BC12" s="123"/>
      <c r="BD12" s="539"/>
      <c r="BE12" s="132"/>
      <c r="BG12" s="444"/>
      <c r="BH12" s="445"/>
      <c r="BI12" s="445"/>
      <c r="BJ12" s="445"/>
      <c r="BK12" s="451"/>
      <c r="BL12" s="452"/>
    </row>
    <row r="13" spans="1:64" ht="12">
      <c r="B13" s="250"/>
      <c r="C13" s="231" t="s">
        <v>33</v>
      </c>
      <c r="D13" s="231"/>
      <c r="E13" s="231"/>
      <c r="F13" s="231"/>
      <c r="G13" s="251">
        <v>2009</v>
      </c>
      <c r="H13" s="252"/>
      <c r="I13" s="350">
        <v>2019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N13" s="444" t="s">
        <v>102</v>
      </c>
      <c r="AO13" s="445"/>
      <c r="AP13" s="445"/>
      <c r="AQ13" s="445"/>
      <c r="AR13" s="453">
        <v>1</v>
      </c>
      <c r="AS13" s="447"/>
      <c r="AT13" s="437" t="s">
        <v>103</v>
      </c>
      <c r="AU13" s="438"/>
      <c r="AV13" s="396">
        <f>'(2.1)_Proxy Resources'!O53</f>
        <v>2.02116486562735</v>
      </c>
      <c r="AW13" s="235"/>
      <c r="AZ13" s="122" t="s">
        <v>102</v>
      </c>
      <c r="BA13" s="123"/>
      <c r="BB13" s="123"/>
      <c r="BC13" s="123"/>
      <c r="BD13" s="540">
        <v>1</v>
      </c>
      <c r="BE13" s="132"/>
      <c r="BG13" s="444" t="s">
        <v>102</v>
      </c>
      <c r="BH13" s="445"/>
      <c r="BI13" s="445"/>
      <c r="BJ13" s="445"/>
      <c r="BK13" s="453">
        <v>1</v>
      </c>
      <c r="BL13" s="452"/>
    </row>
    <row r="14" spans="1:64" ht="12">
      <c r="B14" s="250"/>
      <c r="C14" s="231" t="s">
        <v>34</v>
      </c>
      <c r="D14" s="231"/>
      <c r="E14" s="231"/>
      <c r="F14" s="231"/>
      <c r="G14" s="251">
        <v>25</v>
      </c>
      <c r="H14" s="252"/>
      <c r="I14" s="351">
        <v>30</v>
      </c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N14" s="444" t="s">
        <v>104</v>
      </c>
      <c r="AO14" s="445"/>
      <c r="AP14" s="445"/>
      <c r="AQ14" s="445"/>
      <c r="AR14" s="454">
        <f>'(2.1)_Proxy Resources'!H53</f>
        <v>6414.883554173548</v>
      </c>
      <c r="AS14" s="447"/>
      <c r="AT14" s="437"/>
      <c r="AU14" s="438"/>
      <c r="AV14" s="396"/>
      <c r="AW14" s="235"/>
      <c r="AZ14" s="122" t="s">
        <v>105</v>
      </c>
      <c r="BA14" s="123"/>
      <c r="BB14" s="123"/>
      <c r="BC14" s="123"/>
      <c r="BD14" s="135">
        <v>454</v>
      </c>
      <c r="BE14" s="132"/>
      <c r="BG14" s="444" t="s">
        <v>232</v>
      </c>
      <c r="BH14" s="445"/>
      <c r="BI14" s="445"/>
      <c r="BJ14" s="445"/>
      <c r="BK14" s="397">
        <f>'(2.1)_Proxy Resources'!J54</f>
        <v>702</v>
      </c>
      <c r="BL14" s="452"/>
    </row>
    <row r="15" spans="1:64" ht="12">
      <c r="A15" t="s">
        <v>138</v>
      </c>
      <c r="B15" s="250"/>
      <c r="C15" s="231" t="s">
        <v>107</v>
      </c>
      <c r="D15" s="231"/>
      <c r="E15" s="231"/>
      <c r="F15" s="231"/>
      <c r="G15" s="255">
        <v>188.95564207714702</v>
      </c>
      <c r="H15" s="252"/>
      <c r="I15" s="382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N15" s="444" t="s">
        <v>231</v>
      </c>
      <c r="AO15" s="445"/>
      <c r="AP15" s="445"/>
      <c r="AQ15" s="445"/>
      <c r="AR15" s="397">
        <f>'(2.1)_Proxy Resources'!J53</f>
        <v>1362.6215812395926</v>
      </c>
      <c r="AS15" s="447"/>
      <c r="AT15" s="437" t="s">
        <v>141</v>
      </c>
      <c r="AU15" s="438"/>
      <c r="AV15" s="396">
        <f>'(2.1)_Proxy Resources'!P53</f>
        <v>2.2807762714164963</v>
      </c>
      <c r="AW15" s="235"/>
      <c r="AZ15" s="122" t="s">
        <v>108</v>
      </c>
      <c r="BA15" s="123"/>
      <c r="BB15" s="123"/>
      <c r="BC15" s="123"/>
      <c r="BD15" s="541">
        <f>'(2.1)_Proxy Resources'!D54</f>
        <v>0.33</v>
      </c>
      <c r="BE15" s="132"/>
      <c r="BG15" s="444" t="s">
        <v>108</v>
      </c>
      <c r="BH15" s="445"/>
      <c r="BI15" s="445"/>
      <c r="BJ15" s="445"/>
      <c r="BK15" s="455">
        <f>'(2.1)_Proxy Resources'!K54</f>
        <v>7.3700000000000002E-2</v>
      </c>
      <c r="BL15" s="452"/>
    </row>
    <row r="16" spans="1:64" ht="12">
      <c r="A16" t="s">
        <v>138</v>
      </c>
      <c r="B16" s="250"/>
      <c r="C16" s="231" t="s">
        <v>109</v>
      </c>
      <c r="D16" s="231"/>
      <c r="E16" s="231"/>
      <c r="F16" s="231"/>
      <c r="G16" s="255">
        <v>7.5536675262871498</v>
      </c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N16" s="444" t="s">
        <v>108</v>
      </c>
      <c r="AO16" s="445"/>
      <c r="AP16" s="445"/>
      <c r="AQ16" s="445"/>
      <c r="AR16" s="455">
        <f>'(2.1)_Proxy Resources'!K52</f>
        <v>7.2562879502455491E-2</v>
      </c>
      <c r="AS16" s="447"/>
      <c r="AT16" s="437" t="s">
        <v>110</v>
      </c>
      <c r="AU16" s="448"/>
      <c r="AV16" s="456">
        <f>'(2.1)_Proxy Resources'!D53</f>
        <v>0.70285573530285894</v>
      </c>
      <c r="AW16" s="235"/>
      <c r="AZ16" s="122" t="s">
        <v>100</v>
      </c>
      <c r="BA16" s="124"/>
      <c r="BB16" s="129">
        <v>5.75</v>
      </c>
      <c r="BE16" s="130"/>
      <c r="BG16" s="444" t="s">
        <v>100</v>
      </c>
      <c r="BH16" s="448"/>
      <c r="BI16" s="396">
        <f>'(2.1)_Proxy Resources'!L54</f>
        <v>15.97</v>
      </c>
      <c r="BL16" s="449"/>
    </row>
    <row r="17" spans="1:64" ht="12">
      <c r="A17" t="s">
        <v>138</v>
      </c>
      <c r="B17" s="250"/>
      <c r="C17" s="231" t="s">
        <v>111</v>
      </c>
      <c r="D17" s="231"/>
      <c r="E17" s="231"/>
      <c r="F17" s="231"/>
      <c r="G17" s="255">
        <v>0</v>
      </c>
      <c r="H17" s="252"/>
      <c r="AB17" s="2"/>
      <c r="AG17" s="127"/>
      <c r="AI17" s="127"/>
      <c r="AJ17" s="123"/>
      <c r="AK17" s="130"/>
      <c r="AN17" s="2"/>
      <c r="AS17" s="447"/>
      <c r="AU17" s="447"/>
      <c r="AV17" s="445"/>
      <c r="AW17" s="449"/>
      <c r="AZ17" s="116" t="s">
        <v>101</v>
      </c>
      <c r="BA17" s="118"/>
      <c r="BB17" s="117">
        <v>2006</v>
      </c>
      <c r="BE17" s="128"/>
      <c r="BG17" s="436" t="s">
        <v>101</v>
      </c>
      <c r="BH17" s="438"/>
      <c r="BI17" s="450">
        <v>2016</v>
      </c>
      <c r="BL17" s="457"/>
    </row>
    <row r="18" spans="1:64" ht="12">
      <c r="B18" s="250"/>
      <c r="C18" s="231" t="s">
        <v>112</v>
      </c>
      <c r="D18" s="231"/>
      <c r="E18" s="231"/>
      <c r="F18" s="231"/>
      <c r="G18" s="254">
        <v>7.3164524549999999E-2</v>
      </c>
      <c r="H18" s="252"/>
      <c r="I18" s="458">
        <f>'(2.2)_Forward_Price_Curve'!AA8</f>
        <v>6.5699999999999995E-2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459"/>
      <c r="AO18" s="460"/>
      <c r="AP18" s="460"/>
      <c r="AQ18" s="460"/>
      <c r="AR18" s="460"/>
      <c r="AS18" s="460"/>
      <c r="AT18" s="460"/>
      <c r="AU18" s="460"/>
      <c r="AV18" s="460"/>
      <c r="AW18" s="461"/>
      <c r="AZ18" s="138"/>
      <c r="BA18" s="139"/>
      <c r="BB18" s="139"/>
      <c r="BC18" s="139"/>
      <c r="BD18" s="139"/>
      <c r="BE18" s="141"/>
      <c r="BG18" s="459"/>
      <c r="BH18" s="460"/>
      <c r="BI18" s="460"/>
      <c r="BJ18" s="460"/>
      <c r="BK18" s="460"/>
      <c r="BL18" s="462"/>
    </row>
    <row r="19" spans="1:64" ht="12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s="458">
        <f>'(2.2)_Forward_Price_Curve'!L103</f>
        <v>0.158</v>
      </c>
    </row>
    <row r="20" spans="1:64">
      <c r="B20" s="231"/>
      <c r="C20" s="231"/>
      <c r="D20" s="231"/>
      <c r="E20" s="231"/>
      <c r="F20" s="231"/>
      <c r="G20" t="s">
        <v>113</v>
      </c>
      <c r="H20" s="231"/>
    </row>
    <row r="23" spans="1:64">
      <c r="B23" s="244"/>
      <c r="C23" s="241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v>2009</v>
      </c>
      <c r="E28" s="169">
        <f>'(2.2)_Forward_Price_Curve'!V23</f>
        <v>1.7000000000000001E-2</v>
      </c>
      <c r="G28" s="18">
        <v>321919</v>
      </c>
      <c r="I28" s="268">
        <f>$G$15</f>
        <v>188.95564207714702</v>
      </c>
      <c r="J28" s="268"/>
      <c r="K28" s="268">
        <f>$G$16</f>
        <v>7.5536675262871498</v>
      </c>
      <c r="L28" s="269"/>
      <c r="M28" s="268">
        <f>$G$17</f>
        <v>0</v>
      </c>
      <c r="O28" s="270">
        <v>5.1866999999999992</v>
      </c>
      <c r="Q28" s="28">
        <f>-'(2.2)_Forward_Price_Curve'!AO20</f>
        <v>-33.844219890731516</v>
      </c>
      <c r="S28" s="18">
        <f t="shared" ref="S28:S34" si="0">(I28*$G$11*1000+(K28+M28+O28+Q28)*G28)/1000</f>
        <v>11912.877516327988</v>
      </c>
      <c r="U28" s="18">
        <f t="shared" ref="U28:U34" si="1">AX28</f>
        <v>21284.212812174625</v>
      </c>
      <c r="W28" s="18">
        <f t="shared" ref="W28:W34" si="2">S28-U28</f>
        <v>-9371.3352958466367</v>
      </c>
      <c r="Y28" s="271">
        <f t="shared" ref="Y28:Y34" si="3">+W28*1000/G28</f>
        <v>-29.110848678849763</v>
      </c>
      <c r="Z28" s="235"/>
      <c r="AB28" s="146">
        <f>$C$28</f>
        <v>2009</v>
      </c>
      <c r="AC28" s="117"/>
      <c r="AD28" s="151">
        <f t="shared" ref="AD28:AD68" si="4">G28</f>
        <v>321919</v>
      </c>
      <c r="AF28" s="152">
        <v>58.163412158772744</v>
      </c>
      <c r="AG28" s="272"/>
      <c r="AH28" s="152">
        <v>8.2001037061794015</v>
      </c>
      <c r="AI28" s="272"/>
      <c r="AJ28" s="152">
        <v>2.3050946065283835</v>
      </c>
      <c r="AK28" s="272"/>
      <c r="AL28" s="153">
        <f>((AF28+AH28)*$AF$11*1000+AJ28*AD28)/1000</f>
        <v>5703.2871273190804</v>
      </c>
      <c r="AN28" s="154">
        <f>INDEX('(2.2)_Forward_Price_Curve'!$I:$I,MATCH($AB28,'(2.2)_Forward_Price_Curve'!$C:$C,0),1)</f>
        <v>7.7758276535043622</v>
      </c>
      <c r="AO28" s="279"/>
      <c r="AP28" s="154">
        <f t="shared" ref="AP28:AP68" si="5">AN28*$AF$14/1000</f>
        <v>56.499329593768707</v>
      </c>
      <c r="AQ28" s="272"/>
      <c r="AR28" s="152">
        <v>2.3860545125109165</v>
      </c>
      <c r="AS28" s="152"/>
      <c r="AT28" s="153">
        <f t="shared" ref="AT28:AT68" si="6">AL28-BF28</f>
        <v>2327.8888460651929</v>
      </c>
      <c r="AU28" s="272"/>
      <c r="AV28" s="153">
        <f t="shared" ref="AV28:AV68" si="7">(AP28+AR28)*AD28/1000</f>
        <v>18956.32396610943</v>
      </c>
      <c r="AW28" s="273"/>
      <c r="AX28" s="155">
        <f t="shared" ref="AX28:AX68" si="8">AT28+AV28</f>
        <v>21284.212812174625</v>
      </c>
      <c r="AZ28" s="146">
        <f>$C$28</f>
        <v>2009</v>
      </c>
      <c r="BA28" s="117"/>
      <c r="BB28" s="152">
        <v>39.191870478599988</v>
      </c>
      <c r="BD28" s="152">
        <v>5.9588572499999986</v>
      </c>
      <c r="BE28" s="272"/>
      <c r="BF28" s="153">
        <f t="shared" ref="BF28:BF68" si="9">(BB28+BD28)*$BD$11</f>
        <v>3375.3982812538875</v>
      </c>
      <c r="BG28" s="272"/>
      <c r="BH28" s="156"/>
    </row>
    <row r="29" spans="1:64" ht="12">
      <c r="B29" s="2"/>
      <c r="C29">
        <f>+IF(C28&gt;$G$13+$G$14,XX,C28+1)</f>
        <v>2010</v>
      </c>
      <c r="E29" s="169">
        <f>'(2.2)_Forward_Price_Curve'!V24</f>
        <v>1.9E-2</v>
      </c>
      <c r="G29" s="18">
        <v>309371</v>
      </c>
      <c r="I29" s="28">
        <f t="shared" ref="I29:I37" si="10">I28*(1+$E29)</f>
        <v>192.5457992766128</v>
      </c>
      <c r="K29" s="28">
        <f t="shared" ref="K29:K37" si="11">K28*(1+$E29)</f>
        <v>7.6971872092866045</v>
      </c>
      <c r="M29" s="28">
        <f t="shared" ref="M29:M37" si="12">M28*(1+$E29)</f>
        <v>0</v>
      </c>
      <c r="O29" s="270">
        <v>5.2748738999999985</v>
      </c>
      <c r="Q29" s="28">
        <f>-'(2.2)_Forward_Price_Curve'!AO21</f>
        <v>-35.45584940933778</v>
      </c>
      <c r="S29" s="18">
        <f t="shared" si="0"/>
        <v>12106.202058209536</v>
      </c>
      <c r="U29" s="18">
        <f t="shared" si="1"/>
        <v>19903.368790757748</v>
      </c>
      <c r="W29" s="18">
        <f t="shared" si="2"/>
        <v>-7797.1667325482122</v>
      </c>
      <c r="Y29" s="271">
        <f t="shared" si="3"/>
        <v>-25.203289036620152</v>
      </c>
      <c r="Z29" s="235"/>
      <c r="AB29" s="146">
        <f>+IF(AB28&gt;$G$13+$G$14,XX,AB28+1)</f>
        <v>2010</v>
      </c>
      <c r="AC29" s="117"/>
      <c r="AD29" s="151">
        <f t="shared" si="4"/>
        <v>309371</v>
      </c>
      <c r="AF29" s="154">
        <f t="shared" ref="AF29:AF37" si="13">AF28*(1+$E29)</f>
        <v>59.268516989789418</v>
      </c>
      <c r="AH29" s="154">
        <f t="shared" ref="AH29:AH37" si="14">AH28*(1+$E29)</f>
        <v>8.3559056765968087</v>
      </c>
      <c r="AJ29" s="154">
        <f t="shared" ref="AJ29:AJ37" si="15">AJ28*(1+$E29)</f>
        <v>2.3488914040524227</v>
      </c>
      <c r="AL29" s="153">
        <f t="shared" ref="AL29:AL66" si="16">((AF29+AH29)*$AF$11*1000+AJ29*AD29)/1000</f>
        <v>5782.1756934000914</v>
      </c>
      <c r="AN29" s="154">
        <f>INDEX('(2.2)_Forward_Price_Curve'!$I:$I,MATCH($AB29,'(2.2)_Forward_Price_Curve'!$C:$C,0),1)</f>
        <v>7.4774457529777205</v>
      </c>
      <c r="AP29" s="154">
        <f t="shared" si="5"/>
        <v>54.331280339864243</v>
      </c>
      <c r="AR29" s="154">
        <f>AR28*(1+$E29)</f>
        <v>2.4313895482486236</v>
      </c>
      <c r="AS29" s="154"/>
      <c r="AT29" s="153">
        <f t="shared" si="6"/>
        <v>2342.6448448023807</v>
      </c>
      <c r="AV29" s="153">
        <f t="shared" si="7"/>
        <v>17560.723945955368</v>
      </c>
      <c r="AW29" s="273"/>
      <c r="AX29" s="155">
        <f t="shared" si="8"/>
        <v>19903.368790757748</v>
      </c>
      <c r="AZ29" s="146">
        <f>+IF(AZ28&gt;$G$13+$G$14,XX,AZ28+1)</f>
        <v>2010</v>
      </c>
      <c r="BA29" s="117"/>
      <c r="BB29" s="154">
        <f t="shared" ref="BB29:BB68" si="17">BB28*(1+$E29)</f>
        <v>39.936516017693386</v>
      </c>
      <c r="BD29" s="154">
        <f t="shared" ref="BD29:BD68" si="18">BD28*(1+$E29)</f>
        <v>6.0720755377499982</v>
      </c>
      <c r="BF29" s="153">
        <f t="shared" si="9"/>
        <v>3439.5308485977107</v>
      </c>
      <c r="BH29" s="157"/>
    </row>
    <row r="30" spans="1:64" ht="12">
      <c r="B30" s="2"/>
      <c r="C30">
        <f>+IF(C29&gt;$G$13+$G$14,XX,C29+1)</f>
        <v>2011</v>
      </c>
      <c r="E30" s="169">
        <f>'(2.2)_Forward_Price_Curve'!V25</f>
        <v>1.9E-2</v>
      </c>
      <c r="G30" s="18">
        <v>309371</v>
      </c>
      <c r="I30" s="28">
        <f t="shared" si="10"/>
        <v>196.20416946286844</v>
      </c>
      <c r="K30" s="28">
        <f t="shared" si="11"/>
        <v>7.8434337662630496</v>
      </c>
      <c r="M30" s="28">
        <f t="shared" si="12"/>
        <v>0</v>
      </c>
      <c r="O30" s="270">
        <v>5.3750965040999983</v>
      </c>
      <c r="Q30" s="28">
        <f>-'(2.2)_Forward_Price_Curve'!AO22</f>
        <v>-35.45584940933778</v>
      </c>
      <c r="S30" s="18">
        <f t="shared" si="0"/>
        <v>12544.631117480221</v>
      </c>
      <c r="U30" s="18">
        <f t="shared" si="1"/>
        <v>19073.572680971589</v>
      </c>
      <c r="W30" s="18">
        <f t="shared" si="2"/>
        <v>-6528.9415634913676</v>
      </c>
      <c r="Y30" s="271">
        <f t="shared" si="3"/>
        <v>-21.103922356948026</v>
      </c>
      <c r="Z30" s="235"/>
      <c r="AB30" s="146">
        <f>+IF(AB29&gt;$G$13+$G$14,XX,AB29+1)</f>
        <v>2011</v>
      </c>
      <c r="AC30" s="117"/>
      <c r="AD30" s="151">
        <f t="shared" si="4"/>
        <v>309371</v>
      </c>
      <c r="AF30" s="154">
        <f t="shared" si="13"/>
        <v>60.394618812595411</v>
      </c>
      <c r="AH30" s="154">
        <f t="shared" si="14"/>
        <v>8.5146678844521482</v>
      </c>
      <c r="AJ30" s="154">
        <f t="shared" si="15"/>
        <v>2.3935203407294185</v>
      </c>
      <c r="AL30" s="153">
        <f t="shared" si="16"/>
        <v>5892.0370315746932</v>
      </c>
      <c r="AN30" s="154">
        <f>INDEX('(2.2)_Forward_Price_Curve'!$I:$I,MATCH($AB30,'(2.2)_Forward_Price_Curve'!$C:$C,0),1)</f>
        <v>7.0821436233211914</v>
      </c>
      <c r="AP30" s="154">
        <f t="shared" si="5"/>
        <v>51.459006633731178</v>
      </c>
      <c r="AR30" s="154">
        <f t="shared" ref="AR30:AR41" si="19">AR29*(1+$E30)</f>
        <v>2.4775859496653472</v>
      </c>
      <c r="AS30" s="154"/>
      <c r="AT30" s="153">
        <f t="shared" si="6"/>
        <v>2387.1550968536262</v>
      </c>
      <c r="AV30" s="153">
        <f t="shared" si="7"/>
        <v>16686.417584117964</v>
      </c>
      <c r="AW30" s="273"/>
      <c r="AX30" s="155">
        <f t="shared" si="8"/>
        <v>19073.572680971589</v>
      </c>
      <c r="AZ30" s="146">
        <f>+IF(AZ29&gt;$G$13+$G$14,XX,AZ29+1)</f>
        <v>2011</v>
      </c>
      <c r="BA30" s="117"/>
      <c r="BB30" s="154">
        <f t="shared" si="17"/>
        <v>40.695309822029557</v>
      </c>
      <c r="BD30" s="154">
        <f t="shared" si="18"/>
        <v>6.1874449729672474</v>
      </c>
      <c r="BF30" s="153">
        <f t="shared" si="9"/>
        <v>3504.881934721067</v>
      </c>
      <c r="BH30" s="157"/>
    </row>
    <row r="31" spans="1:64" ht="12">
      <c r="B31" s="2"/>
      <c r="C31">
        <f>+IF(C30&gt;$G$13+$G$14,XX,C30+1)</f>
        <v>2012</v>
      </c>
      <c r="E31" s="169">
        <f>'(2.2)_Forward_Price_Curve'!V26</f>
        <v>0.02</v>
      </c>
      <c r="G31" s="18">
        <v>310334</v>
      </c>
      <c r="I31" s="28">
        <f t="shared" si="10"/>
        <v>200.1282528521258</v>
      </c>
      <c r="K31" s="28">
        <f t="shared" si="11"/>
        <v>8.0003024415883104</v>
      </c>
      <c r="M31" s="28">
        <f t="shared" si="12"/>
        <v>0</v>
      </c>
      <c r="O31" s="270">
        <v>5.4772233376778976</v>
      </c>
      <c r="Q31" s="28">
        <f>-'(2.2)_Forward_Price_Curve'!AO23</f>
        <v>-35.45584940933778</v>
      </c>
      <c r="S31" s="18">
        <f t="shared" si="0"/>
        <v>12992.075946945823</v>
      </c>
      <c r="U31" s="18">
        <f t="shared" si="1"/>
        <v>18334.861575521707</v>
      </c>
      <c r="W31" s="18">
        <f t="shared" si="2"/>
        <v>-5342.7856285758844</v>
      </c>
      <c r="Y31" s="271">
        <f t="shared" si="3"/>
        <v>-17.216243236564104</v>
      </c>
      <c r="Z31" s="235"/>
      <c r="AB31" s="146">
        <f>+IF(AB30&gt;$G$13+$G$14,XX,AB30+1)</f>
        <v>2012</v>
      </c>
      <c r="AC31" s="117"/>
      <c r="AD31" s="151">
        <f t="shared" si="4"/>
        <v>310334</v>
      </c>
      <c r="AF31" s="154">
        <f t="shared" si="13"/>
        <v>61.602511188847323</v>
      </c>
      <c r="AH31" s="154">
        <f t="shared" si="14"/>
        <v>8.6849612421411919</v>
      </c>
      <c r="AJ31" s="154">
        <f t="shared" si="15"/>
        <v>2.4413907475440069</v>
      </c>
      <c r="AL31" s="153">
        <f t="shared" si="16"/>
        <v>6012.2288314960733</v>
      </c>
      <c r="AN31" s="154">
        <f>INDEX('(2.2)_Forward_Price_Curve'!$I:$I,MATCH($AB31,'(2.2)_Forward_Price_Curve'!$C:$C,0),1)</f>
        <v>6.7024699037828679</v>
      </c>
      <c r="AP31" s="154">
        <f t="shared" si="5"/>
        <v>48.700289288881038</v>
      </c>
      <c r="AR31" s="154">
        <f t="shared" si="19"/>
        <v>2.527137668658654</v>
      </c>
      <c r="AS31" s="154"/>
      <c r="AT31" s="153">
        <f t="shared" si="6"/>
        <v>2437.2492580805852</v>
      </c>
      <c r="AV31" s="153">
        <f t="shared" si="7"/>
        <v>15897.612317441122</v>
      </c>
      <c r="AW31" s="273"/>
      <c r="AX31" s="155">
        <f t="shared" si="8"/>
        <v>18334.861575521707</v>
      </c>
      <c r="AZ31" s="146">
        <f>+IF(AZ30&gt;$G$13+$G$14,XX,AZ30+1)</f>
        <v>2012</v>
      </c>
      <c r="BA31" s="117"/>
      <c r="BB31" s="154">
        <f t="shared" si="17"/>
        <v>41.509216018470148</v>
      </c>
      <c r="BD31" s="154">
        <f t="shared" si="18"/>
        <v>6.3111938724265926</v>
      </c>
      <c r="BF31" s="153">
        <f t="shared" si="9"/>
        <v>3574.9795734154882</v>
      </c>
      <c r="BH31" s="157"/>
    </row>
    <row r="32" spans="1:64" ht="12">
      <c r="B32" s="2"/>
      <c r="C32">
        <f>+IF(C31&gt;$G$13+$G$14,XX,C31+1)</f>
        <v>2013</v>
      </c>
      <c r="E32" s="169">
        <f>'(2.2)_Forward_Price_Curve'!V27</f>
        <v>1.9E-2</v>
      </c>
      <c r="G32" s="18">
        <v>309371</v>
      </c>
      <c r="I32" s="28">
        <f t="shared" si="10"/>
        <v>203.93068965631616</v>
      </c>
      <c r="K32" s="28">
        <f t="shared" si="11"/>
        <v>8.1523081879784876</v>
      </c>
      <c r="M32" s="28">
        <f t="shared" si="12"/>
        <v>0</v>
      </c>
      <c r="O32" s="270">
        <v>5.5867678044314557</v>
      </c>
      <c r="Q32" s="28">
        <f>-'(2.2)_Forward_Price_Curve'!AO24</f>
        <v>-37.067478927944045</v>
      </c>
      <c r="S32" s="18">
        <f t="shared" si="0"/>
        <v>12972.006931406178</v>
      </c>
      <c r="U32" s="18">
        <f t="shared" si="1"/>
        <v>18337.608665465359</v>
      </c>
      <c r="W32" s="18">
        <f t="shared" si="2"/>
        <v>-5365.6017340591807</v>
      </c>
      <c r="Y32" s="271">
        <f t="shared" si="3"/>
        <v>-17.343583380663286</v>
      </c>
      <c r="Z32" s="235"/>
      <c r="AB32" s="146">
        <f>+IF(AB31&gt;$G$13+$G$14,XX,AB31+1)</f>
        <v>2013</v>
      </c>
      <c r="AC32" s="117"/>
      <c r="AD32" s="151">
        <f t="shared" si="4"/>
        <v>309371</v>
      </c>
      <c r="AF32" s="154">
        <f t="shared" si="13"/>
        <v>62.772958901435416</v>
      </c>
      <c r="AH32" s="154">
        <f t="shared" si="14"/>
        <v>8.8499755057418739</v>
      </c>
      <c r="AJ32" s="154">
        <f t="shared" si="15"/>
        <v>2.4877771717473429</v>
      </c>
      <c r="AL32" s="153">
        <f t="shared" si="16"/>
        <v>6124.065449878105</v>
      </c>
      <c r="AN32" s="154">
        <f>INDEX('(2.2)_Forward_Price_Curve'!$I:$I,MATCH($AB32,'(2.2)_Forward_Price_Curve'!$C:$C,0),1)</f>
        <v>6.6994948806584134</v>
      </c>
      <c r="AP32" s="154">
        <f t="shared" si="5"/>
        <v>48.678672707399592</v>
      </c>
      <c r="AR32" s="154">
        <f t="shared" si="19"/>
        <v>2.5751532843631684</v>
      </c>
      <c r="AS32" s="154"/>
      <c r="AT32" s="153">
        <f t="shared" si="6"/>
        <v>2481.1612645677228</v>
      </c>
      <c r="AV32" s="153">
        <f t="shared" si="7"/>
        <v>15856.447400897638</v>
      </c>
      <c r="AW32" s="273"/>
      <c r="AX32" s="155">
        <f t="shared" si="8"/>
        <v>18337.608665465359</v>
      </c>
      <c r="AZ32" s="146">
        <f>+IF(AZ31&gt;$G$13+$G$14,XX,AZ31+1)</f>
        <v>2013</v>
      </c>
      <c r="BA32" s="117"/>
      <c r="BB32" s="154">
        <f t="shared" si="17"/>
        <v>42.297891122821078</v>
      </c>
      <c r="BD32" s="154">
        <f t="shared" si="18"/>
        <v>6.431106556002697</v>
      </c>
      <c r="BF32" s="153">
        <f t="shared" si="9"/>
        <v>3642.9041853103822</v>
      </c>
      <c r="BH32" s="157"/>
    </row>
    <row r="33" spans="2:60" ht="12">
      <c r="B33" s="2"/>
      <c r="C33">
        <f>+IF(C32&gt;$G$13+$G$14,XX,C32+1)</f>
        <v>2014</v>
      </c>
      <c r="E33" s="169">
        <f>'(2.2)_Forward_Price_Curve'!V28</f>
        <v>1.7999999999999999E-2</v>
      </c>
      <c r="G33" s="18">
        <v>309371</v>
      </c>
      <c r="I33" s="28">
        <f t="shared" si="10"/>
        <v>207.60144207012985</v>
      </c>
      <c r="K33" s="28">
        <f t="shared" si="11"/>
        <v>8.2990497353621002</v>
      </c>
      <c r="M33" s="28">
        <f t="shared" si="12"/>
        <v>0</v>
      </c>
      <c r="O33" s="270">
        <v>5.6929163927156532</v>
      </c>
      <c r="Q33" s="28">
        <f>-'(2.2)_Forward_Price_Curve'!AO25</f>
        <v>-37.067478927944045</v>
      </c>
      <c r="S33" s="18">
        <f t="shared" si="0"/>
        <v>13413.648294535424</v>
      </c>
      <c r="U33" s="18">
        <f t="shared" si="1"/>
        <v>18878.814318209592</v>
      </c>
      <c r="W33" s="18">
        <f t="shared" si="2"/>
        <v>-5465.1660236741682</v>
      </c>
      <c r="Y33" s="271">
        <f t="shared" si="3"/>
        <v>-17.665411508105699</v>
      </c>
      <c r="Z33" s="235"/>
      <c r="AB33" s="146">
        <f>+IF(AB32&gt;$G$13+$G$14,XX,AB32+1)</f>
        <v>2014</v>
      </c>
      <c r="AC33" s="117"/>
      <c r="AD33" s="151">
        <f t="shared" si="4"/>
        <v>309371</v>
      </c>
      <c r="AF33" s="154">
        <f t="shared" si="13"/>
        <v>63.902872161661257</v>
      </c>
      <c r="AH33" s="154">
        <f t="shared" si="14"/>
        <v>9.0092750648452284</v>
      </c>
      <c r="AJ33" s="154">
        <f t="shared" si="15"/>
        <v>2.5325571608387953</v>
      </c>
      <c r="AL33" s="153">
        <f t="shared" si="16"/>
        <v>6234.2986279759098</v>
      </c>
      <c r="AN33" s="154">
        <f>INDEX('(2.2)_Forward_Price_Curve'!$I:$I,MATCH($AB33,'(2.2)_Forward_Price_Curve'!$C:$C,0),1)</f>
        <v>6.9140085811973453</v>
      </c>
      <c r="AP33" s="154">
        <f t="shared" si="5"/>
        <v>50.2373338312307</v>
      </c>
      <c r="AR33" s="154">
        <f t="shared" si="19"/>
        <v>2.6215060434817055</v>
      </c>
      <c r="AS33" s="154"/>
      <c r="AT33" s="153">
        <f t="shared" si="6"/>
        <v>2525.8221673299404</v>
      </c>
      <c r="AV33" s="153">
        <f t="shared" si="7"/>
        <v>16352.992150879651</v>
      </c>
      <c r="AW33" s="273"/>
      <c r="AX33" s="155">
        <f t="shared" si="8"/>
        <v>18878.814318209592</v>
      </c>
      <c r="AZ33" s="146">
        <f>+IF(AZ32&gt;$G$13+$G$14,XX,AZ32+1)</f>
        <v>2014</v>
      </c>
      <c r="BA33" s="117"/>
      <c r="BB33" s="154">
        <f t="shared" si="17"/>
        <v>43.059253163031855</v>
      </c>
      <c r="BD33" s="154">
        <f t="shared" si="18"/>
        <v>6.5468664740107458</v>
      </c>
      <c r="BF33" s="153">
        <f t="shared" si="9"/>
        <v>3708.4764606459694</v>
      </c>
      <c r="BH33" s="157"/>
    </row>
    <row r="34" spans="2:60" ht="12">
      <c r="B34" s="2"/>
      <c r="C34">
        <f>+IF(C33&gt;$G$13+$G$14,XX,C33+1)</f>
        <v>2015</v>
      </c>
      <c r="E34" s="169">
        <f>'(2.2)_Forward_Price_Curve'!V29</f>
        <v>1.7999999999999999E-2</v>
      </c>
      <c r="G34" s="18">
        <v>309371</v>
      </c>
      <c r="I34" s="28">
        <f t="shared" si="10"/>
        <v>211.33826802739219</v>
      </c>
      <c r="K34" s="28">
        <f t="shared" si="11"/>
        <v>8.448432630598619</v>
      </c>
      <c r="M34" s="28">
        <f t="shared" si="12"/>
        <v>0</v>
      </c>
      <c r="O34" s="270">
        <v>5.7953888877845348</v>
      </c>
      <c r="Q34" s="28">
        <f>-'(2.2)_Forward_Price_Curve'!AO26</f>
        <v>-37.067478927944045</v>
      </c>
      <c r="S34" s="18">
        <f t="shared" si="0"/>
        <v>13861.510818258565</v>
      </c>
      <c r="U34" s="18">
        <f t="shared" si="1"/>
        <v>19843.41428144959</v>
      </c>
      <c r="W34" s="18">
        <f t="shared" si="2"/>
        <v>-5981.9034631910254</v>
      </c>
      <c r="Y34" s="271">
        <f t="shared" si="3"/>
        <v>-19.335695534458708</v>
      </c>
      <c r="Z34" s="235"/>
      <c r="AB34" s="146">
        <f>+IF(AB33&gt;$G$13+$G$14,XX,AB33+1)</f>
        <v>2015</v>
      </c>
      <c r="AC34" s="117"/>
      <c r="AD34" s="151">
        <f t="shared" si="4"/>
        <v>309371</v>
      </c>
      <c r="AF34" s="154">
        <f t="shared" si="13"/>
        <v>65.053123860571162</v>
      </c>
      <c r="AH34" s="154">
        <f t="shared" si="14"/>
        <v>9.1714420160124419</v>
      </c>
      <c r="AJ34" s="154">
        <f t="shared" si="15"/>
        <v>2.5781431897338938</v>
      </c>
      <c r="AL34" s="153">
        <f t="shared" si="16"/>
        <v>6346.5160032794765</v>
      </c>
      <c r="AN34" s="154">
        <f>INDEX('(2.2)_Forward_Price_Curve'!$I:$I,MATCH($AB34,'(2.2)_Forward_Price_Curve'!$C:$C,0),1)</f>
        <v>7.3164011858738007</v>
      </c>
      <c r="AP34" s="154">
        <f t="shared" si="5"/>
        <v>53.161127080102943</v>
      </c>
      <c r="AR34" s="154">
        <f t="shared" si="19"/>
        <v>2.6686931522643764</v>
      </c>
      <c r="AS34" s="154"/>
      <c r="AT34" s="153">
        <f t="shared" si="6"/>
        <v>2571.2869663418801</v>
      </c>
      <c r="AV34" s="153">
        <f t="shared" si="7"/>
        <v>17272.127315107711</v>
      </c>
      <c r="AW34" s="273"/>
      <c r="AX34" s="155">
        <f t="shared" si="8"/>
        <v>19843.41428144959</v>
      </c>
      <c r="AZ34" s="146">
        <f>+IF(AZ33&gt;$G$13+$G$14,XX,AZ33+1)</f>
        <v>2015</v>
      </c>
      <c r="BA34" s="117"/>
      <c r="BB34" s="154">
        <f t="shared" si="17"/>
        <v>43.83431971996643</v>
      </c>
      <c r="BD34" s="154">
        <f t="shared" si="18"/>
        <v>6.664710070542939</v>
      </c>
      <c r="BF34" s="153">
        <f t="shared" si="9"/>
        <v>3775.2290369375964</v>
      </c>
      <c r="BH34" s="157"/>
    </row>
    <row r="35" spans="2:60" ht="12">
      <c r="B35" s="2"/>
      <c r="C35">
        <f>+IF(C34&gt;$G$13+$G$14,XX,C34+1)</f>
        <v>2016</v>
      </c>
      <c r="E35" s="169">
        <f>'(2.2)_Forward_Price_Curve'!V30</f>
        <v>1.7999999999999999E-2</v>
      </c>
      <c r="G35" s="18">
        <v>310218.59178082197</v>
      </c>
      <c r="I35" s="28">
        <f t="shared" si="10"/>
        <v>215.14235685188524</v>
      </c>
      <c r="K35" s="28">
        <f t="shared" si="11"/>
        <v>8.600504417949395</v>
      </c>
      <c r="M35" s="28">
        <f t="shared" si="12"/>
        <v>0</v>
      </c>
      <c r="O35" s="270">
        <v>5.8997058877646564</v>
      </c>
      <c r="Q35" s="28">
        <f>-'(2.2)_Forward_Price_Curve'!AO27</f>
        <v>-37.067478927944045</v>
      </c>
      <c r="S35" s="18">
        <f t="shared" ref="S35:S68" si="20">(I35*$G$11*1000+(K35+M35+O35+Q35)*G35)/1000</f>
        <v>14298.307036008922</v>
      </c>
      <c r="U35" s="18">
        <f t="shared" ref="U35:U68" si="21">AX35</f>
        <v>21317.355756390109</v>
      </c>
      <c r="W35" s="18">
        <f t="shared" ref="W35:W68" si="22">S35-U35</f>
        <v>-7019.0487203811863</v>
      </c>
      <c r="Y35" s="271">
        <f t="shared" ref="Y35:Y68" si="23">+W35*1000/G35</f>
        <v>-22.626138169501907</v>
      </c>
      <c r="Z35" s="235"/>
      <c r="AB35" s="146">
        <f>+IF(AB34&gt;$G$13+$G$14,XX,AB34+1)</f>
        <v>2016</v>
      </c>
      <c r="AC35" s="117"/>
      <c r="AD35" s="151">
        <f t="shared" si="4"/>
        <v>310218.59178082197</v>
      </c>
      <c r="AF35" s="154">
        <f t="shared" si="13"/>
        <v>66.224080090061449</v>
      </c>
      <c r="AH35" s="154">
        <f t="shared" si="14"/>
        <v>9.3365279723006669</v>
      </c>
      <c r="AJ35" s="154">
        <f t="shared" si="15"/>
        <v>2.6245497671491038</v>
      </c>
      <c r="AL35" s="153">
        <f t="shared" si="16"/>
        <v>6462.9778381495025</v>
      </c>
      <c r="AN35" s="154">
        <f>INDEX('(2.2)_Forward_Price_Curve'!$I:$I,MATCH($AB35,'(2.2)_Forward_Price_Curve'!$C:$C,0),1)</f>
        <v>7.9211828417083421</v>
      </c>
      <c r="AP35" s="154">
        <f t="shared" si="5"/>
        <v>57.555483491778489</v>
      </c>
      <c r="AR35" s="154">
        <f t="shared" si="19"/>
        <v>2.716729629005135</v>
      </c>
      <c r="AS35" s="154"/>
      <c r="AT35" s="153">
        <f t="shared" si="6"/>
        <v>2619.7946785470294</v>
      </c>
      <c r="AV35" s="153">
        <f t="shared" si="7"/>
        <v>18697.561077843078</v>
      </c>
      <c r="AW35" s="273"/>
      <c r="AX35" s="155">
        <f t="shared" si="8"/>
        <v>21317.355756390109</v>
      </c>
      <c r="AZ35" s="146">
        <f>+IF(AZ34&gt;$G$13+$G$14,XX,AZ34+1)</f>
        <v>2016</v>
      </c>
      <c r="BA35" s="117"/>
      <c r="BB35" s="154">
        <f t="shared" si="17"/>
        <v>44.623337474925826</v>
      </c>
      <c r="BD35" s="154">
        <f t="shared" si="18"/>
        <v>6.7846748518127118</v>
      </c>
      <c r="BF35" s="153">
        <f t="shared" si="9"/>
        <v>3843.1831596024731</v>
      </c>
      <c r="BH35" s="157"/>
    </row>
    <row r="36" spans="2:60" ht="12">
      <c r="B36" s="2"/>
      <c r="C36">
        <f>+IF(C35&gt;$G$13+$G$14,XX,C35+1)</f>
        <v>2017</v>
      </c>
      <c r="E36" s="169">
        <f>'(2.2)_Forward_Price_Curve'!V31</f>
        <v>1.7999999999999999E-2</v>
      </c>
      <c r="G36" s="18">
        <v>309371</v>
      </c>
      <c r="I36" s="28">
        <f t="shared" si="10"/>
        <v>219.01491927521917</v>
      </c>
      <c r="K36" s="28">
        <f t="shared" si="11"/>
        <v>8.7553134974724838</v>
      </c>
      <c r="M36" s="28">
        <f t="shared" si="12"/>
        <v>0</v>
      </c>
      <c r="O36" s="270">
        <v>6.0059005937444203</v>
      </c>
      <c r="Q36" s="28">
        <f>-'(2.2)_Forward_Price_Curve'!AO28</f>
        <v>-38.679108446550309</v>
      </c>
      <c r="S36" s="18">
        <f t="shared" si="20"/>
        <v>14282.974113642846</v>
      </c>
      <c r="U36" s="18">
        <f t="shared" si="21"/>
        <v>22732.510183388105</v>
      </c>
      <c r="W36" s="18">
        <f t="shared" si="22"/>
        <v>-8449.5360697452597</v>
      </c>
      <c r="Y36" s="271">
        <f t="shared" si="23"/>
        <v>-27.311984865243542</v>
      </c>
      <c r="Z36" s="235"/>
      <c r="AB36" s="146">
        <f>+IF(AB35&gt;$G$13+$G$14,XX,AB35+1)</f>
        <v>2017</v>
      </c>
      <c r="AC36" s="117"/>
      <c r="AD36" s="151">
        <f t="shared" si="4"/>
        <v>309371</v>
      </c>
      <c r="AF36" s="154">
        <f t="shared" si="13"/>
        <v>67.416113531682555</v>
      </c>
      <c r="AH36" s="154">
        <f t="shared" si="14"/>
        <v>9.5045854758020791</v>
      </c>
      <c r="AJ36" s="154">
        <f t="shared" si="15"/>
        <v>2.6717916629577876</v>
      </c>
      <c r="AL36" s="153">
        <f t="shared" si="16"/>
        <v>6577.0468505826011</v>
      </c>
      <c r="AN36" s="154">
        <f>INDEX('(2.2)_Forward_Price_Curve'!$I:$I,MATCH($AB36,'(2.2)_Forward_Price_Curve'!$C:$C,0),1)</f>
        <v>8.5467545643478058</v>
      </c>
      <c r="AP36" s="154">
        <f t="shared" si="5"/>
        <v>62.100900972324112</v>
      </c>
      <c r="AR36" s="154">
        <f t="shared" si="19"/>
        <v>2.7656307623272274</v>
      </c>
      <c r="AS36" s="154"/>
      <c r="AT36" s="153">
        <f t="shared" si="6"/>
        <v>2664.6863941072829</v>
      </c>
      <c r="AV36" s="153">
        <f t="shared" si="7"/>
        <v>20067.823789280821</v>
      </c>
      <c r="AW36" s="273"/>
      <c r="AX36" s="155">
        <f t="shared" si="8"/>
        <v>22732.510183388105</v>
      </c>
      <c r="AZ36" s="146">
        <f>+IF(AZ35&gt;$G$13+$G$14,XX,AZ35+1)</f>
        <v>2017</v>
      </c>
      <c r="BA36" s="117"/>
      <c r="BB36" s="154">
        <f t="shared" si="17"/>
        <v>45.426557549474495</v>
      </c>
      <c r="BD36" s="154">
        <f t="shared" si="18"/>
        <v>6.9067989991453409</v>
      </c>
      <c r="BF36" s="153">
        <f t="shared" si="9"/>
        <v>3912.3604564753182</v>
      </c>
      <c r="BH36" s="157"/>
    </row>
    <row r="37" spans="2:60" ht="12">
      <c r="B37" s="2"/>
      <c r="C37">
        <f>+IF(C36&gt;$G$13+$G$14,XX,C36+1)</f>
        <v>2018</v>
      </c>
      <c r="E37" s="169">
        <f>'(2.2)_Forward_Price_Curve'!V32</f>
        <v>1.7999999999999999E-2</v>
      </c>
      <c r="G37" s="18">
        <v>309371</v>
      </c>
      <c r="I37" s="28">
        <f t="shared" si="10"/>
        <v>222.95718782217313</v>
      </c>
      <c r="K37" s="28">
        <f t="shared" si="11"/>
        <v>8.9129091404269882</v>
      </c>
      <c r="M37" s="28">
        <f t="shared" si="12"/>
        <v>0</v>
      </c>
      <c r="O37" s="270">
        <v>6.1140068044318197</v>
      </c>
      <c r="Q37" s="28">
        <f>-'(2.2)_Forward_Price_Curve'!AO29</f>
        <v>-38.679108446550309</v>
      </c>
      <c r="S37" s="18">
        <f t="shared" si="20"/>
        <v>14755.459147954338</v>
      </c>
      <c r="U37" s="18">
        <f t="shared" si="21"/>
        <v>24055.583650667853</v>
      </c>
      <c r="W37" s="18">
        <f t="shared" si="22"/>
        <v>-9300.1245027135155</v>
      </c>
      <c r="Y37" s="271">
        <f t="shared" si="23"/>
        <v>-30.061397166229273</v>
      </c>
      <c r="Z37" s="235"/>
      <c r="AB37" s="146">
        <f>+IF(AB36&gt;$G$13+$G$14,XX,AB36+1)</f>
        <v>2018</v>
      </c>
      <c r="AC37" s="117"/>
      <c r="AD37" s="151">
        <f t="shared" si="4"/>
        <v>309371</v>
      </c>
      <c r="AF37" s="154">
        <f t="shared" si="13"/>
        <v>68.629603575252844</v>
      </c>
      <c r="AH37" s="154">
        <f t="shared" si="14"/>
        <v>9.6756680143665168</v>
      </c>
      <c r="AJ37" s="154">
        <f t="shared" si="15"/>
        <v>2.7198839128910279</v>
      </c>
      <c r="AL37" s="153">
        <f t="shared" si="16"/>
        <v>6695.4336938930892</v>
      </c>
      <c r="AN37" s="154">
        <f>INDEX('(2.2)_Forward_Price_Curve'!$I:$I,MATCH($AB37,'(2.2)_Forward_Price_Curve'!$C:$C,0),1)</f>
        <v>9.1071488375904099</v>
      </c>
      <c r="AP37" s="154">
        <f t="shared" si="5"/>
        <v>66.172737715275218</v>
      </c>
      <c r="AR37" s="154">
        <f t="shared" si="19"/>
        <v>2.8154121160491177</v>
      </c>
      <c r="AS37" s="154"/>
      <c r="AT37" s="153">
        <f t="shared" si="6"/>
        <v>2712.6507492012151</v>
      </c>
      <c r="AV37" s="153">
        <f t="shared" si="7"/>
        <v>21342.93290146664</v>
      </c>
      <c r="AW37" s="273"/>
      <c r="AX37" s="155">
        <f t="shared" si="8"/>
        <v>24055.583650667853</v>
      </c>
      <c r="AZ37" s="146">
        <f>+IF(AZ36&gt;$G$13+$G$14,XX,AZ36+1)</f>
        <v>2018</v>
      </c>
      <c r="BA37" s="117"/>
      <c r="BB37" s="154">
        <f t="shared" si="17"/>
        <v>46.24423558536504</v>
      </c>
      <c r="BD37" s="154">
        <f t="shared" si="18"/>
        <v>7.0311213811299575</v>
      </c>
      <c r="BF37" s="153">
        <f t="shared" si="9"/>
        <v>3982.782944691874</v>
      </c>
      <c r="BH37" s="157"/>
    </row>
    <row r="38" spans="2:60" ht="12">
      <c r="B38" s="2"/>
      <c r="C38" s="353">
        <f>+IF(C37&gt;$G$13+$G$14,XX,C37+1)</f>
        <v>2019</v>
      </c>
      <c r="E38" s="355">
        <v>1.7999999999999999E-2</v>
      </c>
      <c r="G38" s="357">
        <v>307012</v>
      </c>
      <c r="I38" s="538">
        <v>233.64815473251235</v>
      </c>
      <c r="K38" s="464">
        <v>10.777120355497136</v>
      </c>
      <c r="M38" s="28">
        <f t="shared" ref="M38:M68" si="24">M37*(1+$E38)</f>
        <v>0</v>
      </c>
      <c r="O38" s="464">
        <v>6.2240589269115922</v>
      </c>
      <c r="Q38" s="464">
        <v>-23.214576927028542</v>
      </c>
      <c r="S38" s="18">
        <f t="shared" si="20"/>
        <v>21223.579680848707</v>
      </c>
      <c r="U38" s="18">
        <f t="shared" si="21"/>
        <v>27841.613602366018</v>
      </c>
      <c r="W38" s="18">
        <f t="shared" si="22"/>
        <v>-6618.0339215173117</v>
      </c>
      <c r="Y38" s="271">
        <f t="shared" si="23"/>
        <v>-21.556271160467055</v>
      </c>
      <c r="Z38" s="235"/>
      <c r="AB38" s="377">
        <f>+IF(AB37&gt;$G$13+$G$14,XX,AB37+1)</f>
        <v>2019</v>
      </c>
      <c r="AC38" s="117"/>
      <c r="AD38" s="151">
        <f t="shared" si="4"/>
        <v>307012</v>
      </c>
      <c r="AF38" s="399">
        <f>AR15*AR16</f>
        <v>98.875745606933918</v>
      </c>
      <c r="AH38" s="399">
        <f>AV11</f>
        <v>19.805241420865066</v>
      </c>
      <c r="AJ38" s="399">
        <f>AV13</f>
        <v>2.02116486562735</v>
      </c>
      <c r="AL38" s="153">
        <f t="shared" si="16"/>
        <v>9492.9281341126243</v>
      </c>
      <c r="AN38" s="399">
        <f>INDEX('(2.2)_Forward_Price_Curve'!$I:$I,MATCH($AB38,'(2.2)_Forward_Price_Curve'!$C:$C,0),1)</f>
        <v>9.7289597532905745</v>
      </c>
      <c r="AP38" s="154">
        <f t="shared" si="5"/>
        <v>70.69082909237946</v>
      </c>
      <c r="AR38" s="399">
        <f>AV15</f>
        <v>2.2807762714164963</v>
      </c>
      <c r="AS38" s="154"/>
      <c r="AT38" s="153">
        <f t="shared" si="6"/>
        <v>5438.4550964162963</v>
      </c>
      <c r="AV38" s="153">
        <f t="shared" si="7"/>
        <v>22403.158505949723</v>
      </c>
      <c r="AW38" s="273"/>
      <c r="AX38" s="155">
        <f t="shared" si="8"/>
        <v>27841.613602366018</v>
      </c>
      <c r="AZ38" s="383">
        <f>+IF(AZ37&gt;$G$13+$G$14,XX,AZ37+1)</f>
        <v>2019</v>
      </c>
      <c r="BA38" s="117"/>
      <c r="BB38" s="399">
        <f t="shared" si="17"/>
        <v>47.076631825901615</v>
      </c>
      <c r="BD38" s="399">
        <f t="shared" si="18"/>
        <v>7.1576815659902966</v>
      </c>
      <c r="BF38" s="153">
        <f t="shared" si="9"/>
        <v>4054.473037696328</v>
      </c>
      <c r="BH38" s="157"/>
    </row>
    <row r="39" spans="2:60" ht="12">
      <c r="B39" s="2"/>
      <c r="C39" s="354">
        <f>+IF(C38&gt;$I$13+$I$14,XX,C38+1)</f>
        <v>2020</v>
      </c>
      <c r="E39" s="356">
        <f>'(2.2)_Forward_Price_Curve'!S33</f>
        <v>2.3E-2</v>
      </c>
      <c r="G39" s="470">
        <v>368255.90588235296</v>
      </c>
      <c r="I39" s="360">
        <v>306.3420991805142</v>
      </c>
      <c r="K39" s="471">
        <v>24.245242249872422</v>
      </c>
      <c r="M39" s="28">
        <f t="shared" si="24"/>
        <v>0</v>
      </c>
      <c r="O39" s="471">
        <v>0.63</v>
      </c>
      <c r="Q39" s="471">
        <v>-33.150783021494966</v>
      </c>
      <c r="S39" s="18">
        <f t="shared" si="20"/>
        <v>27280.3510553507</v>
      </c>
      <c r="U39" s="18">
        <f t="shared" si="21"/>
        <v>13759.008610777077</v>
      </c>
      <c r="W39" s="18">
        <f t="shared" si="22"/>
        <v>13521.342444573624</v>
      </c>
      <c r="Y39" s="271">
        <f t="shared" si="23"/>
        <v>36.717245341051772</v>
      </c>
      <c r="Z39" s="235"/>
      <c r="AB39" s="378">
        <f>+IF(AB38&gt;$I$13+$I$14,XX,AB38+1)</f>
        <v>2020</v>
      </c>
      <c r="AC39" s="117"/>
      <c r="AD39" s="151">
        <f t="shared" si="4"/>
        <v>368255.90588235296</v>
      </c>
      <c r="AF39" s="154">
        <f t="shared" ref="AF39:AF68" si="25">AF38*(1+$E39)</f>
        <v>101.14988775589339</v>
      </c>
      <c r="AH39" s="154">
        <f t="shared" ref="AH39:AH68" si="26">AH38*(1+$E39)</f>
        <v>20.260761973544962</v>
      </c>
      <c r="AJ39" s="154">
        <f t="shared" ref="AJ39:AJ68" si="27">AJ38*(1+$E39)</f>
        <v>2.0676516575367789</v>
      </c>
      <c r="AL39" s="153">
        <f t="shared" si="16"/>
        <v>9837.8965447088867</v>
      </c>
      <c r="AN39" s="154">
        <f>INDEX('(2.2)_Forward_Price_Curve'!$K:$K,MATCH($AB39,'(2.2)_Forward_Price_Curve'!$C:$C,0),1)</f>
        <v>2.6944208333333339</v>
      </c>
      <c r="AP39" s="154">
        <f t="shared" si="5"/>
        <v>19.577719248729689</v>
      </c>
      <c r="AR39" s="154">
        <f>AR38*(1+$E39)</f>
        <v>2.3332341256590756</v>
      </c>
      <c r="AS39" s="154"/>
      <c r="AT39" s="153">
        <f t="shared" si="6"/>
        <v>5690.1706271455432</v>
      </c>
      <c r="AV39" s="153">
        <f t="shared" si="7"/>
        <v>8068.8379836315326</v>
      </c>
      <c r="AW39" s="273"/>
      <c r="AX39" s="155">
        <f t="shared" si="8"/>
        <v>13759.008610777077</v>
      </c>
      <c r="AZ39" s="384">
        <f>+IF(AZ38&gt;$I$13+$I$14,XX,AZ38+1)</f>
        <v>2020</v>
      </c>
      <c r="BA39" s="117"/>
      <c r="BB39" s="154">
        <f t="shared" si="17"/>
        <v>48.159394357897348</v>
      </c>
      <c r="BD39" s="154">
        <f t="shared" si="18"/>
        <v>7.3223082420080727</v>
      </c>
      <c r="BF39" s="153">
        <f t="shared" si="9"/>
        <v>4147.7259175633435</v>
      </c>
      <c r="BH39" s="157"/>
    </row>
    <row r="40" spans="2:60" ht="12">
      <c r="B40" s="2"/>
      <c r="C40" s="354">
        <f>+IF(C39&gt;$I$13+$I$14,XX,C39+1)</f>
        <v>2021</v>
      </c>
      <c r="E40" s="356">
        <f>'(2.2)_Forward_Price_Curve'!S34</f>
        <v>2.5999999999999999E-2</v>
      </c>
      <c r="G40" s="470">
        <v>368256.9058823529</v>
      </c>
      <c r="I40" s="360">
        <v>313.76794066935872</v>
      </c>
      <c r="K40" s="471">
        <v>24.759294380634746</v>
      </c>
      <c r="M40" s="28">
        <f t="shared" si="24"/>
        <v>0</v>
      </c>
      <c r="O40" s="471">
        <v>0.6399999999999999</v>
      </c>
      <c r="Q40" s="471">
        <v>-34.476814342354757</v>
      </c>
      <c r="S40" s="18">
        <f t="shared" si="20"/>
        <v>27720.166712078211</v>
      </c>
      <c r="U40" s="18">
        <f t="shared" si="21"/>
        <v>14417.220048447762</v>
      </c>
      <c r="W40" s="18">
        <f t="shared" si="22"/>
        <v>13302.94666363045</v>
      </c>
      <c r="Y40" s="271">
        <f t="shared" si="23"/>
        <v>36.124092857827748</v>
      </c>
      <c r="Z40" s="235"/>
      <c r="AB40" s="378">
        <f>+IF(AB39&gt;$I$13+$I$14,XX,AB39+1)</f>
        <v>2021</v>
      </c>
      <c r="AC40" s="117"/>
      <c r="AD40" s="151">
        <f t="shared" si="4"/>
        <v>368256.9058823529</v>
      </c>
      <c r="AF40" s="154">
        <f t="shared" si="25"/>
        <v>103.77978483754661</v>
      </c>
      <c r="AH40" s="154">
        <f t="shared" si="26"/>
        <v>20.787541784857133</v>
      </c>
      <c r="AJ40" s="154">
        <f t="shared" si="27"/>
        <v>2.1214106006327351</v>
      </c>
      <c r="AL40" s="153">
        <f t="shared" si="16"/>
        <v>10093.683976281918</v>
      </c>
      <c r="AN40" s="154">
        <f>INDEX('(2.2)_Forward_Price_Curve'!$K:$K,MATCH($AB40,'(2.2)_Forward_Price_Curve'!$C:$C,0),1)</f>
        <v>2.8767624999999999</v>
      </c>
      <c r="AP40" s="154">
        <f t="shared" si="5"/>
        <v>20.902617688194734</v>
      </c>
      <c r="AR40" s="154">
        <f t="shared" si="19"/>
        <v>2.3938982129262119</v>
      </c>
      <c r="AS40" s="154"/>
      <c r="AT40" s="153">
        <f t="shared" si="6"/>
        <v>5838.1171848619269</v>
      </c>
      <c r="AV40" s="153">
        <f t="shared" si="7"/>
        <v>8579.1028635858347</v>
      </c>
      <c r="AW40" s="273"/>
      <c r="AX40" s="155">
        <f t="shared" si="8"/>
        <v>14417.220048447762</v>
      </c>
      <c r="AZ40" s="384">
        <f>+IF(AZ39&gt;$I$13+$I$14,XX,AZ39+1)</f>
        <v>2021</v>
      </c>
      <c r="BA40" s="117"/>
      <c r="BB40" s="154">
        <f t="shared" si="17"/>
        <v>49.41153861120268</v>
      </c>
      <c r="BD40" s="154">
        <f t="shared" si="18"/>
        <v>7.512688256300283</v>
      </c>
      <c r="BF40" s="153">
        <f t="shared" si="9"/>
        <v>4255.5667914199912</v>
      </c>
      <c r="BH40" s="157"/>
    </row>
    <row r="41" spans="2:60" ht="12">
      <c r="B41" s="2"/>
      <c r="C41" s="354">
        <f>+IF(C40&gt;$I$13+$I$14,XX,C40+1)</f>
        <v>2022</v>
      </c>
      <c r="E41" s="356">
        <f>'(2.2)_Forward_Price_Curve'!S35</f>
        <v>2.4E-2</v>
      </c>
      <c r="G41" s="470">
        <v>368256.9058823529</v>
      </c>
      <c r="I41" s="360">
        <v>321.21291068984897</v>
      </c>
      <c r="K41" s="471">
        <v>25.328758151389337</v>
      </c>
      <c r="M41" s="28">
        <f t="shared" si="24"/>
        <v>0</v>
      </c>
      <c r="O41" s="471">
        <v>0.66</v>
      </c>
      <c r="Q41" s="471">
        <v>-34.476814342354757</v>
      </c>
      <c r="S41" s="18">
        <f t="shared" si="20"/>
        <v>28674.292848454574</v>
      </c>
      <c r="U41" s="18">
        <f t="shared" si="21"/>
        <v>14934.614225218631</v>
      </c>
      <c r="W41" s="18">
        <f t="shared" si="22"/>
        <v>13739.678623235943</v>
      </c>
      <c r="Y41" s="271">
        <f t="shared" si="23"/>
        <v>37.310036563510799</v>
      </c>
      <c r="Z41" s="235"/>
      <c r="AB41" s="378">
        <f>+IF(AB40&gt;$I$13+$I$14,XX,AB40+1)</f>
        <v>2022</v>
      </c>
      <c r="AC41" s="117"/>
      <c r="AD41" s="151">
        <f t="shared" si="4"/>
        <v>368256.9058823529</v>
      </c>
      <c r="AF41" s="154">
        <f t="shared" si="25"/>
        <v>106.27049967364773</v>
      </c>
      <c r="AH41" s="154">
        <f t="shared" si="26"/>
        <v>21.286442787693705</v>
      </c>
      <c r="AJ41" s="154">
        <f t="shared" si="27"/>
        <v>2.1723244550479208</v>
      </c>
      <c r="AL41" s="153">
        <f t="shared" si="16"/>
        <v>10335.932391712684</v>
      </c>
      <c r="AN41" s="154">
        <f>INDEX('(2.2)_Forward_Price_Curve'!$K:$K,MATCH($AB41,'(2.2)_Forward_Price_Curve'!$C:$C,0),1)</f>
        <v>3.0098541666666665</v>
      </c>
      <c r="AP41" s="154">
        <f t="shared" si="5"/>
        <v>21.869664577125601</v>
      </c>
      <c r="AR41" s="154">
        <f t="shared" si="19"/>
        <v>2.4513517700364411</v>
      </c>
      <c r="AS41" s="154"/>
      <c r="AT41" s="153">
        <f t="shared" si="6"/>
        <v>5978.2319972986134</v>
      </c>
      <c r="AV41" s="153">
        <f t="shared" si="7"/>
        <v>8956.3822279200176</v>
      </c>
      <c r="AW41" s="273"/>
      <c r="AX41" s="155">
        <f t="shared" si="8"/>
        <v>14934.614225218631</v>
      </c>
      <c r="AZ41" s="384">
        <f>+IF(AZ40&gt;$I$13+$I$14,XX,AZ40+1)</f>
        <v>2022</v>
      </c>
      <c r="BA41" s="117"/>
      <c r="BB41" s="154">
        <f t="shared" si="17"/>
        <v>50.597415537871548</v>
      </c>
      <c r="BD41" s="154">
        <f t="shared" si="18"/>
        <v>7.6929927744514899</v>
      </c>
      <c r="BF41" s="153">
        <f t="shared" si="9"/>
        <v>4357.7003944140706</v>
      </c>
      <c r="BH41" s="157"/>
    </row>
    <row r="42" spans="2:60" ht="12">
      <c r="B42" s="2"/>
      <c r="C42" s="354">
        <f>+IF(C41&gt;$I$13+$I$14,XX,C41+1)</f>
        <v>2023</v>
      </c>
      <c r="E42" s="356">
        <f>'(2.2)_Forward_Price_Curve'!S36</f>
        <v>2.3E-2</v>
      </c>
      <c r="G42" s="470">
        <v>368256.9058823529</v>
      </c>
      <c r="I42" s="360">
        <v>328.7923179455297</v>
      </c>
      <c r="K42" s="471">
        <v>25.911319588871287</v>
      </c>
      <c r="M42" s="28">
        <f t="shared" si="24"/>
        <v>0</v>
      </c>
      <c r="O42" s="471">
        <v>0.67</v>
      </c>
      <c r="Q42" s="471">
        <v>-35.802845663214569</v>
      </c>
      <c r="S42" s="18">
        <f t="shared" si="20"/>
        <v>29154.548816956343</v>
      </c>
      <c r="U42" s="18">
        <f t="shared" si="21"/>
        <v>16343.115181844823</v>
      </c>
      <c r="W42" s="18">
        <f t="shared" si="22"/>
        <v>12811.43363511152</v>
      </c>
      <c r="Y42" s="271">
        <f t="shared" si="23"/>
        <v>34.789391401676497</v>
      </c>
      <c r="Z42" s="235"/>
      <c r="AB42" s="378">
        <f>+IF(AB41&gt;$I$13+$I$14,XX,AB41+1)</f>
        <v>2023</v>
      </c>
      <c r="AC42" s="117"/>
      <c r="AD42" s="151">
        <f t="shared" si="4"/>
        <v>368256.9058823529</v>
      </c>
      <c r="AF42" s="154">
        <f t="shared" si="25"/>
        <v>108.71472116614163</v>
      </c>
      <c r="AH42" s="154">
        <f t="shared" si="26"/>
        <v>21.776030971810659</v>
      </c>
      <c r="AJ42" s="154">
        <f t="shared" si="27"/>
        <v>2.2222879175140227</v>
      </c>
      <c r="AL42" s="153">
        <f t="shared" si="16"/>
        <v>10573.658836722076</v>
      </c>
      <c r="AN42" s="154">
        <f>INDEX('(2.2)_Forward_Price_Curve'!$K:$K,MATCH($AB42,'(2.2)_Forward_Price_Curve'!$C:$C,0),1)</f>
        <v>3.4771000000000001</v>
      </c>
      <c r="AP42" s="154">
        <f t="shared" si="5"/>
        <v>25.264682768779807</v>
      </c>
      <c r="AR42" s="154">
        <f t="shared" ref="AR42:AR68" si="28">AR41*(1+$E42)</f>
        <v>2.5077328607472791</v>
      </c>
      <c r="AS42" s="154"/>
      <c r="AT42" s="153">
        <f t="shared" si="6"/>
        <v>6115.7313332364811</v>
      </c>
      <c r="AV42" s="153">
        <f t="shared" si="7"/>
        <v>10227.383848608342</v>
      </c>
      <c r="AW42" s="273"/>
      <c r="AX42" s="155">
        <f t="shared" si="8"/>
        <v>16343.115181844823</v>
      </c>
      <c r="AZ42" s="384">
        <f>+IF(AZ41&gt;$I$13+$I$14,XX,AZ41+1)</f>
        <v>2023</v>
      </c>
      <c r="BA42" s="117"/>
      <c r="BB42" s="154">
        <f t="shared" si="17"/>
        <v>51.76115609524259</v>
      </c>
      <c r="BD42" s="154">
        <f t="shared" si="18"/>
        <v>7.8699316082638733</v>
      </c>
      <c r="BF42" s="153">
        <f t="shared" si="9"/>
        <v>4457.9275034855946</v>
      </c>
      <c r="BH42" s="157"/>
    </row>
    <row r="43" spans="2:60" ht="12">
      <c r="B43" s="2"/>
      <c r="C43" s="354">
        <f>+IF(C42&gt;$I$13+$I$14,XX,C42+1)</f>
        <v>2024</v>
      </c>
      <c r="E43" s="356">
        <f>'(2.2)_Forward_Price_Curve'!S37</f>
        <v>2.3E-2</v>
      </c>
      <c r="G43" s="470">
        <v>368255.90588235296</v>
      </c>
      <c r="I43" s="360">
        <v>336.39078823153659</v>
      </c>
      <c r="K43" s="471">
        <v>26.57990262418086</v>
      </c>
      <c r="M43" s="28">
        <f t="shared" si="24"/>
        <v>0</v>
      </c>
      <c r="O43" s="471">
        <v>0.69</v>
      </c>
      <c r="Q43" s="471">
        <v>-35.802845663214569</v>
      </c>
      <c r="S43" s="18">
        <f t="shared" si="20"/>
        <v>30160.381366240246</v>
      </c>
      <c r="U43" s="18">
        <f t="shared" si="21"/>
        <v>17780.475107718645</v>
      </c>
      <c r="W43" s="18">
        <f t="shared" si="22"/>
        <v>12379.906258521602</v>
      </c>
      <c r="Y43" s="271">
        <f t="shared" si="23"/>
        <v>33.617672006804476</v>
      </c>
      <c r="Z43" s="235"/>
      <c r="AB43" s="378">
        <f>+IF(AB42&gt;$I$13+$I$14,XX,AB42+1)</f>
        <v>2024</v>
      </c>
      <c r="AC43" s="117"/>
      <c r="AD43" s="151">
        <f t="shared" si="4"/>
        <v>368255.90588235296</v>
      </c>
      <c r="AF43" s="154">
        <f t="shared" si="25"/>
        <v>111.21515975296288</v>
      </c>
      <c r="AH43" s="154">
        <f t="shared" si="26"/>
        <v>22.276879684162303</v>
      </c>
      <c r="AJ43" s="154">
        <f t="shared" si="27"/>
        <v>2.2734005396168451</v>
      </c>
      <c r="AL43" s="153">
        <f t="shared" si="16"/>
        <v>10816.850716566143</v>
      </c>
      <c r="AN43" s="154">
        <f>INDEX('(2.2)_Forward_Price_Curve'!$K:$K,MATCH($AB43,'(2.2)_Forward_Price_Curve'!$C:$C,0),1)</f>
        <v>3.9537833333333325</v>
      </c>
      <c r="AP43" s="154">
        <f t="shared" si="5"/>
        <v>28.728274036741947</v>
      </c>
      <c r="AR43" s="154">
        <f t="shared" si="28"/>
        <v>2.5654107165444664</v>
      </c>
      <c r="AS43" s="154"/>
      <c r="AT43" s="153">
        <f t="shared" si="6"/>
        <v>6256.3908805003812</v>
      </c>
      <c r="AV43" s="153">
        <f t="shared" si="7"/>
        <v>11524.084227218265</v>
      </c>
      <c r="AW43" s="273"/>
      <c r="AX43" s="155">
        <f t="shared" si="8"/>
        <v>17780.475107718645</v>
      </c>
      <c r="AZ43" s="384">
        <f>+IF(AZ42&gt;$I$13+$I$14,XX,AZ42+1)</f>
        <v>2024</v>
      </c>
      <c r="BA43" s="117"/>
      <c r="BB43" s="154">
        <f t="shared" si="17"/>
        <v>52.951662685433163</v>
      </c>
      <c r="BD43" s="154">
        <f t="shared" si="18"/>
        <v>8.0509400352539409</v>
      </c>
      <c r="BF43" s="153">
        <f t="shared" si="9"/>
        <v>4560.4598360657619</v>
      </c>
      <c r="BH43" s="157"/>
    </row>
    <row r="44" spans="2:60" ht="12">
      <c r="B44" s="2"/>
      <c r="C44" s="354">
        <f>+IF(C43&gt;$I$13+$I$14,XX,C43+1)</f>
        <v>2025</v>
      </c>
      <c r="E44" s="356">
        <f>'(2.2)_Forward_Price_Curve'!S38</f>
        <v>2.3E-2</v>
      </c>
      <c r="G44" s="470">
        <v>368256.9058823529</v>
      </c>
      <c r="I44" s="360">
        <v>343.83892681169613</v>
      </c>
      <c r="K44" s="471">
        <v>27.090440098082464</v>
      </c>
      <c r="M44" s="28">
        <f t="shared" si="24"/>
        <v>0</v>
      </c>
      <c r="O44" s="471">
        <v>0.69999999999999984</v>
      </c>
      <c r="Q44" s="471">
        <v>-37.12887698407436</v>
      </c>
      <c r="S44" s="18">
        <f t="shared" si="20"/>
        <v>30601.109880944907</v>
      </c>
      <c r="U44" s="18">
        <f t="shared" si="21"/>
        <v>18360.57668161406</v>
      </c>
      <c r="W44" s="18">
        <f t="shared" si="22"/>
        <v>12240.533199330846</v>
      </c>
      <c r="Y44" s="271">
        <f t="shared" si="23"/>
        <v>33.239113792047476</v>
      </c>
      <c r="Z44" s="235"/>
      <c r="AB44" s="378">
        <f>+IF(AB43&gt;$I$13+$I$14,XX,AB43+1)</f>
        <v>2025</v>
      </c>
      <c r="AC44" s="117"/>
      <c r="AD44" s="151">
        <f t="shared" si="4"/>
        <v>368256.9058823529</v>
      </c>
      <c r="AF44" s="154">
        <f t="shared" si="25"/>
        <v>113.77310842728102</v>
      </c>
      <c r="AH44" s="154">
        <f t="shared" si="26"/>
        <v>22.789247916898034</v>
      </c>
      <c r="AJ44" s="154">
        <f t="shared" si="27"/>
        <v>2.3256887520280323</v>
      </c>
      <c r="AL44" s="153">
        <f t="shared" si="16"/>
        <v>11065.640608735917</v>
      </c>
      <c r="AN44" s="154">
        <f>INDEX('(2.2)_Forward_Price_Curve'!$K:$K,MATCH($AB44,'(2.2)_Forward_Price_Curve'!$C:$C,0),1)</f>
        <v>4.1086708333333339</v>
      </c>
      <c r="AP44" s="154">
        <f t="shared" si="5"/>
        <v>29.853689915591971</v>
      </c>
      <c r="AR44" s="154">
        <f t="shared" si="28"/>
        <v>2.624415163024989</v>
      </c>
      <c r="AS44" s="154"/>
      <c r="AT44" s="153">
        <f t="shared" si="6"/>
        <v>6400.2901964406428</v>
      </c>
      <c r="AV44" s="153">
        <f t="shared" si="7"/>
        <v>11960.286485173416</v>
      </c>
      <c r="AW44" s="273"/>
      <c r="AX44" s="155">
        <f t="shared" si="8"/>
        <v>18360.57668161406</v>
      </c>
      <c r="AZ44" s="384">
        <f>+IF(AZ43&gt;$I$13+$I$14,XX,AZ43+1)</f>
        <v>2025</v>
      </c>
      <c r="BA44" s="117"/>
      <c r="BB44" s="154">
        <f t="shared" si="17"/>
        <v>54.169550927198124</v>
      </c>
      <c r="BD44" s="154">
        <f t="shared" si="18"/>
        <v>8.2361116560647805</v>
      </c>
      <c r="BF44" s="153">
        <f t="shared" si="9"/>
        <v>4665.3504122952745</v>
      </c>
      <c r="BH44" s="157"/>
    </row>
    <row r="45" spans="2:60" ht="12">
      <c r="B45" s="2"/>
      <c r="C45" s="354">
        <f>+IF(C44&gt;$I$13+$I$14,XX,C44+1)</f>
        <v>2026</v>
      </c>
      <c r="E45" s="356">
        <f>'(2.2)_Forward_Price_Curve'!S39</f>
        <v>2.3E-2</v>
      </c>
      <c r="G45" s="470">
        <v>368256.9058823529</v>
      </c>
      <c r="I45" s="360">
        <v>351.21141421750946</v>
      </c>
      <c r="K45" s="471">
        <v>27.686429780240282</v>
      </c>
      <c r="M45" s="28">
        <f t="shared" si="24"/>
        <v>0</v>
      </c>
      <c r="O45" s="471">
        <v>0.72</v>
      </c>
      <c r="Q45" s="471">
        <v>-38.454908304934172</v>
      </c>
      <c r="S45" s="18">
        <f t="shared" si="20"/>
        <v>31069.508397204394</v>
      </c>
      <c r="U45" s="18">
        <f t="shared" si="21"/>
        <v>18738.264281473435</v>
      </c>
      <c r="W45" s="18">
        <f t="shared" si="22"/>
        <v>12331.244115730959</v>
      </c>
      <c r="Y45" s="271">
        <f t="shared" si="23"/>
        <v>33.485438884533565</v>
      </c>
      <c r="Z45" s="235"/>
      <c r="AB45" s="378">
        <f>+IF(AB44&gt;$I$13+$I$14,XX,AB44+1)</f>
        <v>2026</v>
      </c>
      <c r="AC45" s="117"/>
      <c r="AD45" s="151">
        <f t="shared" si="4"/>
        <v>368256.9058823529</v>
      </c>
      <c r="AF45" s="154">
        <f t="shared" si="25"/>
        <v>116.38988992110846</v>
      </c>
      <c r="AH45" s="154">
        <f t="shared" si="26"/>
        <v>23.313400618986687</v>
      </c>
      <c r="AJ45" s="154">
        <f t="shared" si="27"/>
        <v>2.3791795933246767</v>
      </c>
      <c r="AL45" s="153">
        <f t="shared" si="16"/>
        <v>11320.150342736843</v>
      </c>
      <c r="AN45" s="154">
        <f>INDEX('(2.2)_Forward_Price_Curve'!$K:$K,MATCH($AB45,'(2.2)_Forward_Price_Curve'!$C:$C,0),1)</f>
        <v>4.1864999999999997</v>
      </c>
      <c r="AP45" s="154">
        <f t="shared" si="5"/>
        <v>30.419198300738156</v>
      </c>
      <c r="AR45" s="154">
        <f t="shared" si="28"/>
        <v>2.6847767117745636</v>
      </c>
      <c r="AS45" s="154"/>
      <c r="AT45" s="153">
        <f t="shared" si="6"/>
        <v>6547.4968709587774</v>
      </c>
      <c r="AV45" s="153">
        <f t="shared" si="7"/>
        <v>12190.767410514658</v>
      </c>
      <c r="AW45" s="273"/>
      <c r="AX45" s="155">
        <f t="shared" si="8"/>
        <v>18738.264281473435</v>
      </c>
      <c r="AZ45" s="384">
        <f>+IF(AZ44&gt;$I$13+$I$14,XX,AZ44+1)</f>
        <v>2026</v>
      </c>
      <c r="BA45" s="117"/>
      <c r="BB45" s="154">
        <f t="shared" si="17"/>
        <v>55.415450598523677</v>
      </c>
      <c r="BD45" s="154">
        <f t="shared" si="18"/>
        <v>8.4255422241542703</v>
      </c>
      <c r="BF45" s="153">
        <f t="shared" si="9"/>
        <v>4772.6534717780651</v>
      </c>
      <c r="BH45" s="157"/>
    </row>
    <row r="46" spans="2:60" ht="12">
      <c r="B46" s="2"/>
      <c r="C46" s="354">
        <f>+IF(C45&gt;$I$13+$I$14,XX,C45+1)</f>
        <v>2027</v>
      </c>
      <c r="E46" s="356">
        <f>'(2.2)_Forward_Price_Curve'!S40</f>
        <v>2.1999999999999999E-2</v>
      </c>
      <c r="G46" s="470">
        <v>368256.9058823529</v>
      </c>
      <c r="I46" s="360">
        <v>358.67838273096015</v>
      </c>
      <c r="K46" s="471">
        <v>28.295531235405562</v>
      </c>
      <c r="M46" s="28">
        <f t="shared" si="24"/>
        <v>0</v>
      </c>
      <c r="O46" s="471">
        <v>0.74</v>
      </c>
      <c r="Q46" s="471">
        <v>-38.454908304934172</v>
      </c>
      <c r="S46" s="18">
        <f t="shared" si="20"/>
        <v>32040.409235401257</v>
      </c>
      <c r="U46" s="18">
        <f t="shared" si="21"/>
        <v>19628.690280110251</v>
      </c>
      <c r="W46" s="18">
        <f t="shared" si="22"/>
        <v>12411.718955291006</v>
      </c>
      <c r="Y46" s="271">
        <f t="shared" si="23"/>
        <v>33.70396795561026</v>
      </c>
      <c r="Z46" s="235"/>
      <c r="AB46" s="378">
        <f>+IF(AB45&gt;$I$13+$I$14,XX,AB45+1)</f>
        <v>2027</v>
      </c>
      <c r="AC46" s="117"/>
      <c r="AD46" s="151">
        <f t="shared" si="4"/>
        <v>368256.9058823529</v>
      </c>
      <c r="AF46" s="154">
        <f t="shared" si="25"/>
        <v>118.95046749937285</v>
      </c>
      <c r="AH46" s="154">
        <f t="shared" si="26"/>
        <v>23.826295432604393</v>
      </c>
      <c r="AJ46" s="154">
        <f t="shared" si="27"/>
        <v>2.4315215443778198</v>
      </c>
      <c r="AL46" s="153">
        <f t="shared" si="16"/>
        <v>11569.193650277051</v>
      </c>
      <c r="AN46" s="154">
        <f>INDEX('(2.2)_Forward_Price_Curve'!$K:$K,MATCH($AB46,'(2.2)_Forward_Price_Curve'!$C:$C,0),1)</f>
        <v>4.4573125000000005</v>
      </c>
      <c r="AP46" s="154">
        <f t="shared" si="5"/>
        <v>32.386927702343002</v>
      </c>
      <c r="AR46" s="154">
        <f t="shared" si="28"/>
        <v>2.743841799433604</v>
      </c>
      <c r="AS46" s="154"/>
      <c r="AT46" s="153">
        <f t="shared" si="6"/>
        <v>6691.5418021198684</v>
      </c>
      <c r="AV46" s="153">
        <f t="shared" si="7"/>
        <v>12937.148477990382</v>
      </c>
      <c r="AW46" s="273"/>
      <c r="AX46" s="155">
        <f t="shared" si="8"/>
        <v>19628.690280110251</v>
      </c>
      <c r="AZ46" s="384">
        <f>+IF(AZ45&gt;$I$13+$I$14,XX,AZ45+1)</f>
        <v>2027</v>
      </c>
      <c r="BA46" s="117"/>
      <c r="BB46" s="154">
        <f t="shared" si="17"/>
        <v>56.634590511691201</v>
      </c>
      <c r="BD46" s="154">
        <f t="shared" si="18"/>
        <v>8.6109041530856647</v>
      </c>
      <c r="BF46" s="153">
        <f t="shared" si="9"/>
        <v>4877.6518481571829</v>
      </c>
      <c r="BH46" s="157"/>
    </row>
    <row r="47" spans="2:60" ht="12">
      <c r="B47" s="2"/>
      <c r="C47" s="354">
        <f>+IF(C46&gt;$I$13+$I$14,XX,C46+1)</f>
        <v>2028</v>
      </c>
      <c r="E47" s="356">
        <f>'(2.2)_Forward_Price_Curve'!S41</f>
        <v>2.1999999999999999E-2</v>
      </c>
      <c r="G47" s="470">
        <v>368255.90588235296</v>
      </c>
      <c r="I47" s="360">
        <v>366.33713602386064</v>
      </c>
      <c r="K47" s="471">
        <v>28.99726041004363</v>
      </c>
      <c r="M47" s="28">
        <f t="shared" si="24"/>
        <v>0</v>
      </c>
      <c r="O47" s="471">
        <v>0.75000000000000011</v>
      </c>
      <c r="Q47" s="471">
        <v>-39.78093962579397</v>
      </c>
      <c r="S47" s="18">
        <f t="shared" si="20"/>
        <v>32572.414837433131</v>
      </c>
      <c r="U47" s="18">
        <f t="shared" si="21"/>
        <v>20216.294425130996</v>
      </c>
      <c r="W47" s="18">
        <f t="shared" si="22"/>
        <v>12356.120412302134</v>
      </c>
      <c r="Y47" s="271">
        <f t="shared" si="23"/>
        <v>33.553081471148367</v>
      </c>
      <c r="Z47" s="235"/>
      <c r="AB47" s="378">
        <f>+IF(AB46&gt;$I$13+$I$14,XX,AB46+1)</f>
        <v>2028</v>
      </c>
      <c r="AC47" s="117"/>
      <c r="AD47" s="151">
        <f t="shared" si="4"/>
        <v>368255.90588235296</v>
      </c>
      <c r="AF47" s="154">
        <f t="shared" si="25"/>
        <v>121.56737778435905</v>
      </c>
      <c r="AH47" s="154">
        <f t="shared" si="26"/>
        <v>24.350473932121691</v>
      </c>
      <c r="AJ47" s="154">
        <f t="shared" si="27"/>
        <v>2.4850150183541317</v>
      </c>
      <c r="AL47" s="153">
        <f t="shared" si="16"/>
        <v>11823.71342556813</v>
      </c>
      <c r="AN47" s="154">
        <f>INDEX('(2.2)_Forward_Price_Curve'!$K:$K,MATCH($AB47,'(2.2)_Forward_Price_Curve'!$C:$C,0),1)</f>
        <v>4.6136041666666676</v>
      </c>
      <c r="AP47" s="154">
        <f t="shared" si="5"/>
        <v>33.522546286144795</v>
      </c>
      <c r="AR47" s="154">
        <f t="shared" si="28"/>
        <v>2.8042063190211435</v>
      </c>
      <c r="AS47" s="154"/>
      <c r="AT47" s="153">
        <f t="shared" si="6"/>
        <v>6838.7532367514887</v>
      </c>
      <c r="AV47" s="153">
        <f t="shared" si="7"/>
        <v>13377.541188379508</v>
      </c>
      <c r="AW47" s="273"/>
      <c r="AX47" s="155">
        <f t="shared" si="8"/>
        <v>20216.294425130996</v>
      </c>
      <c r="AZ47" s="384">
        <f>+IF(AZ46&gt;$I$13+$I$14,XX,AZ46+1)</f>
        <v>2028</v>
      </c>
      <c r="BA47" s="117"/>
      <c r="BB47" s="154">
        <f t="shared" si="17"/>
        <v>57.880551502948407</v>
      </c>
      <c r="BD47" s="154">
        <f t="shared" si="18"/>
        <v>8.8003440444535492</v>
      </c>
      <c r="BF47" s="153">
        <f t="shared" si="9"/>
        <v>4984.9601888166417</v>
      </c>
      <c r="BH47" s="157"/>
    </row>
    <row r="48" spans="2:60" ht="12">
      <c r="B48" s="2"/>
      <c r="C48" s="354">
        <f>+IF(C47&gt;$I$13+$I$14,XX,C47+1)</f>
        <v>2029</v>
      </c>
      <c r="E48" s="356">
        <f>'(2.2)_Forward_Price_Curve'!S42</f>
        <v>2.1999999999999999E-2</v>
      </c>
      <c r="G48" s="470">
        <v>368256.9058823529</v>
      </c>
      <c r="I48" s="360">
        <v>374.23305348540669</v>
      </c>
      <c r="K48" s="471">
        <v>29.52531161395876</v>
      </c>
      <c r="M48" s="28">
        <f t="shared" si="24"/>
        <v>0</v>
      </c>
      <c r="O48" s="471">
        <v>0.76999999999999991</v>
      </c>
      <c r="Q48" s="471">
        <v>-39.78093962579397</v>
      </c>
      <c r="S48" s="18">
        <f t="shared" si="20"/>
        <v>33555.924273065844</v>
      </c>
      <c r="U48" s="18">
        <f t="shared" si="21"/>
        <v>20765.616437399127</v>
      </c>
      <c r="W48" s="18">
        <f t="shared" si="22"/>
        <v>12790.307835666717</v>
      </c>
      <c r="Y48" s="271">
        <f t="shared" si="23"/>
        <v>34.732024386673253</v>
      </c>
      <c r="Z48" s="235"/>
      <c r="AB48" s="378">
        <f>+IF(AB47&gt;$I$13+$I$14,XX,AB47+1)</f>
        <v>2029</v>
      </c>
      <c r="AC48" s="117"/>
      <c r="AD48" s="151">
        <f t="shared" si="4"/>
        <v>368256.9058823529</v>
      </c>
      <c r="AF48" s="154">
        <f t="shared" si="25"/>
        <v>124.24186009561495</v>
      </c>
      <c r="AH48" s="154">
        <f t="shared" si="26"/>
        <v>24.88618435862837</v>
      </c>
      <c r="AJ48" s="154">
        <f t="shared" si="27"/>
        <v>2.5396853487579225</v>
      </c>
      <c r="AL48" s="153">
        <f t="shared" si="16"/>
        <v>12083.837660615975</v>
      </c>
      <c r="AN48" s="154">
        <f>INDEX('(2.2)_Forward_Price_Curve'!$K:$K,MATCH($AB48,'(2.2)_Forward_Price_Curve'!$C:$C,0),1)</f>
        <v>4.7541666666666673</v>
      </c>
      <c r="AP48" s="154">
        <f t="shared" si="5"/>
        <v>34.543876409433338</v>
      </c>
      <c r="AR48" s="154">
        <f t="shared" si="28"/>
        <v>2.8658988580396088</v>
      </c>
      <c r="AS48" s="154"/>
      <c r="AT48" s="153">
        <f t="shared" si="6"/>
        <v>6989.2083476453663</v>
      </c>
      <c r="AV48" s="153">
        <f t="shared" si="7"/>
        <v>13776.408089753759</v>
      </c>
      <c r="AW48" s="273"/>
      <c r="AX48" s="155">
        <f t="shared" si="8"/>
        <v>20765.616437399127</v>
      </c>
      <c r="AZ48" s="384">
        <f>+IF(AZ47&gt;$I$13+$I$14,XX,AZ47+1)</f>
        <v>2029</v>
      </c>
      <c r="BA48" s="117"/>
      <c r="BB48" s="154">
        <f t="shared" si="17"/>
        <v>59.153923636013275</v>
      </c>
      <c r="BD48" s="154">
        <f t="shared" si="18"/>
        <v>8.9939516134315269</v>
      </c>
      <c r="BF48" s="153">
        <f t="shared" si="9"/>
        <v>5094.6293129706082</v>
      </c>
      <c r="BH48" s="157"/>
    </row>
    <row r="49" spans="2:60" ht="12">
      <c r="B49" s="2"/>
      <c r="C49" s="354">
        <f>+IF(C48&gt;$I$13+$I$14,XX,C48+1)</f>
        <v>2030</v>
      </c>
      <c r="E49" s="356">
        <f>'(2.2)_Forward_Price_Curve'!S43</f>
        <v>2.1999999999999999E-2</v>
      </c>
      <c r="G49" s="470">
        <v>368256.9058823529</v>
      </c>
      <c r="I49" s="360">
        <v>382.38792823476797</v>
      </c>
      <c r="K49" s="471">
        <v>30.174868469465853</v>
      </c>
      <c r="M49" s="28">
        <f t="shared" si="24"/>
        <v>0</v>
      </c>
      <c r="O49" s="471">
        <v>0.78</v>
      </c>
      <c r="Q49" s="471">
        <v>0</v>
      </c>
      <c r="S49" s="18">
        <f t="shared" si="20"/>
        <v>49255.748979802731</v>
      </c>
      <c r="U49" s="18">
        <f t="shared" si="21"/>
        <v>21740.944734901146</v>
      </c>
      <c r="W49" s="18">
        <f t="shared" si="22"/>
        <v>27514.804244901585</v>
      </c>
      <c r="Y49" s="271">
        <f t="shared" si="23"/>
        <v>74.71632929455977</v>
      </c>
      <c r="Z49" s="235"/>
      <c r="AB49" s="378">
        <f>+IF(AB48&gt;$I$13+$I$14,XX,AB48+1)</f>
        <v>2030</v>
      </c>
      <c r="AC49" s="117"/>
      <c r="AD49" s="151">
        <f t="shared" si="4"/>
        <v>368256.9058823529</v>
      </c>
      <c r="AF49" s="154">
        <f t="shared" si="25"/>
        <v>126.97518101771848</v>
      </c>
      <c r="AH49" s="154">
        <f t="shared" si="26"/>
        <v>25.433680414518193</v>
      </c>
      <c r="AJ49" s="154">
        <f t="shared" si="27"/>
        <v>2.5955584264305966</v>
      </c>
      <c r="AL49" s="153">
        <f t="shared" si="16"/>
        <v>12349.682089149528</v>
      </c>
      <c r="AN49" s="154">
        <f>INDEX('(2.2)_Forward_Price_Curve'!$K:$K,MATCH($AB49,'(2.2)_Forward_Price_Curve'!$C:$C,0),1)</f>
        <v>5.052529166666667</v>
      </c>
      <c r="AP49" s="154">
        <f t="shared" si="5"/>
        <v>36.711784698697393</v>
      </c>
      <c r="AR49" s="154">
        <f t="shared" si="28"/>
        <v>2.9289486329164802</v>
      </c>
      <c r="AS49" s="154"/>
      <c r="AT49" s="153">
        <f t="shared" si="6"/>
        <v>7142.9709312935665</v>
      </c>
      <c r="AV49" s="153">
        <f t="shared" si="7"/>
        <v>14597.97380360758</v>
      </c>
      <c r="AW49" s="273"/>
      <c r="AX49" s="155">
        <f t="shared" si="8"/>
        <v>21740.944734901146</v>
      </c>
      <c r="AZ49" s="384">
        <f>+IF(AZ48&gt;$I$13+$I$14,XX,AZ48+1)</f>
        <v>2030</v>
      </c>
      <c r="BA49" s="117"/>
      <c r="BB49" s="154">
        <f t="shared" si="17"/>
        <v>60.455309956005571</v>
      </c>
      <c r="BD49" s="154">
        <f t="shared" si="18"/>
        <v>9.1918185489270208</v>
      </c>
      <c r="BF49" s="153">
        <f t="shared" si="9"/>
        <v>5206.7111578559616</v>
      </c>
      <c r="BH49" s="157"/>
    </row>
    <row r="50" spans="2:60" ht="12">
      <c r="B50" s="2"/>
      <c r="C50" s="354">
        <f>+IF(C49&gt;$I$13+$I$14,XX,C49+1)</f>
        <v>2031</v>
      </c>
      <c r="E50" s="356">
        <f>'(2.2)_Forward_Price_Curve'!S44</f>
        <v>2.1999999999999999E-2</v>
      </c>
      <c r="G50" s="470">
        <v>368256.9058823529</v>
      </c>
      <c r="I50" s="360">
        <v>390.62059853986057</v>
      </c>
      <c r="K50" s="471">
        <v>30.838715575794104</v>
      </c>
      <c r="M50" s="28">
        <f t="shared" si="24"/>
        <v>0</v>
      </c>
      <c r="O50" s="471">
        <v>0.8</v>
      </c>
      <c r="Q50" s="471">
        <v>0</v>
      </c>
      <c r="S50" s="18">
        <f t="shared" si="20"/>
        <v>50322.61475947994</v>
      </c>
      <c r="U50" s="18">
        <f t="shared" si="21"/>
        <v>22289.335401681088</v>
      </c>
      <c r="W50" s="18">
        <f t="shared" si="22"/>
        <v>28033.279357798852</v>
      </c>
      <c r="Y50" s="271">
        <f t="shared" si="23"/>
        <v>76.124246171651293</v>
      </c>
      <c r="Z50" s="235"/>
      <c r="AB50" s="378">
        <f>+IF(AB49&gt;$I$13+$I$14,XX,AB49+1)</f>
        <v>2031</v>
      </c>
      <c r="AC50" s="117"/>
      <c r="AD50" s="151">
        <f t="shared" si="4"/>
        <v>368256.9058823529</v>
      </c>
      <c r="AF50" s="154">
        <f t="shared" si="25"/>
        <v>129.7686350001083</v>
      </c>
      <c r="AH50" s="154">
        <f t="shared" si="26"/>
        <v>25.993221383637593</v>
      </c>
      <c r="AJ50" s="154">
        <f t="shared" si="27"/>
        <v>2.6526607118120697</v>
      </c>
      <c r="AL50" s="153">
        <f t="shared" si="16"/>
        <v>12621.37509511082</v>
      </c>
      <c r="AN50" s="154">
        <f>INDEX('(2.2)_Forward_Price_Curve'!$K:$K,MATCH($AB50,'(2.2)_Forward_Price_Curve'!$C:$C,0),1)</f>
        <v>5.1898791666666666</v>
      </c>
      <c r="AP50" s="154">
        <f t="shared" si="5"/>
        <v>37.709772728461253</v>
      </c>
      <c r="AR50" s="154">
        <f t="shared" si="28"/>
        <v>2.9933855028406429</v>
      </c>
      <c r="AS50" s="154"/>
      <c r="AT50" s="153">
        <f t="shared" si="6"/>
        <v>7300.1162917820266</v>
      </c>
      <c r="AV50" s="153">
        <f t="shared" si="7"/>
        <v>14989.219109899061</v>
      </c>
      <c r="AW50" s="273"/>
      <c r="AX50" s="155">
        <f t="shared" si="8"/>
        <v>22289.335401681088</v>
      </c>
      <c r="AZ50" s="384">
        <f>+IF(AZ49&gt;$I$13+$I$14,XX,AZ49+1)</f>
        <v>2031</v>
      </c>
      <c r="BA50" s="117"/>
      <c r="BB50" s="154">
        <f t="shared" si="17"/>
        <v>61.785326775037696</v>
      </c>
      <c r="BD50" s="154">
        <f t="shared" si="18"/>
        <v>9.3940385570034159</v>
      </c>
      <c r="BF50" s="153">
        <f t="shared" si="9"/>
        <v>5321.258803328793</v>
      </c>
      <c r="BH50" s="157"/>
    </row>
    <row r="51" spans="2:60" ht="12">
      <c r="B51" s="2"/>
      <c r="C51" s="354">
        <f>+IF(C50&gt;$I$13+$I$14,XX,C50+1)</f>
        <v>2032</v>
      </c>
      <c r="E51" s="356">
        <f>'(2.2)_Forward_Price_Curve'!S45</f>
        <v>2.1999999999999999E-2</v>
      </c>
      <c r="G51" s="470">
        <v>368255.90588235296</v>
      </c>
      <c r="I51" s="360">
        <v>398.87692747494418</v>
      </c>
      <c r="K51" s="471">
        <v>31.603515722073812</v>
      </c>
      <c r="M51" s="28">
        <f t="shared" si="24"/>
        <v>0</v>
      </c>
      <c r="O51" s="471">
        <v>0.82</v>
      </c>
      <c r="Q51" s="471">
        <v>0</v>
      </c>
      <c r="S51" s="18">
        <f t="shared" si="20"/>
        <v>51428.96697414248</v>
      </c>
      <c r="U51" s="18">
        <f t="shared" si="21"/>
        <v>22856.265997630548</v>
      </c>
      <c r="W51" s="18">
        <f t="shared" si="22"/>
        <v>28572.700976511933</v>
      </c>
      <c r="Y51" s="271">
        <f t="shared" si="23"/>
        <v>77.58925388596505</v>
      </c>
      <c r="Z51" s="235"/>
      <c r="AB51" s="378">
        <f>+IF(AB50&gt;$I$13+$I$14,XX,AB50+1)</f>
        <v>2032</v>
      </c>
      <c r="AC51" s="117"/>
      <c r="AD51" s="151">
        <f t="shared" si="4"/>
        <v>368255.90588235296</v>
      </c>
      <c r="AF51" s="154">
        <f t="shared" si="25"/>
        <v>132.62354497011069</v>
      </c>
      <c r="AH51" s="154">
        <f t="shared" si="26"/>
        <v>26.56507225407762</v>
      </c>
      <c r="AJ51" s="154">
        <f t="shared" si="27"/>
        <v>2.7110192474719352</v>
      </c>
      <c r="AL51" s="153">
        <f t="shared" si="16"/>
        <v>12899.042636184011</v>
      </c>
      <c r="AN51" s="154">
        <f>INDEX('(2.2)_Forward_Price_Curve'!$K:$K,MATCH($AB51,'(2.2)_Forward_Price_Curve'!$C:$C,0),1)</f>
        <v>5.3326874999999996</v>
      </c>
      <c r="AP51" s="154">
        <f t="shared" si="5"/>
        <v>38.747421124654863</v>
      </c>
      <c r="AR51" s="154">
        <f t="shared" si="28"/>
        <v>3.059239983903137</v>
      </c>
      <c r="AS51" s="154"/>
      <c r="AT51" s="153">
        <f t="shared" si="6"/>
        <v>7460.7161391819855</v>
      </c>
      <c r="AV51" s="153">
        <f t="shared" si="7"/>
        <v>15395.549858448561</v>
      </c>
      <c r="AW51" s="273"/>
      <c r="AX51" s="155">
        <f t="shared" si="8"/>
        <v>22856.265997630548</v>
      </c>
      <c r="AZ51" s="384">
        <f>+IF(AZ50&gt;$I$13+$I$14,XX,AZ50+1)</f>
        <v>2032</v>
      </c>
      <c r="BA51" s="117"/>
      <c r="BB51" s="154">
        <f t="shared" si="17"/>
        <v>63.144603964088525</v>
      </c>
      <c r="BD51" s="154">
        <f t="shared" si="18"/>
        <v>9.6007074052574914</v>
      </c>
      <c r="BF51" s="153">
        <f t="shared" si="9"/>
        <v>5438.3264970020255</v>
      </c>
      <c r="BH51" s="157"/>
    </row>
    <row r="52" spans="2:60" ht="12">
      <c r="B52" s="2"/>
      <c r="C52" s="354">
        <f>+IF(C51&gt;$I$13+$I$14,XX,C51+1)</f>
        <v>2033</v>
      </c>
      <c r="E52" s="356">
        <f>'(2.2)_Forward_Price_Curve'!S46</f>
        <v>2.1999999999999999E-2</v>
      </c>
      <c r="G52" s="470">
        <v>368256.9058823529</v>
      </c>
      <c r="I52" s="360">
        <v>407.21767892013338</v>
      </c>
      <c r="K52" s="471">
        <v>32.210544999467736</v>
      </c>
      <c r="M52" s="28">
        <f t="shared" si="24"/>
        <v>0</v>
      </c>
      <c r="O52" s="471">
        <v>0.84000000000000008</v>
      </c>
      <c r="Q52" s="471">
        <v>0</v>
      </c>
      <c r="S52" s="18">
        <f t="shared" si="20"/>
        <v>52485.641652322665</v>
      </c>
      <c r="U52" s="18">
        <f t="shared" si="21"/>
        <v>23537.98404705081</v>
      </c>
      <c r="W52" s="18">
        <f t="shared" si="22"/>
        <v>28947.657605271856</v>
      </c>
      <c r="Y52" s="271">
        <f t="shared" si="23"/>
        <v>78.607236260546244</v>
      </c>
      <c r="Z52" s="235"/>
      <c r="AB52" s="378">
        <f>+IF(AB51&gt;$I$13+$I$14,XX,AB51+1)</f>
        <v>2033</v>
      </c>
      <c r="AC52" s="117"/>
      <c r="AD52" s="151">
        <f t="shared" si="4"/>
        <v>368256.9058823529</v>
      </c>
      <c r="AF52" s="154">
        <f t="shared" si="25"/>
        <v>135.54126295945312</v>
      </c>
      <c r="AH52" s="154">
        <f t="shared" si="26"/>
        <v>27.149503843667329</v>
      </c>
      <c r="AJ52" s="154">
        <f t="shared" si="27"/>
        <v>2.7706616709163177</v>
      </c>
      <c r="AL52" s="153">
        <f t="shared" si="16"/>
        <v>13182.824344841729</v>
      </c>
      <c r="AN52" s="154">
        <f>INDEX('(2.2)_Forward_Price_Curve'!$K:$K,MATCH($AB52,'(2.2)_Forward_Price_Curve'!$C:$C,0),1)</f>
        <v>5.5168416666666671</v>
      </c>
      <c r="AP52" s="154">
        <f t="shared" si="5"/>
        <v>40.085489227781714</v>
      </c>
      <c r="AR52" s="154">
        <f t="shared" si="28"/>
        <v>3.126543263549006</v>
      </c>
      <c r="AS52" s="154"/>
      <c r="AT52" s="153">
        <f t="shared" si="6"/>
        <v>7624.8546649056589</v>
      </c>
      <c r="AV52" s="153">
        <f t="shared" si="7"/>
        <v>15913.129382145151</v>
      </c>
      <c r="AW52" s="273"/>
      <c r="AX52" s="155">
        <f t="shared" si="8"/>
        <v>23537.98404705081</v>
      </c>
      <c r="AZ52" s="384">
        <f>+IF(AZ51&gt;$I$13+$I$14,XX,AZ51+1)</f>
        <v>2033</v>
      </c>
      <c r="BA52" s="117"/>
      <c r="BB52" s="154">
        <f t="shared" si="17"/>
        <v>64.533785251298468</v>
      </c>
      <c r="BD52" s="154">
        <f t="shared" si="18"/>
        <v>9.8119229681731568</v>
      </c>
      <c r="BF52" s="153">
        <f t="shared" si="9"/>
        <v>5557.96967993607</v>
      </c>
      <c r="BH52" s="157"/>
    </row>
    <row r="53" spans="2:60" ht="12">
      <c r="B53" s="2"/>
      <c r="C53" s="354">
        <f>+IF(C52&gt;$I$13+$I$14,XX,C52+1)</f>
        <v>2034</v>
      </c>
      <c r="E53" s="356">
        <f>'(2.2)_Forward_Price_Curve'!S47</f>
        <v>2.1999999999999999E-2</v>
      </c>
      <c r="G53" s="470">
        <v>368256.9058823529</v>
      </c>
      <c r="I53" s="360">
        <v>106.37462484796858</v>
      </c>
      <c r="K53" s="471">
        <v>32.919176989456034</v>
      </c>
      <c r="M53" s="28">
        <f t="shared" si="24"/>
        <v>0</v>
      </c>
      <c r="O53" s="471">
        <v>0.85999999999999988</v>
      </c>
      <c r="Q53" s="471">
        <v>0</v>
      </c>
      <c r="S53" s="18">
        <f t="shared" si="20"/>
        <v>22970.503061338342</v>
      </c>
      <c r="U53" s="18">
        <f t="shared" si="21"/>
        <v>24189.831650286735</v>
      </c>
      <c r="W53" s="18">
        <f t="shared" si="22"/>
        <v>-1219.3285889483923</v>
      </c>
      <c r="Y53" s="271">
        <f t="shared" si="23"/>
        <v>-3.311081393102052</v>
      </c>
      <c r="Z53" s="235"/>
      <c r="AB53" s="378">
        <f>+IF(AB52&gt;$I$13+$I$14,XX,AB52+1)</f>
        <v>2034</v>
      </c>
      <c r="AC53" s="117"/>
      <c r="AD53" s="151">
        <f t="shared" si="4"/>
        <v>368256.9058823529</v>
      </c>
      <c r="AF53" s="154">
        <f t="shared" si="25"/>
        <v>138.5231707445611</v>
      </c>
      <c r="AH53" s="154">
        <f t="shared" si="26"/>
        <v>27.746792928228011</v>
      </c>
      <c r="AJ53" s="154">
        <f t="shared" si="27"/>
        <v>2.8316162276764767</v>
      </c>
      <c r="AL53" s="153">
        <f t="shared" si="16"/>
        <v>13472.846480428247</v>
      </c>
      <c r="AN53" s="154">
        <f>INDEX('(2.2)_Forward_Price_Curve'!$K:$K,MATCH($AB53,'(2.2)_Forward_Price_Curve'!$C:$C,0),1)</f>
        <v>5.688295833333334</v>
      </c>
      <c r="AP53" s="154">
        <f t="shared" si="5"/>
        <v>41.331278860009391</v>
      </c>
      <c r="AR53" s="154">
        <f t="shared" si="28"/>
        <v>3.1953272153470844</v>
      </c>
      <c r="AS53" s="154"/>
      <c r="AT53" s="153">
        <f t="shared" si="6"/>
        <v>7792.6014675335819</v>
      </c>
      <c r="AV53" s="153">
        <f t="shared" si="7"/>
        <v>16397.230182753152</v>
      </c>
      <c r="AW53" s="273"/>
      <c r="AX53" s="155">
        <f t="shared" si="8"/>
        <v>24189.831650286735</v>
      </c>
      <c r="AZ53" s="384">
        <f>+IF(AZ52&gt;$I$13+$I$14,XX,AZ52+1)</f>
        <v>2034</v>
      </c>
      <c r="BA53" s="117"/>
      <c r="BB53" s="154">
        <f t="shared" si="17"/>
        <v>65.953528526827043</v>
      </c>
      <c r="BD53" s="154">
        <f t="shared" si="18"/>
        <v>10.027785273472967</v>
      </c>
      <c r="BF53" s="153">
        <f t="shared" si="9"/>
        <v>5680.2450128946648</v>
      </c>
      <c r="BH53" s="157"/>
    </row>
    <row r="54" spans="2:60" ht="12">
      <c r="B54" s="2"/>
      <c r="C54" s="354">
        <f>+IF(C53&gt;$I$13+$I$14,XX,C53+1)</f>
        <v>2035</v>
      </c>
      <c r="E54" s="356">
        <f>'(2.2)_Forward_Price_Curve'!S48</f>
        <v>2.1999999999999999E-2</v>
      </c>
      <c r="G54" s="470">
        <v>368256.9058823529</v>
      </c>
      <c r="I54" s="360">
        <v>108.39574272007999</v>
      </c>
      <c r="K54" s="471">
        <v>33.643398883224059</v>
      </c>
      <c r="M54" s="28">
        <f t="shared" si="24"/>
        <v>0</v>
      </c>
      <c r="O54" s="471">
        <v>0.86999999999999988</v>
      </c>
      <c r="Q54" s="471">
        <v>0</v>
      </c>
      <c r="S54" s="18">
        <f t="shared" si="20"/>
        <v>23440.976013507465</v>
      </c>
      <c r="U54" s="18">
        <f t="shared" si="21"/>
        <v>24809.135211983423</v>
      </c>
      <c r="W54" s="18">
        <f t="shared" si="22"/>
        <v>-1368.159198475958</v>
      </c>
      <c r="Y54" s="271">
        <f t="shared" si="23"/>
        <v>-3.7152302553507139</v>
      </c>
      <c r="Z54" s="235"/>
      <c r="AB54" s="378">
        <f>+IF(AB53&gt;$I$13+$I$14,XX,AB53+1)</f>
        <v>2035</v>
      </c>
      <c r="AC54" s="117"/>
      <c r="AD54" s="151">
        <f t="shared" si="4"/>
        <v>368256.9058823529</v>
      </c>
      <c r="AF54" s="154">
        <f t="shared" si="25"/>
        <v>141.57068050094145</v>
      </c>
      <c r="AH54" s="154">
        <f t="shared" si="26"/>
        <v>28.357222372649026</v>
      </c>
      <c r="AJ54" s="154">
        <f t="shared" si="27"/>
        <v>2.893911784685359</v>
      </c>
      <c r="AL54" s="153">
        <f t="shared" si="16"/>
        <v>13769.249102997668</v>
      </c>
      <c r="AN54" s="154">
        <f>INDEX('(2.2)_Forward_Price_Curve'!$K:$K,MATCH($AB54,'(2.2)_Forward_Price_Curve'!$C:$C,0),1)</f>
        <v>5.846000000000001</v>
      </c>
      <c r="AP54" s="154">
        <f t="shared" si="5"/>
        <v>42.477160698940715</v>
      </c>
      <c r="AR54" s="154">
        <f t="shared" si="28"/>
        <v>3.2656244140847202</v>
      </c>
      <c r="AS54" s="154"/>
      <c r="AT54" s="153">
        <f t="shared" si="6"/>
        <v>7964.0386998193217</v>
      </c>
      <c r="AV54" s="153">
        <f t="shared" si="7"/>
        <v>16845.096512164102</v>
      </c>
      <c r="AW54" s="273"/>
      <c r="AX54" s="155">
        <f t="shared" si="8"/>
        <v>24809.135211983423</v>
      </c>
      <c r="AZ54" s="384">
        <f>+IF(AZ53&gt;$I$13+$I$14,XX,AZ53+1)</f>
        <v>2035</v>
      </c>
      <c r="BA54" s="117"/>
      <c r="BB54" s="154">
        <f t="shared" si="17"/>
        <v>67.404506154417234</v>
      </c>
      <c r="BD54" s="154">
        <f t="shared" si="18"/>
        <v>10.248396549489373</v>
      </c>
      <c r="BF54" s="153">
        <f t="shared" si="9"/>
        <v>5805.2104031783465</v>
      </c>
      <c r="BH54" s="157"/>
    </row>
    <row r="55" spans="2:60" ht="12">
      <c r="B55" s="2"/>
      <c r="C55" s="354">
        <f>+IF(C54&gt;$I$13+$I$14,XX,C54+1)</f>
        <v>2036</v>
      </c>
      <c r="E55" s="356">
        <f>'(2.2)_Forward_Price_Curve'!S49</f>
        <v>2.1999999999999999E-2</v>
      </c>
      <c r="G55" s="470">
        <v>368255.90588235296</v>
      </c>
      <c r="I55" s="360">
        <v>110.45526183176149</v>
      </c>
      <c r="K55" s="471">
        <v>34.477755175528017</v>
      </c>
      <c r="M55" s="28">
        <f t="shared" si="24"/>
        <v>0</v>
      </c>
      <c r="O55" s="471">
        <v>0.89000000000000024</v>
      </c>
      <c r="Q55" s="471">
        <v>0</v>
      </c>
      <c r="S55" s="18">
        <f t="shared" si="20"/>
        <v>23959.455642533736</v>
      </c>
      <c r="U55" s="18">
        <f t="shared" si="21"/>
        <v>25614.815144075823</v>
      </c>
      <c r="W55" s="18">
        <f t="shared" si="22"/>
        <v>-1655.3595015420869</v>
      </c>
      <c r="Y55" s="271">
        <f t="shared" si="23"/>
        <v>-4.4951336152390891</v>
      </c>
      <c r="Z55" s="235"/>
      <c r="AB55" s="378">
        <f>+IF(AB54&gt;$I$13+$I$14,XX,AB54+1)</f>
        <v>2036</v>
      </c>
      <c r="AC55" s="117"/>
      <c r="AD55" s="151">
        <f t="shared" si="4"/>
        <v>368255.90588235296</v>
      </c>
      <c r="AF55" s="154">
        <f t="shared" si="25"/>
        <v>144.68523547196216</v>
      </c>
      <c r="AH55" s="154">
        <f t="shared" si="26"/>
        <v>28.981081264847305</v>
      </c>
      <c r="AJ55" s="154">
        <f t="shared" si="27"/>
        <v>2.957577843948437</v>
      </c>
      <c r="AL55" s="153">
        <f t="shared" si="16"/>
        <v>14072.169625685772</v>
      </c>
      <c r="AN55" s="154">
        <f>INDEX('(2.2)_Forward_Price_Curve'!$K:$K,MATCH($AB55,'(2.2)_Forward_Price_Curve'!$C:$C,0),1)</f>
        <v>6.0717541666666675</v>
      </c>
      <c r="AP55" s="154">
        <f t="shared" si="5"/>
        <v>44.117495289422315</v>
      </c>
      <c r="AR55" s="154">
        <f t="shared" si="28"/>
        <v>3.3374681511945838</v>
      </c>
      <c r="AS55" s="154"/>
      <c r="AT55" s="153">
        <f t="shared" si="6"/>
        <v>8139.2445936375025</v>
      </c>
      <c r="AV55" s="153">
        <f t="shared" si="7"/>
        <v>17475.570550438319</v>
      </c>
      <c r="AW55" s="273"/>
      <c r="AX55" s="155">
        <f t="shared" si="8"/>
        <v>25614.815144075823</v>
      </c>
      <c r="AZ55" s="384">
        <f>+IF(AZ54&gt;$I$13+$I$14,XX,AZ54+1)</f>
        <v>2036</v>
      </c>
      <c r="BA55" s="117"/>
      <c r="BB55" s="154">
        <f t="shared" si="17"/>
        <v>68.88740528981441</v>
      </c>
      <c r="BD55" s="154">
        <f t="shared" si="18"/>
        <v>10.473861273578139</v>
      </c>
      <c r="BF55" s="153">
        <f t="shared" si="9"/>
        <v>5932.9250320482697</v>
      </c>
      <c r="BH55" s="157"/>
    </row>
    <row r="56" spans="2:60" ht="12">
      <c r="B56" s="2"/>
      <c r="C56" s="354">
        <f>+IF(C55&gt;$I$13+$I$14,XX,C55+1)</f>
        <v>2037</v>
      </c>
      <c r="E56" s="356">
        <f>'(2.2)_Forward_Price_Curve'!S50</f>
        <v>2.1999999999999999E-2</v>
      </c>
      <c r="G56" s="470">
        <v>368255.90588235296</v>
      </c>
      <c r="I56" s="360">
        <v>112.55391180656498</v>
      </c>
      <c r="K56" s="471">
        <v>35.139991839145388</v>
      </c>
      <c r="M56" s="28">
        <f t="shared" si="24"/>
        <v>0</v>
      </c>
      <c r="O56" s="471">
        <v>0.91000000000000025</v>
      </c>
      <c r="Q56" s="471">
        <v>0</v>
      </c>
      <c r="S56" s="18">
        <f t="shared" si="20"/>
        <v>24418.459670625849</v>
      </c>
      <c r="U56" s="18">
        <f t="shared" si="21"/>
        <v>26271.247068480661</v>
      </c>
      <c r="W56" s="18">
        <f t="shared" si="22"/>
        <v>-1852.7873978548123</v>
      </c>
      <c r="Y56" s="271">
        <f t="shared" si="23"/>
        <v>-5.0312496507434803</v>
      </c>
      <c r="Z56" s="235"/>
      <c r="AB56" s="378">
        <f>+IF(AB55&gt;$I$13+$I$14,XX,AB55+1)</f>
        <v>2037</v>
      </c>
      <c r="AC56" s="117"/>
      <c r="AD56" s="151">
        <f t="shared" si="4"/>
        <v>368255.90588235296</v>
      </c>
      <c r="AF56" s="154">
        <f t="shared" si="25"/>
        <v>147.86831065234534</v>
      </c>
      <c r="AH56" s="154">
        <f t="shared" si="26"/>
        <v>29.618665052673947</v>
      </c>
      <c r="AJ56" s="154">
        <f t="shared" si="27"/>
        <v>3.0226445565153028</v>
      </c>
      <c r="AL56" s="153">
        <f t="shared" si="16"/>
        <v>14381.757357450861</v>
      </c>
      <c r="AN56" s="154">
        <f>INDEX('(2.2)_Forward_Price_Curve'!$K:$K,MATCH($AB56,'(2.2)_Forward_Price_Curve'!$C:$C,0),1)</f>
        <v>6.240054166666666</v>
      </c>
      <c r="AP56" s="154">
        <f t="shared" si="5"/>
        <v>45.340366679369573</v>
      </c>
      <c r="AR56" s="154">
        <f t="shared" si="28"/>
        <v>3.4108924505208646</v>
      </c>
      <c r="AS56" s="154"/>
      <c r="AT56" s="153">
        <f t="shared" si="6"/>
        <v>8318.3079746975291</v>
      </c>
      <c r="AV56" s="153">
        <f t="shared" si="7"/>
        <v>17952.939093783134</v>
      </c>
      <c r="AW56" s="273"/>
      <c r="AX56" s="155">
        <f t="shared" si="8"/>
        <v>26271.247068480661</v>
      </c>
      <c r="AZ56" s="384">
        <f>+IF(AZ55&gt;$I$13+$I$14,XX,AZ55+1)</f>
        <v>2037</v>
      </c>
      <c r="BA56" s="117"/>
      <c r="BB56" s="154">
        <f t="shared" si="17"/>
        <v>70.402928206190325</v>
      </c>
      <c r="BD56" s="154">
        <f t="shared" si="18"/>
        <v>10.704286221596858</v>
      </c>
      <c r="BF56" s="153">
        <f t="shared" si="9"/>
        <v>6063.4493827533315</v>
      </c>
      <c r="BH56" s="157"/>
    </row>
    <row r="57" spans="2:60" ht="12">
      <c r="B57" s="2"/>
      <c r="C57" s="354">
        <f>+IF(C56&gt;$I$13+$I$14,XX,C56+1)</f>
        <v>2038</v>
      </c>
      <c r="E57" s="356">
        <f>'(2.2)_Forward_Price_Curve'!S51</f>
        <v>2.1999999999999999E-2</v>
      </c>
      <c r="G57" s="470">
        <v>368255.90588235296</v>
      </c>
      <c r="I57" s="360">
        <v>114.6924361308897</v>
      </c>
      <c r="K57" s="471">
        <v>35.948211651445732</v>
      </c>
      <c r="M57" s="28">
        <f t="shared" si="24"/>
        <v>0</v>
      </c>
      <c r="O57" s="471">
        <v>0.92999999999999994</v>
      </c>
      <c r="Q57" s="471">
        <v>0</v>
      </c>
      <c r="S57" s="18">
        <f t="shared" si="20"/>
        <v>24935.170415982375</v>
      </c>
      <c r="U57" s="18">
        <f t="shared" si="21"/>
        <v>27339.061832159197</v>
      </c>
      <c r="W57" s="18">
        <f t="shared" si="22"/>
        <v>-2403.8914161768225</v>
      </c>
      <c r="Y57" s="271">
        <f t="shared" si="23"/>
        <v>-6.5277742400818299</v>
      </c>
      <c r="Z57" s="235"/>
      <c r="AB57" s="378">
        <f>+IF(AB56&gt;$I$13+$I$14,XX,AB56+1)</f>
        <v>2038</v>
      </c>
      <c r="AC57" s="117"/>
      <c r="AD57" s="151">
        <f t="shared" si="4"/>
        <v>368255.90588235296</v>
      </c>
      <c r="AF57" s="154">
        <f t="shared" si="25"/>
        <v>151.12141348669695</v>
      </c>
      <c r="AH57" s="154">
        <f t="shared" si="26"/>
        <v>30.270275683832775</v>
      </c>
      <c r="AJ57" s="154">
        <f t="shared" si="27"/>
        <v>3.0891427367586397</v>
      </c>
      <c r="AL57" s="153">
        <f t="shared" si="16"/>
        <v>14698.156019314782</v>
      </c>
      <c r="AN57" s="154">
        <f>INDEX('(2.2)_Forward_Price_Curve'!$K:$K,MATCH($AB57,'(2.2)_Forward_Price_Curve'!$C:$C,0),1)</f>
        <v>6.5604041666666673</v>
      </c>
      <c r="AP57" s="154">
        <f t="shared" si="5"/>
        <v>47.66803661264116</v>
      </c>
      <c r="AR57" s="154">
        <f t="shared" si="28"/>
        <v>3.4859320844323238</v>
      </c>
      <c r="AS57" s="154"/>
      <c r="AT57" s="153">
        <f t="shared" si="6"/>
        <v>8501.3107501408758</v>
      </c>
      <c r="AV57" s="153">
        <f t="shared" si="7"/>
        <v>18837.75108201832</v>
      </c>
      <c r="AW57" s="273"/>
      <c r="AX57" s="155">
        <f t="shared" si="8"/>
        <v>27339.061832159197</v>
      </c>
      <c r="AZ57" s="384">
        <f>+IF(AZ56&gt;$I$13+$I$14,XX,AZ56+1)</f>
        <v>2038</v>
      </c>
      <c r="BA57" s="117"/>
      <c r="BB57" s="154">
        <f t="shared" si="17"/>
        <v>71.951792626726515</v>
      </c>
      <c r="BD57" s="154">
        <f t="shared" si="18"/>
        <v>10.93978051847199</v>
      </c>
      <c r="BF57" s="153">
        <f t="shared" si="9"/>
        <v>6196.8452691739058</v>
      </c>
      <c r="BH57" s="157"/>
    </row>
    <row r="58" spans="2:60" ht="12">
      <c r="B58" s="2"/>
      <c r="C58" s="354">
        <f>+IF(C57&gt;$I$13+$I$14,XX,C57+1)</f>
        <v>2039</v>
      </c>
      <c r="E58" s="356">
        <f>'(2.2)_Forward_Price_Curve'!S52</f>
        <v>2.1999999999999999E-2</v>
      </c>
      <c r="G58" s="470">
        <v>368255.90588235296</v>
      </c>
      <c r="I58" s="360">
        <v>116.87159241737659</v>
      </c>
      <c r="K58" s="471">
        <v>36.775020519428978</v>
      </c>
      <c r="M58" s="28">
        <f t="shared" si="24"/>
        <v>0</v>
      </c>
      <c r="O58" s="471">
        <v>0.95999999999999985</v>
      </c>
      <c r="Q58" s="471">
        <v>0</v>
      </c>
      <c r="S58" s="18">
        <f t="shared" si="20"/>
        <v>25466.431814191776</v>
      </c>
      <c r="U58" s="18">
        <f t="shared" si="21"/>
        <v>28121.180004761682</v>
      </c>
      <c r="W58" s="18">
        <f t="shared" si="22"/>
        <v>-2654.748190569906</v>
      </c>
      <c r="Y58" s="271">
        <f t="shared" si="23"/>
        <v>-7.2089765518058542</v>
      </c>
      <c r="Z58" s="235"/>
      <c r="AB58" s="378">
        <f>+IF(AB57&gt;$I$13+$I$14,XX,AB57+1)</f>
        <v>2039</v>
      </c>
      <c r="AC58" s="117"/>
      <c r="AD58" s="151">
        <f t="shared" si="4"/>
        <v>368255.90588235296</v>
      </c>
      <c r="AF58" s="154">
        <f t="shared" si="25"/>
        <v>154.44608458340429</v>
      </c>
      <c r="AH58" s="154">
        <f t="shared" si="26"/>
        <v>30.936221748877095</v>
      </c>
      <c r="AJ58" s="154">
        <f t="shared" si="27"/>
        <v>3.1571038769673296</v>
      </c>
      <c r="AL58" s="153">
        <f t="shared" si="16"/>
        <v>15021.515451739706</v>
      </c>
      <c r="AN58" s="154">
        <f>INDEX('(2.2)_Forward_Price_Curve'!$K:$K,MATCH($AB58,'(2.2)_Forward_Price_Curve'!$C:$C,0),1)</f>
        <v>6.7722499999999988</v>
      </c>
      <c r="AP58" s="154">
        <f t="shared" si="5"/>
        <v>49.207312956449051</v>
      </c>
      <c r="AR58" s="154">
        <f t="shared" si="28"/>
        <v>3.562622590289835</v>
      </c>
      <c r="AS58" s="154"/>
      <c r="AT58" s="153">
        <f t="shared" si="6"/>
        <v>8688.3395866439751</v>
      </c>
      <c r="AV58" s="153">
        <f t="shared" si="7"/>
        <v>19432.840418117707</v>
      </c>
      <c r="AW58" s="273"/>
      <c r="AX58" s="155">
        <f t="shared" si="8"/>
        <v>28121.180004761682</v>
      </c>
      <c r="AZ58" s="384">
        <f>+IF(AZ57&gt;$I$13+$I$14,XX,AZ57+1)</f>
        <v>2039</v>
      </c>
      <c r="BA58" s="117"/>
      <c r="BB58" s="154">
        <f t="shared" si="17"/>
        <v>73.5347320645145</v>
      </c>
      <c r="BD58" s="154">
        <f t="shared" si="18"/>
        <v>11.180455689878373</v>
      </c>
      <c r="BF58" s="153">
        <f t="shared" si="9"/>
        <v>6333.1758650957318</v>
      </c>
      <c r="BH58" s="157"/>
    </row>
    <row r="59" spans="2:60" ht="12">
      <c r="B59" s="2"/>
      <c r="C59" s="354">
        <f>+IF(C58&gt;$I$13+$I$14,XX,C58+1)</f>
        <v>2040</v>
      </c>
      <c r="E59" s="356">
        <f>'(2.2)_Forward_Price_Curve'!S53</f>
        <v>2.1999999999999999E-2</v>
      </c>
      <c r="G59" s="470">
        <v>368255.90588235296</v>
      </c>
      <c r="I59" s="360">
        <v>119.09215267330676</v>
      </c>
      <c r="K59" s="471">
        <v>37.723916802311123</v>
      </c>
      <c r="M59" s="28">
        <f t="shared" si="24"/>
        <v>0</v>
      </c>
      <c r="O59" s="471">
        <v>0.9800000000000002</v>
      </c>
      <c r="Q59" s="471">
        <v>0</v>
      </c>
      <c r="S59" s="18">
        <f t="shared" si="20"/>
        <v>26043.069057887675</v>
      </c>
      <c r="U59" s="18">
        <f t="shared" si="21"/>
        <v>29153.356291952943</v>
      </c>
      <c r="W59" s="18">
        <f t="shared" si="22"/>
        <v>-3110.2872340652684</v>
      </c>
      <c r="Y59" s="271">
        <f t="shared" si="23"/>
        <v>-8.445994169768765</v>
      </c>
      <c r="Z59" s="235"/>
      <c r="AB59" s="378">
        <f>+IF(AB58&gt;$I$13+$I$14,XX,AB58+1)</f>
        <v>2040</v>
      </c>
      <c r="AC59" s="117"/>
      <c r="AD59" s="151">
        <f t="shared" si="4"/>
        <v>368255.90588235296</v>
      </c>
      <c r="AF59" s="154">
        <f t="shared" si="25"/>
        <v>157.84389844423919</v>
      </c>
      <c r="AH59" s="154">
        <f t="shared" si="26"/>
        <v>31.616818627352391</v>
      </c>
      <c r="AJ59" s="154">
        <f t="shared" si="27"/>
        <v>3.2265601622606108</v>
      </c>
      <c r="AL59" s="153">
        <f t="shared" si="16"/>
        <v>15351.988791677981</v>
      </c>
      <c r="AN59" s="154">
        <f>INDEX('(2.2)_Forward_Price_Curve'!$K:$K,MATCH($AB59,'(2.2)_Forward_Price_Curve'!$C:$C,0),1)</f>
        <v>7.075779166666667</v>
      </c>
      <c r="AP59" s="154">
        <f t="shared" si="5"/>
        <v>51.412762355921451</v>
      </c>
      <c r="AR59" s="154">
        <f t="shared" si="28"/>
        <v>3.6410002872762113</v>
      </c>
      <c r="AS59" s="154"/>
      <c r="AT59" s="153">
        <f t="shared" si="6"/>
        <v>8879.4830575501437</v>
      </c>
      <c r="AV59" s="153">
        <f t="shared" si="7"/>
        <v>20273.873234402799</v>
      </c>
      <c r="AW59" s="273"/>
      <c r="AX59" s="155">
        <f t="shared" si="8"/>
        <v>29153.356291952943</v>
      </c>
      <c r="AZ59" s="384">
        <f>+IF(AZ58&gt;$I$13+$I$14,XX,AZ58+1)</f>
        <v>2040</v>
      </c>
      <c r="BA59" s="117"/>
      <c r="BB59" s="154">
        <f t="shared" si="17"/>
        <v>75.152496169933826</v>
      </c>
      <c r="BD59" s="154">
        <f t="shared" si="18"/>
        <v>11.426425715055698</v>
      </c>
      <c r="BF59" s="153">
        <f t="shared" si="9"/>
        <v>6472.505734127838</v>
      </c>
      <c r="BH59" s="157"/>
    </row>
    <row r="60" spans="2:60" ht="12">
      <c r="B60" s="2"/>
      <c r="C60" s="354">
        <f>+IF(C59&gt;$I$13+$I$14,XX,C59+1)</f>
        <v>2041</v>
      </c>
      <c r="E60" s="356">
        <f>'(2.2)_Forward_Price_Curve'!S54</f>
        <v>2.1999999999999999E-2</v>
      </c>
      <c r="G60" s="470">
        <v>368255.90588235296</v>
      </c>
      <c r="I60" s="360">
        <v>121.35490357409957</v>
      </c>
      <c r="K60" s="471">
        <v>38.486125449177479</v>
      </c>
      <c r="M60" s="28">
        <f t="shared" si="24"/>
        <v>0</v>
      </c>
      <c r="O60" s="471">
        <v>1</v>
      </c>
      <c r="Q60" s="471">
        <v>0</v>
      </c>
      <c r="S60" s="18">
        <f t="shared" si="20"/>
        <v>26555.134350906941</v>
      </c>
      <c r="U60" s="18">
        <f t="shared" si="21"/>
        <v>29813.682125868698</v>
      </c>
      <c r="W60" s="18">
        <f t="shared" si="22"/>
        <v>-3258.5477749617567</v>
      </c>
      <c r="Y60" s="271">
        <f t="shared" si="23"/>
        <v>-8.8485961064335719</v>
      </c>
      <c r="Z60" s="235"/>
      <c r="AB60" s="378">
        <f>+IF(AB59&gt;$I$13+$I$14,XX,AB59+1)</f>
        <v>2041</v>
      </c>
      <c r="AC60" s="117"/>
      <c r="AD60" s="151">
        <f t="shared" si="4"/>
        <v>368255.90588235296</v>
      </c>
      <c r="AF60" s="154">
        <f t="shared" si="25"/>
        <v>161.31646421001244</v>
      </c>
      <c r="AH60" s="154">
        <f t="shared" si="26"/>
        <v>32.312388637154143</v>
      </c>
      <c r="AJ60" s="154">
        <f t="shared" si="27"/>
        <v>3.2975444858303442</v>
      </c>
      <c r="AL60" s="153">
        <f t="shared" si="16"/>
        <v>15689.732545094896</v>
      </c>
      <c r="AN60" s="154">
        <f>INDEX('(2.2)_Forward_Price_Curve'!$K:$K,MATCH($AB60,'(2.2)_Forward_Price_Curve'!$C:$C,0),1)</f>
        <v>7.2385291666666687</v>
      </c>
      <c r="AP60" s="154">
        <f t="shared" si="5"/>
        <v>52.59530732748366</v>
      </c>
      <c r="AR60" s="154">
        <f t="shared" si="28"/>
        <v>3.7211022935962879</v>
      </c>
      <c r="AS60" s="154"/>
      <c r="AT60" s="153">
        <f t="shared" si="6"/>
        <v>9074.8316848162449</v>
      </c>
      <c r="AV60" s="153">
        <f t="shared" si="7"/>
        <v>20738.850441052455</v>
      </c>
      <c r="AW60" s="273"/>
      <c r="AX60" s="155">
        <f t="shared" si="8"/>
        <v>29813.682125868698</v>
      </c>
      <c r="AZ60" s="384">
        <f>+IF(AZ59&gt;$I$13+$I$14,XX,AZ59+1)</f>
        <v>2041</v>
      </c>
      <c r="BA60" s="117"/>
      <c r="BB60" s="154">
        <f t="shared" si="17"/>
        <v>76.805851085672373</v>
      </c>
      <c r="BD60" s="154">
        <f t="shared" si="18"/>
        <v>11.677807080786923</v>
      </c>
      <c r="BF60" s="153">
        <f t="shared" si="9"/>
        <v>6614.9008602786507</v>
      </c>
      <c r="BH60" s="157"/>
    </row>
    <row r="61" spans="2:60" ht="12">
      <c r="B61" s="2"/>
      <c r="C61" s="354">
        <f>+IF(C60&gt;$I$13+$I$14,XX,C60+1)</f>
        <v>2042</v>
      </c>
      <c r="E61" s="356">
        <f>'(2.2)_Forward_Price_Curve'!S55</f>
        <v>2.1999999999999999E-2</v>
      </c>
      <c r="G61" s="470">
        <v>368255.90588235296</v>
      </c>
      <c r="I61" s="360">
        <v>123.66064674200746</v>
      </c>
      <c r="K61" s="471">
        <v>39.371306334508574</v>
      </c>
      <c r="M61" s="28">
        <f t="shared" si="24"/>
        <v>0</v>
      </c>
      <c r="O61" s="471">
        <v>1.0199999999999998</v>
      </c>
      <c r="Q61" s="471">
        <v>0</v>
      </c>
      <c r="S61" s="18">
        <f t="shared" si="20"/>
        <v>27116.741131444815</v>
      </c>
      <c r="U61" s="18">
        <f t="shared" si="21"/>
        <v>30488.910625786433</v>
      </c>
      <c r="W61" s="18">
        <f t="shared" si="22"/>
        <v>-3372.1694943416187</v>
      </c>
      <c r="Y61" s="271">
        <f t="shared" si="23"/>
        <v>-9.1571362209705569</v>
      </c>
      <c r="Z61" s="235"/>
      <c r="AB61" s="378">
        <f>+IF(AB60&gt;$I$13+$I$14,XX,AB60+1)</f>
        <v>2042</v>
      </c>
      <c r="AC61" s="117"/>
      <c r="AD61" s="151">
        <f t="shared" si="4"/>
        <v>368255.90588235296</v>
      </c>
      <c r="AF61" s="154">
        <f t="shared" si="25"/>
        <v>164.86542642263271</v>
      </c>
      <c r="AH61" s="154">
        <f t="shared" si="26"/>
        <v>33.023261187171535</v>
      </c>
      <c r="AJ61" s="154">
        <f t="shared" si="27"/>
        <v>3.3700904645186118</v>
      </c>
      <c r="AL61" s="153">
        <f t="shared" si="16"/>
        <v>16034.906661086981</v>
      </c>
      <c r="AN61" s="154">
        <f>INDEX('(2.2)_Forward_Price_Curve'!$K:$K,MATCH($AB61,'(2.2)_Forward_Price_Curve'!$C:$C,0),1)</f>
        <v>7.4050000000000002</v>
      </c>
      <c r="AP61" s="154">
        <f t="shared" si="5"/>
        <v>53.804887953413605</v>
      </c>
      <c r="AR61" s="154">
        <f t="shared" si="28"/>
        <v>3.8029665440554061</v>
      </c>
      <c r="AS61" s="154"/>
      <c r="AT61" s="153">
        <f t="shared" si="6"/>
        <v>9274.4779818822008</v>
      </c>
      <c r="AV61" s="153">
        <f t="shared" si="7"/>
        <v>21214.432643904231</v>
      </c>
      <c r="AW61" s="273"/>
      <c r="AX61" s="155">
        <f t="shared" si="8"/>
        <v>30488.910625786433</v>
      </c>
      <c r="AZ61" s="384">
        <f>+IF(AZ60&gt;$I$13+$I$14,XX,AZ60+1)</f>
        <v>2042</v>
      </c>
      <c r="BA61" s="117"/>
      <c r="BB61" s="154">
        <f t="shared" si="17"/>
        <v>78.495579809557171</v>
      </c>
      <c r="BD61" s="154">
        <f t="shared" si="18"/>
        <v>11.934718836564237</v>
      </c>
      <c r="BF61" s="153">
        <f t="shared" si="9"/>
        <v>6760.4286792047806</v>
      </c>
      <c r="BH61" s="157"/>
    </row>
    <row r="62" spans="2:60" ht="12">
      <c r="B62" s="2"/>
      <c r="C62" s="354">
        <f>+IF(C61&gt;$I$13+$I$14,XX,C61+1)</f>
        <v>2043</v>
      </c>
      <c r="E62" s="356">
        <f>'(2.2)_Forward_Price_Curve'!S56</f>
        <v>2.1999999999999999E-2</v>
      </c>
      <c r="G62" s="470">
        <v>368255.90588235296</v>
      </c>
      <c r="I62" s="360">
        <v>126.01019903010558</v>
      </c>
      <c r="K62" s="471">
        <v>40.276846380202258</v>
      </c>
      <c r="M62" s="28">
        <f t="shared" si="24"/>
        <v>0</v>
      </c>
      <c r="O62" s="471">
        <v>1.05</v>
      </c>
      <c r="Q62" s="471">
        <v>0</v>
      </c>
      <c r="S62" s="18">
        <f t="shared" si="20"/>
        <v>27693.864954982677</v>
      </c>
      <c r="U62" s="18">
        <f t="shared" si="21"/>
        <v>31159.666659553739</v>
      </c>
      <c r="W62" s="18">
        <f t="shared" si="22"/>
        <v>-3465.8017045710621</v>
      </c>
      <c r="Y62" s="271">
        <f t="shared" si="23"/>
        <v>-9.4113947643742204</v>
      </c>
      <c r="Z62" s="235"/>
      <c r="AB62" s="378">
        <f>+IF(AB61&gt;$I$13+$I$14,XX,AB61+1)</f>
        <v>2043</v>
      </c>
      <c r="AC62" s="117"/>
      <c r="AD62" s="151">
        <f t="shared" si="4"/>
        <v>368255.90588235296</v>
      </c>
      <c r="AF62" s="154">
        <f t="shared" si="25"/>
        <v>168.49246580393063</v>
      </c>
      <c r="AH62" s="154">
        <f t="shared" si="26"/>
        <v>33.749772933289307</v>
      </c>
      <c r="AJ62" s="154">
        <f t="shared" si="27"/>
        <v>3.4442324547380214</v>
      </c>
      <c r="AL62" s="153">
        <f t="shared" si="16"/>
        <v>16387.674607630899</v>
      </c>
      <c r="AN62" s="154">
        <f>INDEX('(2.2)_Forward_Price_Curve'!$K:$K,MATCH($AB62,'(2.2)_Forward_Price_Curve'!$C:$C,0),1)</f>
        <v>7.5679100000000004</v>
      </c>
      <c r="AP62" s="154">
        <f t="shared" si="5"/>
        <v>54.988595488388711</v>
      </c>
      <c r="AR62" s="154">
        <f t="shared" si="28"/>
        <v>3.8866318080246249</v>
      </c>
      <c r="AS62" s="154"/>
      <c r="AT62" s="153">
        <f t="shared" si="6"/>
        <v>9478.5164974836116</v>
      </c>
      <c r="AV62" s="153">
        <f t="shared" si="7"/>
        <v>21681.150162070127</v>
      </c>
      <c r="AW62" s="273"/>
      <c r="AX62" s="155">
        <f t="shared" si="8"/>
        <v>31159.666659553739</v>
      </c>
      <c r="AZ62" s="384">
        <f>+IF(AZ61&gt;$I$13+$I$14,XX,AZ61+1)</f>
        <v>2043</v>
      </c>
      <c r="BA62" s="117"/>
      <c r="BB62" s="154">
        <f t="shared" si="17"/>
        <v>80.222482565367429</v>
      </c>
      <c r="BD62" s="154">
        <f t="shared" si="18"/>
        <v>12.197282650968651</v>
      </c>
      <c r="BF62" s="153">
        <f t="shared" si="9"/>
        <v>6909.1581101472866</v>
      </c>
      <c r="BH62" s="157"/>
    </row>
    <row r="63" spans="2:60" ht="12">
      <c r="B63" s="2"/>
      <c r="C63" s="354">
        <f>+IF(C62&gt;$I$13+$I$14,XX,C62+1)</f>
        <v>2044</v>
      </c>
      <c r="E63" s="356">
        <f>'(2.2)_Forward_Price_Curve'!S57</f>
        <v>2.3E-2</v>
      </c>
      <c r="G63" s="470">
        <v>368255.90588235296</v>
      </c>
      <c r="I63" s="360">
        <v>128.40439281167758</v>
      </c>
      <c r="K63" s="471">
        <v>41.316099364335813</v>
      </c>
      <c r="M63" s="28">
        <f t="shared" si="24"/>
        <v>0</v>
      </c>
      <c r="O63" s="471">
        <v>1.0700000000000003</v>
      </c>
      <c r="Q63" s="471">
        <v>0</v>
      </c>
      <c r="S63" s="18">
        <f t="shared" si="20"/>
        <v>28320.966306588991</v>
      </c>
      <c r="U63" s="18">
        <f t="shared" si="21"/>
        <v>31856.089117678694</v>
      </c>
      <c r="W63" s="18">
        <f t="shared" si="22"/>
        <v>-3535.1228110897027</v>
      </c>
      <c r="Y63" s="271">
        <f t="shared" si="23"/>
        <v>-9.5996364338527993</v>
      </c>
      <c r="Z63" s="235"/>
      <c r="AB63" s="378">
        <f>+IF(AB62&gt;$I$13+$I$14,XX,AB62+1)</f>
        <v>2044</v>
      </c>
      <c r="AC63" s="117"/>
      <c r="AD63" s="151">
        <f t="shared" si="4"/>
        <v>368255.90588235296</v>
      </c>
      <c r="AF63" s="154">
        <f t="shared" si="25"/>
        <v>172.36779251742101</v>
      </c>
      <c r="AH63" s="154">
        <f t="shared" si="26"/>
        <v>34.526017710754957</v>
      </c>
      <c r="AJ63" s="154">
        <f t="shared" si="27"/>
        <v>3.5234498011969957</v>
      </c>
      <c r="AL63" s="153">
        <f t="shared" si="16"/>
        <v>16764.591123606406</v>
      </c>
      <c r="AN63" s="154">
        <f>INDEX('(2.2)_Forward_Price_Curve'!$K:$K,MATCH($AB63,'(2.2)_Forward_Price_Curve'!$C:$C,0),1)</f>
        <v>7.7344040200000004</v>
      </c>
      <c r="AP63" s="154">
        <f t="shared" si="5"/>
        <v>56.198344589133256</v>
      </c>
      <c r="AR63" s="154">
        <f t="shared" si="28"/>
        <v>3.9760243396091908</v>
      </c>
      <c r="AS63" s="154"/>
      <c r="AT63" s="153">
        <f t="shared" si="6"/>
        <v>9696.5223769257318</v>
      </c>
      <c r="AV63" s="153">
        <f t="shared" si="7"/>
        <v>22159.566740752962</v>
      </c>
      <c r="AW63" s="273"/>
      <c r="AX63" s="155">
        <f t="shared" si="8"/>
        <v>31856.089117678694</v>
      </c>
      <c r="AZ63" s="384">
        <f>+IF(AZ62&gt;$I$13+$I$14,XX,AZ62+1)</f>
        <v>2044</v>
      </c>
      <c r="BA63" s="117"/>
      <c r="BB63" s="154">
        <f t="shared" si="17"/>
        <v>82.067599664370874</v>
      </c>
      <c r="BD63" s="154">
        <f t="shared" si="18"/>
        <v>12.477820151940929</v>
      </c>
      <c r="BF63" s="153">
        <f t="shared" si="9"/>
        <v>7068.0687466806739</v>
      </c>
      <c r="BH63" s="157"/>
    </row>
    <row r="64" spans="2:60" ht="12">
      <c r="B64" s="2"/>
      <c r="C64" s="354">
        <f>+IF(C63&gt;$I$13+$I$14,XX,C63+1)</f>
        <v>2045</v>
      </c>
      <c r="E64" s="356">
        <f>'(2.2)_Forward_Price_Curve'!S58</f>
        <v>2.3E-2</v>
      </c>
      <c r="G64" s="470">
        <v>368255.90588235296</v>
      </c>
      <c r="I64" s="360">
        <v>130.8440762750995</v>
      </c>
      <c r="K64" s="471">
        <v>42.150887765426688</v>
      </c>
      <c r="M64" s="28">
        <f t="shared" si="24"/>
        <v>0</v>
      </c>
      <c r="O64" s="471">
        <v>1.1000000000000001</v>
      </c>
      <c r="Q64" s="471">
        <v>0</v>
      </c>
      <c r="S64" s="18">
        <f t="shared" si="20"/>
        <v>28880.958405508034</v>
      </c>
      <c r="U64" s="18">
        <f t="shared" si="21"/>
        <v>32568.083795089544</v>
      </c>
      <c r="W64" s="18">
        <f t="shared" si="22"/>
        <v>-3687.1253895815098</v>
      </c>
      <c r="Y64" s="271">
        <f t="shared" si="23"/>
        <v>-10.012399884659118</v>
      </c>
      <c r="Z64" s="235"/>
      <c r="AB64" s="378">
        <f>+IF(AB63&gt;$I$13+$I$14,XX,AB63+1)</f>
        <v>2045</v>
      </c>
      <c r="AC64" s="117"/>
      <c r="AD64" s="151">
        <f t="shared" si="4"/>
        <v>368255.90588235296</v>
      </c>
      <c r="AF64" s="154">
        <f t="shared" si="25"/>
        <v>176.33225174532168</v>
      </c>
      <c r="AH64" s="154">
        <f t="shared" si="26"/>
        <v>35.32011611810232</v>
      </c>
      <c r="AJ64" s="154">
        <f t="shared" si="27"/>
        <v>3.6044891466245264</v>
      </c>
      <c r="AL64" s="153">
        <f t="shared" si="16"/>
        <v>17150.176719449351</v>
      </c>
      <c r="AN64" s="154">
        <f>INDEX('(2.2)_Forward_Price_Curve'!$K:$K,MATCH($AB64,'(2.2)_Forward_Price_Curve'!$C:$C,0),1)</f>
        <v>7.9045609084400006</v>
      </c>
      <c r="AP64" s="154">
        <f t="shared" si="5"/>
        <v>57.43470817009419</v>
      </c>
      <c r="AR64" s="154">
        <f t="shared" si="28"/>
        <v>4.0674728994202018</v>
      </c>
      <c r="AS64" s="154"/>
      <c r="AT64" s="153">
        <f t="shared" si="6"/>
        <v>9919.5423915950232</v>
      </c>
      <c r="AV64" s="153">
        <f t="shared" si="7"/>
        <v>22648.541403494521</v>
      </c>
      <c r="AW64" s="273"/>
      <c r="AX64" s="155">
        <f t="shared" si="8"/>
        <v>32568.083795089544</v>
      </c>
      <c r="AZ64" s="384">
        <f>+IF(AZ63&gt;$I$13+$I$14,XX,AZ63+1)</f>
        <v>2045</v>
      </c>
      <c r="BA64" s="117"/>
      <c r="BB64" s="154">
        <f t="shared" si="17"/>
        <v>83.9551544566514</v>
      </c>
      <c r="BD64" s="154">
        <f t="shared" si="18"/>
        <v>12.764810015435568</v>
      </c>
      <c r="BF64" s="153">
        <f t="shared" si="9"/>
        <v>7230.6343278543291</v>
      </c>
      <c r="BH64" s="157"/>
    </row>
    <row r="65" spans="2:60" ht="12">
      <c r="B65" s="2"/>
      <c r="C65" s="354">
        <f>+IF(C64&gt;$I$13+$I$14,XX,C64+1)</f>
        <v>2046</v>
      </c>
      <c r="E65" s="356">
        <f>'(2.2)_Forward_Price_Curve'!S59</f>
        <v>2.3E-2</v>
      </c>
      <c r="G65" s="470">
        <v>368255.90588235296</v>
      </c>
      <c r="I65" s="360">
        <v>133.33011372432634</v>
      </c>
      <c r="K65" s="471">
        <v>43.120358184031495</v>
      </c>
      <c r="M65" s="28">
        <f t="shared" si="24"/>
        <v>0</v>
      </c>
      <c r="O65" s="471">
        <v>1.1200000000000001</v>
      </c>
      <c r="Q65" s="471">
        <v>0</v>
      </c>
      <c r="S65" s="18">
        <f t="shared" si="20"/>
        <v>29491.454438328594</v>
      </c>
      <c r="U65" s="18">
        <f t="shared" si="21"/>
        <v>33295.999051890336</v>
      </c>
      <c r="W65" s="18">
        <f t="shared" si="22"/>
        <v>-3804.5446135617422</v>
      </c>
      <c r="Y65" s="271">
        <f t="shared" si="23"/>
        <v>-10.331252134153642</v>
      </c>
      <c r="Z65" s="235"/>
      <c r="AB65" s="378">
        <f>+IF(AB64&gt;$I$13+$I$14,XX,AB64+1)</f>
        <v>2046</v>
      </c>
      <c r="AC65" s="117"/>
      <c r="AD65" s="151">
        <f t="shared" si="4"/>
        <v>368255.90588235296</v>
      </c>
      <c r="AF65" s="154">
        <f t="shared" si="25"/>
        <v>180.38789353546406</v>
      </c>
      <c r="AH65" s="154">
        <f t="shared" si="26"/>
        <v>36.132478788818666</v>
      </c>
      <c r="AJ65" s="154">
        <f t="shared" si="27"/>
        <v>3.68739239699689</v>
      </c>
      <c r="AL65" s="153">
        <f t="shared" si="16"/>
        <v>17544.630783996683</v>
      </c>
      <c r="AN65" s="154">
        <f>INDEX('(2.2)_Forward_Price_Curve'!$K:$K,MATCH($AB65,'(2.2)_Forward_Price_Curve'!$C:$C,0),1)</f>
        <v>8.0784612484256808</v>
      </c>
      <c r="AP65" s="154">
        <f t="shared" si="5"/>
        <v>58.698271749836266</v>
      </c>
      <c r="AR65" s="154">
        <f t="shared" si="28"/>
        <v>4.1610247761068662</v>
      </c>
      <c r="AS65" s="154"/>
      <c r="AT65" s="153">
        <f t="shared" si="6"/>
        <v>10147.691866601705</v>
      </c>
      <c r="AV65" s="153">
        <f t="shared" si="7"/>
        <v>23148.307185288631</v>
      </c>
      <c r="AW65" s="273"/>
      <c r="AX65" s="155">
        <f t="shared" si="8"/>
        <v>33295.999051890336</v>
      </c>
      <c r="AZ65" s="384">
        <f>+IF(AZ64&gt;$I$13+$I$14,XX,AZ64+1)</f>
        <v>2046</v>
      </c>
      <c r="BA65" s="117"/>
      <c r="BB65" s="154">
        <f t="shared" si="17"/>
        <v>85.886123009154375</v>
      </c>
      <c r="BD65" s="154">
        <f t="shared" si="18"/>
        <v>13.058400645790584</v>
      </c>
      <c r="BF65" s="153">
        <f t="shared" si="9"/>
        <v>7396.9389173949776</v>
      </c>
      <c r="BH65" s="157"/>
    </row>
    <row r="66" spans="2:60" ht="12">
      <c r="B66" s="2"/>
      <c r="C66" s="354">
        <f>+IF(C65&gt;$I$13+$I$14,XX,C65+1)</f>
        <v>2047</v>
      </c>
      <c r="E66" s="356">
        <f>'(2.2)_Forward_Price_Curve'!S60</f>
        <v>2.3E-2</v>
      </c>
      <c r="G66" s="470">
        <v>368255.90588235296</v>
      </c>
      <c r="I66" s="360">
        <v>135.86338588508852</v>
      </c>
      <c r="K66" s="471">
        <v>44.112126422264218</v>
      </c>
      <c r="M66" s="28">
        <f t="shared" si="24"/>
        <v>0</v>
      </c>
      <c r="O66" s="471">
        <v>1.1499999999999997</v>
      </c>
      <c r="Q66" s="471">
        <v>0</v>
      </c>
      <c r="S66" s="18">
        <f t="shared" si="20"/>
        <v>30118.520570416258</v>
      </c>
      <c r="U66" s="18">
        <f t="shared" si="21"/>
        <v>34040.191044846855</v>
      </c>
      <c r="W66" s="18">
        <f t="shared" si="22"/>
        <v>-3921.6704744305971</v>
      </c>
      <c r="Y66" s="271">
        <f t="shared" si="23"/>
        <v>-10.649307755252828</v>
      </c>
      <c r="Z66" s="235"/>
      <c r="AB66" s="378">
        <f>+IF(AB65&gt;$I$13+$I$14,XX,AB65+1)</f>
        <v>2047</v>
      </c>
      <c r="AC66" s="117"/>
      <c r="AD66" s="151">
        <f t="shared" si="4"/>
        <v>368255.90588235296</v>
      </c>
      <c r="AF66" s="154">
        <f t="shared" si="25"/>
        <v>184.53681508677971</v>
      </c>
      <c r="AH66" s="154">
        <f t="shared" si="26"/>
        <v>36.963525800961492</v>
      </c>
      <c r="AJ66" s="154">
        <f t="shared" si="27"/>
        <v>3.7722024221278181</v>
      </c>
      <c r="AL66" s="153">
        <f t="shared" si="16"/>
        <v>17948.157292028609</v>
      </c>
      <c r="AN66" s="154">
        <f>INDEX('(2.2)_Forward_Price_Curve'!$K:$K,MATCH($AB66,'(2.2)_Forward_Price_Curve'!$C:$C,0),1)</f>
        <v>8.2561873958910468</v>
      </c>
      <c r="AP66" s="154">
        <f t="shared" si="5"/>
        <v>59.98963372833267</v>
      </c>
      <c r="AR66" s="154">
        <f t="shared" si="28"/>
        <v>4.256728345957324</v>
      </c>
      <c r="AS66" s="154"/>
      <c r="AT66" s="153">
        <f t="shared" si="6"/>
        <v>10381.088779533547</v>
      </c>
      <c r="AV66" s="153">
        <f t="shared" si="7"/>
        <v>23659.102265313304</v>
      </c>
      <c r="AW66" s="273"/>
      <c r="AX66" s="155">
        <f t="shared" si="8"/>
        <v>34040.191044846855</v>
      </c>
      <c r="AZ66" s="384">
        <f>+IF(AZ65&gt;$I$13+$I$14,XX,AZ65+1)</f>
        <v>2047</v>
      </c>
      <c r="BA66" s="117"/>
      <c r="BB66" s="154">
        <f t="shared" si="17"/>
        <v>87.861503838364911</v>
      </c>
      <c r="BD66" s="154">
        <f t="shared" si="18"/>
        <v>13.358743860643767</v>
      </c>
      <c r="BF66" s="153">
        <f t="shared" si="9"/>
        <v>7567.0685124950614</v>
      </c>
      <c r="BH66" s="157"/>
    </row>
    <row r="67" spans="2:60" ht="12">
      <c r="B67" s="2"/>
      <c r="C67" s="354">
        <f>+IF(C66&gt;$I$13+$I$14,XX,C66+1)</f>
        <v>2048</v>
      </c>
      <c r="E67" s="356">
        <f>'(2.2)_Forward_Price_Curve'!S61</f>
        <v>2.1999999999999999E-2</v>
      </c>
      <c r="G67" s="470">
        <v>368255.90588235296</v>
      </c>
      <c r="I67" s="360">
        <v>138.44479021690523</v>
      </c>
      <c r="K67" s="471">
        <v>45.250340139099521</v>
      </c>
      <c r="M67" s="28">
        <f t="shared" si="24"/>
        <v>0</v>
      </c>
      <c r="O67" s="471">
        <v>1.17</v>
      </c>
      <c r="Q67" s="471">
        <v>0</v>
      </c>
      <c r="S67" s="18">
        <f t="shared" si="20"/>
        <v>30800.59864076466</v>
      </c>
      <c r="U67" s="18">
        <f t="shared" si="21"/>
        <v>34789.075247833476</v>
      </c>
      <c r="W67" s="18">
        <f t="shared" si="22"/>
        <v>-3988.4766070688165</v>
      </c>
      <c r="Y67" s="271">
        <f t="shared" si="23"/>
        <v>-10.830720005731608</v>
      </c>
      <c r="Z67" s="235"/>
      <c r="AB67" s="378">
        <f>+IF(AB66&gt;$I$13+$I$14,XX,AB66+1)</f>
        <v>2048</v>
      </c>
      <c r="AC67" s="117"/>
      <c r="AD67" s="151">
        <f t="shared" si="4"/>
        <v>368255.90588235296</v>
      </c>
      <c r="AF67" s="154">
        <f t="shared" si="25"/>
        <v>188.59662501868885</v>
      </c>
      <c r="AH67" s="154">
        <f t="shared" si="26"/>
        <v>37.776723368582644</v>
      </c>
      <c r="AJ67" s="154">
        <f t="shared" si="27"/>
        <v>3.85519087541463</v>
      </c>
      <c r="AL67" s="153">
        <f>((AF67+AH67)*$AF$11*1000+AJ67*AD67)/1000</f>
        <v>18343.016752453233</v>
      </c>
      <c r="AN67" s="154">
        <f>INDEX('(2.2)_Forward_Price_Curve'!$K:$K,MATCH($AB67,'(2.2)_Forward_Price_Curve'!$C:$C,0),1)</f>
        <v>8.4378235186006503</v>
      </c>
      <c r="AP67" s="154">
        <f t="shared" si="5"/>
        <v>61.309405670356</v>
      </c>
      <c r="AR67" s="154">
        <f t="shared" si="28"/>
        <v>4.3503763695683855</v>
      </c>
      <c r="AS67" s="154"/>
      <c r="AT67" s="153">
        <f t="shared" si="6"/>
        <v>10609.47273268328</v>
      </c>
      <c r="AV67" s="153">
        <f t="shared" si="7"/>
        <v>24179.6025151502</v>
      </c>
      <c r="AW67" s="273"/>
      <c r="AX67" s="155">
        <f t="shared" si="8"/>
        <v>34789.075247833476</v>
      </c>
      <c r="AZ67" s="384">
        <f>+IF(AZ66&gt;$I$13+$I$14,XX,AZ66+1)</f>
        <v>2048</v>
      </c>
      <c r="BA67" s="117"/>
      <c r="BB67" s="154">
        <f t="shared" si="17"/>
        <v>89.794456922808934</v>
      </c>
      <c r="BD67" s="154">
        <f t="shared" si="18"/>
        <v>13.652636225577929</v>
      </c>
      <c r="BF67" s="153">
        <f t="shared" si="9"/>
        <v>7733.5440197699527</v>
      </c>
      <c r="BH67" s="157"/>
    </row>
    <row r="68" spans="2:60" ht="12">
      <c r="B68" s="2"/>
      <c r="C68" s="354">
        <f>+IF(C67&gt;$I$13+$I$14,XX,C67+1)</f>
        <v>2049</v>
      </c>
      <c r="E68" s="356">
        <f>'(2.2)_Forward_Price_Curve'!S62</f>
        <v>2.1999999999999999E-2</v>
      </c>
      <c r="G68" s="470">
        <v>306041.45183756563</v>
      </c>
      <c r="I68" s="360">
        <v>117.56270102585535</v>
      </c>
      <c r="K68" s="471">
        <v>38.470516293804778</v>
      </c>
      <c r="M68" s="28">
        <f t="shared" si="24"/>
        <v>0</v>
      </c>
      <c r="O68" s="471">
        <v>1.2000000000000002</v>
      </c>
      <c r="Q68" s="471">
        <v>0</v>
      </c>
      <c r="S68" s="18">
        <f t="shared" si="20"/>
        <v>23779.529803261496</v>
      </c>
      <c r="U68" s="18">
        <f t="shared" si="21"/>
        <v>26259.646536705466</v>
      </c>
      <c r="W68" s="18">
        <f t="shared" si="22"/>
        <v>-2480.1167334439706</v>
      </c>
      <c r="Y68" s="271">
        <f t="shared" si="23"/>
        <v>-8.1038588679820922</v>
      </c>
      <c r="Z68" s="235"/>
      <c r="AB68" s="378">
        <f>+IF(AB67&gt;$I$13+$I$14,XX,AB67+1)</f>
        <v>2049</v>
      </c>
      <c r="AC68" s="117"/>
      <c r="AD68" s="151">
        <f t="shared" si="4"/>
        <v>306041.45183756563</v>
      </c>
      <c r="AF68" s="154">
        <f t="shared" si="25"/>
        <v>192.7457507691</v>
      </c>
      <c r="AH68" s="154">
        <f t="shared" si="26"/>
        <v>38.607811282691465</v>
      </c>
      <c r="AJ68" s="154">
        <f t="shared" si="27"/>
        <v>3.9400050746737518</v>
      </c>
      <c r="AL68" s="153">
        <f>((AF68+AH68)*$AR$11*1000+AJ68*AD68)/1000</f>
        <v>13626.631971571374</v>
      </c>
      <c r="AN68" s="154">
        <f>INDEX('(2.2)_Forward_Price_Curve'!$K:$K,MATCH($AB68,'(2.2)_Forward_Price_Curve'!$C:$C,0),1)</f>
        <v>8.6234556360098651</v>
      </c>
      <c r="AP68" s="154">
        <f t="shared" si="5"/>
        <v>62.658212595103834</v>
      </c>
      <c r="AR68" s="154">
        <f t="shared" si="28"/>
        <v>4.4460846496988902</v>
      </c>
      <c r="AS68" s="154"/>
      <c r="AT68" s="153">
        <f t="shared" si="6"/>
        <v>5722.949983366484</v>
      </c>
      <c r="AV68" s="153">
        <f t="shared" si="7"/>
        <v>20536.696553338981</v>
      </c>
      <c r="AW68" s="273"/>
      <c r="AX68" s="155">
        <f t="shared" si="8"/>
        <v>26259.646536705466</v>
      </c>
      <c r="AZ68" s="384">
        <f>+IF(AZ67&gt;$I$13+$I$14,XX,AZ67+1)</f>
        <v>2049</v>
      </c>
      <c r="BA68" s="117"/>
      <c r="BB68" s="154">
        <f t="shared" si="17"/>
        <v>91.769934975110729</v>
      </c>
      <c r="BD68" s="154">
        <f t="shared" si="18"/>
        <v>13.952994222540644</v>
      </c>
      <c r="BF68" s="153">
        <f t="shared" si="9"/>
        <v>7903.6819882048903</v>
      </c>
      <c r="BH68" s="157"/>
    </row>
    <row r="69" spans="2:60">
      <c r="B69" s="2"/>
      <c r="E69" s="169"/>
      <c r="G69" s="267"/>
      <c r="H69" s="267"/>
      <c r="I69" s="267"/>
      <c r="K69" s="267"/>
      <c r="M69" s="267"/>
      <c r="O69" s="267"/>
      <c r="Q69" s="267"/>
      <c r="S69" s="267"/>
      <c r="U69" s="267"/>
      <c r="W69" s="267"/>
      <c r="Y69" s="267"/>
      <c r="Z69" s="235"/>
      <c r="AB69" s="2"/>
      <c r="AF69" s="274"/>
      <c r="AH69" s="274"/>
      <c r="AJ69" s="274"/>
      <c r="AL69" s="273"/>
      <c r="AN69" s="274"/>
      <c r="AP69" s="274"/>
      <c r="AR69" s="274"/>
      <c r="AS69" s="274"/>
      <c r="AT69" s="274"/>
      <c r="AV69" s="273"/>
      <c r="AW69" s="273"/>
      <c r="AX69" s="275"/>
      <c r="AZ69" s="2"/>
      <c r="BB69" s="274"/>
      <c r="BF69" s="273"/>
      <c r="BH69" s="235"/>
    </row>
    <row r="70" spans="2:60" ht="12">
      <c r="B70" s="2"/>
      <c r="C70" s="4" t="s">
        <v>342</v>
      </c>
      <c r="E70" s="169"/>
      <c r="G70" s="466">
        <f>+-PMT($I$18,41,NPV($I$18,G28:G68))</f>
        <v>336774.81011834642</v>
      </c>
      <c r="I70" s="466">
        <f>+-PMT($I$18,41,NPV($I$18,I28:I68))</f>
        <v>238.48553006465005</v>
      </c>
      <c r="J70" s="28"/>
      <c r="K70" s="466">
        <f>+-PMT($I$18,41,NPV($I$18,K28:K68))</f>
        <v>18.501997895371243</v>
      </c>
      <c r="M70" s="28">
        <f>+-PMT($G$18,$G$14,NPV($G$18,M28:M51))</f>
        <v>0</v>
      </c>
      <c r="O70" s="466">
        <f>+-PMT($I$18,41,NPV($I$18,O28:O68))</f>
        <v>3.4222699312433287</v>
      </c>
      <c r="Q70" s="466">
        <f>+-PMT($I$18,41,NPV($I$18,Q28:Q68))</f>
        <v>-28.450025798203445</v>
      </c>
      <c r="S70" s="466">
        <f>+-PMT($I$18,41,NPV($I$18,S28:S68))</f>
        <v>21864.068872841104</v>
      </c>
      <c r="U70" s="466">
        <f>+-PMT($I$18,41,NPV($I$18,U28:U68))</f>
        <v>21008.0821569115</v>
      </c>
      <c r="W70" s="285">
        <f>+-PMT($I$18,41,NPV($I$18,W28:W68))</f>
        <v>855.9867159296133</v>
      </c>
      <c r="Y70" s="466">
        <f>+-PMT($I$18,41,NPV($I$18,Y28:Y68))</f>
        <v>0.42153243388039824</v>
      </c>
      <c r="Z70" s="235"/>
      <c r="AB70" s="2"/>
      <c r="AD70" s="466">
        <f>+-PMT($I$18,41,NPV($I$18,AD28:AD68))</f>
        <v>336774.81011834642</v>
      </c>
      <c r="AF70" s="466">
        <f>+-PMT($I$18,41,NPV($I$18,AF28:AF68))</f>
        <v>94.182078616446063</v>
      </c>
      <c r="AH70" s="466">
        <f>+-PMT($I$18,41,NPV($I$18,AH28:AH68))</f>
        <v>16.973878524490814</v>
      </c>
      <c r="AJ70" s="466">
        <f>+-PMT($I$18,41,NPV($I$18,AJ28:AJ68))</f>
        <v>2.5370140171159856</v>
      </c>
      <c r="AL70" s="467">
        <f>+-PMT($I$18,41,NPV($I$18,AL28:AL68))</f>
        <v>9140.7761505562339</v>
      </c>
      <c r="AN70" s="466">
        <f>+-PMT($I$18,41,NPV($I$18,AN28:AN68))</f>
        <v>6.3870502564255052</v>
      </c>
      <c r="AP70" s="466">
        <f>+-PMT($I$18,41,NPV($I$18,AP28:AP68))</f>
        <v>46.408443403078429</v>
      </c>
      <c r="AR70" s="466">
        <f>+-PMT($I$18,41,NPV($I$18,AR28:AR68))</f>
        <v>2.7449700625634819</v>
      </c>
      <c r="AS70" s="154"/>
      <c r="AT70" s="467">
        <f>+-PMT($I$18,41,NPV($I$18,AT28:AT68))</f>
        <v>4735.9222136664303</v>
      </c>
      <c r="AV70" s="467">
        <f>+-PMT($I$18,41,NPV($I$18,AV28:AV68))</f>
        <v>16272.159943245058</v>
      </c>
      <c r="AW70" s="273"/>
      <c r="AX70" s="467">
        <f>+-PMT($I$18,41,NPV($I$18,AX28:AX68))</f>
        <v>21008.0821569115</v>
      </c>
      <c r="AY70" s="311"/>
      <c r="AZ70" s="2"/>
      <c r="BB70" s="466">
        <f>+-PMT($I$18,41,NPV($I$18,BB28:BB68))</f>
        <v>51.144917010388028</v>
      </c>
      <c r="BD70" s="466">
        <f>+-PMT($I$18,41,NPV($I$18,BD28:BD68))</f>
        <v>7.7762366482204612</v>
      </c>
      <c r="BF70" s="467">
        <f>+-PMT($I$18,41,NPV($I$18,BF28:BF68))</f>
        <v>4404.8539368898028</v>
      </c>
      <c r="BH70" s="157"/>
    </row>
    <row r="71" spans="2:60" ht="12">
      <c r="B71" s="2"/>
      <c r="E71" s="169"/>
      <c r="G71" s="466"/>
      <c r="I71" s="466"/>
      <c r="J71" s="28"/>
      <c r="K71" s="466"/>
      <c r="M71" s="28"/>
      <c r="O71" s="28"/>
      <c r="Q71" s="466"/>
      <c r="S71" s="18"/>
      <c r="U71" s="18"/>
      <c r="W71" s="18"/>
      <c r="Y71" s="271"/>
      <c r="Z71" s="235"/>
      <c r="AB71" s="2"/>
      <c r="AD71" s="151"/>
      <c r="AF71" s="154"/>
      <c r="AH71" s="154"/>
      <c r="AJ71" s="154"/>
      <c r="AL71" s="153"/>
      <c r="AN71" s="154"/>
      <c r="AP71" s="154"/>
      <c r="AR71" s="154"/>
      <c r="AS71" s="154"/>
      <c r="AT71" s="153"/>
      <c r="AV71" s="153"/>
      <c r="AW71" s="273"/>
      <c r="AX71" s="155"/>
      <c r="AZ71" s="2"/>
      <c r="BB71" s="154"/>
      <c r="BD71" s="154"/>
      <c r="BF71" s="153"/>
      <c r="BH71" s="157"/>
    </row>
    <row r="72" spans="2:60" ht="12">
      <c r="B72" s="2"/>
      <c r="E72" s="169"/>
      <c r="I72" s="466"/>
      <c r="W72" s="18"/>
      <c r="Y72" s="271"/>
      <c r="Z72" s="235"/>
      <c r="AB72" s="2"/>
      <c r="AX72" s="235"/>
      <c r="AZ72" s="2"/>
      <c r="BH72" s="235"/>
    </row>
    <row r="73" spans="2:60">
      <c r="B73" s="238"/>
      <c r="C73" s="277"/>
      <c r="D73" s="277"/>
      <c r="E73" s="278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39"/>
      <c r="AB73" s="238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39"/>
      <c r="AZ73" s="238"/>
      <c r="BA73" s="277"/>
      <c r="BB73" s="277"/>
      <c r="BC73" s="277"/>
      <c r="BD73" s="277"/>
      <c r="BE73" s="277"/>
      <c r="BF73" s="277"/>
      <c r="BG73" s="277"/>
      <c r="BH73" s="239"/>
    </row>
    <row r="74" spans="2:60">
      <c r="E74" s="169"/>
    </row>
    <row r="75" spans="2:60">
      <c r="E75" s="169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</sheetData>
  <pageMargins left="0.25" right="0.25" top="0.25" bottom="0.75" header="0.3" footer="0.3"/>
  <pageSetup paperSize="5" scale="48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1">
    <tabColor theme="0" tint="-0.249977111117893"/>
    <pageSetUpPr fitToPage="1"/>
  </sheetPr>
  <dimension ref="A1:BH73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5.1640625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3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202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22.9</v>
      </c>
      <c r="H11" s="252"/>
      <c r="AB11" s="122" t="s">
        <v>99</v>
      </c>
      <c r="AC11" s="123"/>
      <c r="AD11" s="123"/>
      <c r="AE11" s="123"/>
      <c r="AF11" s="281">
        <f>+G11*(G12/AJ16)</f>
        <v>16.721699883401055</v>
      </c>
      <c r="AG11" s="127"/>
      <c r="AH11" s="123" t="s">
        <v>100</v>
      </c>
      <c r="AI11" s="124"/>
      <c r="AJ11" s="166">
        <f>'(2.1)_Proxy Resources'!$N$120</f>
        <v>10.44</v>
      </c>
      <c r="AK11" s="235"/>
      <c r="AZ11" s="122" t="s">
        <v>99</v>
      </c>
      <c r="BA11" s="123"/>
      <c r="BB11" s="123"/>
      <c r="BC11" s="123"/>
      <c r="BD11" s="134">
        <f>(AF11*AF13-G11*G19)</f>
        <v>8.6952839393685473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0.35049851283984751</v>
      </c>
      <c r="H12" s="252"/>
      <c r="AB12" s="122" t="s">
        <v>32</v>
      </c>
      <c r="AC12" s="123"/>
      <c r="AD12" s="123"/>
      <c r="AE12" s="123"/>
      <c r="AF12" s="131">
        <f>+AD47/8760/AF11</f>
        <v>0.23778955064053911</v>
      </c>
      <c r="AG12" s="127"/>
      <c r="AH12" s="117" t="s">
        <v>101</v>
      </c>
      <c r="AI12" s="118"/>
      <c r="AJ12" s="117">
        <v>2004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2005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Resources'!$O$120</f>
        <v>3.0586666666666669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14</v>
      </c>
      <c r="H14" s="252"/>
      <c r="AB14" s="122" t="s">
        <v>104</v>
      </c>
      <c r="AC14" s="123"/>
      <c r="AD14" s="123"/>
      <c r="AE14" s="123"/>
      <c r="AF14" s="134">
        <f>'(2.1)_Proxy Resources'!$H$120</f>
        <v>7598.6666666666679</v>
      </c>
      <c r="AG14" s="127"/>
      <c r="AH14" s="117"/>
      <c r="AI14" s="118"/>
      <c r="AJ14" s="166"/>
      <c r="AK14" s="235"/>
      <c r="AZ14" s="122" t="s">
        <v>105</v>
      </c>
      <c r="BA14" s="123"/>
      <c r="BB14" s="123"/>
      <c r="BC14" s="123"/>
      <c r="BD14" s="167">
        <f>'(2.1)_Proxy Resources'!$J$121</f>
        <v>408</v>
      </c>
      <c r="BE14" s="132"/>
    </row>
    <row r="15" spans="1:57" ht="12">
      <c r="A15" t="s">
        <v>199</v>
      </c>
      <c r="B15" s="250"/>
      <c r="C15" s="231" t="s">
        <v>107</v>
      </c>
      <c r="D15" s="231"/>
      <c r="E15" s="231"/>
      <c r="F15" s="231"/>
      <c r="G15" s="283">
        <f>S28*1000/(G11*1000)</f>
        <v>45.891821857092474</v>
      </c>
      <c r="H15" s="252"/>
      <c r="AB15" s="122" t="s">
        <v>200</v>
      </c>
      <c r="AC15" s="123"/>
      <c r="AD15" s="123"/>
      <c r="AE15" s="123"/>
      <c r="AF15" s="167">
        <f>'(2.1)_Proxy Resources'!$J$120</f>
        <v>672.6</v>
      </c>
      <c r="AG15" s="127"/>
      <c r="AH15" s="117" t="s">
        <v>145</v>
      </c>
      <c r="AI15" s="118"/>
      <c r="AJ15" s="166">
        <f>'(2.1)_Proxy Resources'!$P$120</f>
        <v>2.3626666666666671</v>
      </c>
      <c r="AK15" s="235"/>
      <c r="AZ15" s="122" t="s">
        <v>108</v>
      </c>
      <c r="BA15" s="123"/>
      <c r="BB15" s="123"/>
      <c r="BC15" s="123"/>
      <c r="BD15" s="136">
        <f>'(2.1)_Proxy Resources'!$K$121</f>
        <v>7.6700000000000004E-2</v>
      </c>
      <c r="BE15" s="132"/>
    </row>
    <row r="16" spans="1:57" ht="12">
      <c r="A16" t="s">
        <v>199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Resources'!$K$118</f>
        <v>7.9299999999999995E-2</v>
      </c>
      <c r="AG16" s="127"/>
      <c r="AH16" s="117" t="s">
        <v>110</v>
      </c>
      <c r="AI16" s="124"/>
      <c r="AJ16" s="137">
        <f>'(2.1)_Proxy Resources'!$D$120</f>
        <v>0.48000000000000004</v>
      </c>
      <c r="AK16" s="235"/>
      <c r="AZ16" s="122" t="s">
        <v>100</v>
      </c>
      <c r="BA16" s="124"/>
      <c r="BB16" s="166">
        <f>'(2.1)_Proxy Resources'!$N$121</f>
        <v>10.97</v>
      </c>
      <c r="BE16" s="130"/>
    </row>
    <row r="17" spans="1:60" ht="12">
      <c r="A17" t="s">
        <v>199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2004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v>7.1999999999999995E-2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v>0.35049851283984751</v>
      </c>
      <c r="H19" s="259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2005</v>
      </c>
      <c r="E28" s="169">
        <f>IF(AND(C28&gt;=2003,C28&lt;=2010),'(2.2)_Forward_Price_Curve'!$DA$48,IF(AND(C28&gt;=2011,C28&lt;=2020),'(2.2)_Forward_Price_Curve'!$DA$49,'(2.2)_Forward_Price_Curve'!$DA$50))</f>
        <v>2.0199999999999999E-2</v>
      </c>
      <c r="G28" s="18">
        <v>33467</v>
      </c>
      <c r="I28" s="284">
        <f>$G$15</f>
        <v>45.891821857092474</v>
      </c>
      <c r="J28" s="268"/>
      <c r="K28" s="268">
        <f>$G$16</f>
        <v>0</v>
      </c>
      <c r="L28" s="269"/>
      <c r="M28" s="268">
        <f>$G$17</f>
        <v>0</v>
      </c>
      <c r="O28" s="270"/>
      <c r="Q28" s="28"/>
      <c r="S28" s="18">
        <v>1050.9227205274178</v>
      </c>
      <c r="U28" s="18">
        <f t="shared" ref="U28:U42" si="0">AX28</f>
        <v>2298.9980406941422</v>
      </c>
      <c r="W28" s="18">
        <f t="shared" ref="W28:W42" si="1">S28-U28</f>
        <v>-1248.0753201667244</v>
      </c>
      <c r="Y28" s="271">
        <f>+W28*1000/G28</f>
        <v>-37.29271581458525</v>
      </c>
      <c r="Z28" s="235"/>
      <c r="AB28" s="146">
        <f>$C$28</f>
        <v>2005</v>
      </c>
      <c r="AC28" s="117"/>
      <c r="AD28" s="151">
        <f t="shared" ref="AD28:AD42" si="2">G28</f>
        <v>33467</v>
      </c>
      <c r="AF28" s="152">
        <f>$AF$15*$AF$16*(1+E28)</f>
        <v>54.414591035999997</v>
      </c>
      <c r="AG28" s="272"/>
      <c r="AH28" s="152">
        <f>$AJ$11*(1+E28)</f>
        <v>10.650888</v>
      </c>
      <c r="AI28" s="272"/>
      <c r="AJ28" s="152">
        <f>$AJ$13*(1+E28)</f>
        <v>3.1204517333333337</v>
      </c>
      <c r="AK28" s="272"/>
      <c r="AL28" s="153">
        <f>((AF28+AH28)*$AF$11*1000+AJ28*AD28)/1000</f>
        <v>1192.4375713691816</v>
      </c>
      <c r="AN28" s="154">
        <f>INDEX('(2.2)_Forward_Price_Curve'!$H:$H,MATCH($AB28,'(2.2)_Forward_Price_Curve'!$C:$C,0),1)</f>
        <v>5.5083917806249998</v>
      </c>
      <c r="AO28" s="279"/>
      <c r="AP28" s="154">
        <f>AN28*$AF$14/1000</f>
        <v>41.856433010375838</v>
      </c>
      <c r="AQ28" s="272"/>
      <c r="AR28" s="152">
        <f>$AJ$15*(1+E28)</f>
        <v>2.4103925333333338</v>
      </c>
      <c r="AS28" s="152"/>
      <c r="AT28" s="153">
        <f t="shared" ref="AT28:AT42" si="3">AL28-BF28</f>
        <v>817.52019022282707</v>
      </c>
      <c r="AU28" s="272"/>
      <c r="AV28" s="153">
        <f t="shared" ref="AV28:AV42" si="4">(AP28+AR28)*AD28/1000</f>
        <v>1481.4778504713149</v>
      </c>
      <c r="AW28" s="273"/>
      <c r="AX28" s="155">
        <f>AT28+AV28</f>
        <v>2298.9980406941422</v>
      </c>
      <c r="AZ28" s="146">
        <f>$C$28</f>
        <v>2005</v>
      </c>
      <c r="BA28" s="117"/>
      <c r="BB28" s="152">
        <f>$BD$14*$BD$15*(1+E28)</f>
        <v>31.925730720000001</v>
      </c>
      <c r="BD28" s="152">
        <f>$BB$16*(1+E28)</f>
        <v>11.191594</v>
      </c>
      <c r="BE28" s="272"/>
      <c r="BF28" s="153">
        <f>(BB28+BD28)*$BD$11</f>
        <v>374.91738114635444</v>
      </c>
      <c r="BG28" s="272"/>
      <c r="BH28" s="156"/>
    </row>
    <row r="29" spans="1:60" ht="12">
      <c r="B29" s="2"/>
      <c r="C29">
        <f>+IF(C28&gt;$G$13+$G$14,XX,C28+1)</f>
        <v>2006</v>
      </c>
      <c r="E29" s="169">
        <f>IF(AND(C29&gt;=2003,C29&lt;=2010),'(2.2)_Forward_Price_Curve'!$DA$48,IF(AND(C29&gt;=2011,C29&lt;=2020),'(2.2)_Forward_Price_Curve'!$DA$49,'(2.2)_Forward_Price_Curve'!$DA$50))</f>
        <v>2.0199999999999999E-2</v>
      </c>
      <c r="G29" s="18">
        <f>$G$28</f>
        <v>33467</v>
      </c>
      <c r="I29" s="28">
        <f>I28*(1+$E29)</f>
        <v>46.81883665860574</v>
      </c>
      <c r="K29" s="28">
        <f>K28*(1+$E29)</f>
        <v>0</v>
      </c>
      <c r="M29" s="28">
        <f>M28*(1+$E29)</f>
        <v>0</v>
      </c>
      <c r="O29" s="270"/>
      <c r="Q29" s="28"/>
      <c r="S29" s="18">
        <v>0</v>
      </c>
      <c r="U29" s="18">
        <f t="shared" si="0"/>
        <v>2200.9033928061058</v>
      </c>
      <c r="W29" s="18">
        <f t="shared" si="1"/>
        <v>-2200.9033928061058</v>
      </c>
      <c r="Y29" s="271">
        <f t="shared" ref="Y29:Y42" si="5">+W29*1000/G29</f>
        <v>-65.763390587925585</v>
      </c>
      <c r="Z29" s="235"/>
      <c r="AB29" s="146">
        <f>+IF(AB28&gt;$G$13+$G$14,XX,AB28+1)</f>
        <v>2006</v>
      </c>
      <c r="AC29" s="117"/>
      <c r="AD29" s="151">
        <f t="shared" si="2"/>
        <v>33467</v>
      </c>
      <c r="AF29" s="154">
        <f>AF28*(1+$E29)</f>
        <v>55.513765774927194</v>
      </c>
      <c r="AH29" s="154">
        <f>AH28*(1+$E29)</f>
        <v>10.8660359376</v>
      </c>
      <c r="AJ29" s="154">
        <f>AJ28*(1+$E29)</f>
        <v>3.1834848583466671</v>
      </c>
      <c r="AL29" s="153">
        <f t="shared" ref="AL29:AL42" si="6">((AF29+AH29)*$AF$11*1000+AJ29*AD29)/1000</f>
        <v>1216.524810310839</v>
      </c>
      <c r="AN29" s="154">
        <f>INDEX('(2.2)_Forward_Price_Curve'!$H:$H,MATCH($AB29,'(2.2)_Forward_Price_Curve'!$C:$C,0),1)</f>
        <v>5.0513097146666661</v>
      </c>
      <c r="AP29" s="154">
        <f t="shared" ref="AP29:AP42" si="7">AN29*$AF$14/1000</f>
        <v>38.38321875184711</v>
      </c>
      <c r="AR29" s="154">
        <f>AR28*(1+$E29)</f>
        <v>2.4590824625066672</v>
      </c>
      <c r="AS29" s="154"/>
      <c r="AT29" s="153">
        <f t="shared" si="3"/>
        <v>834.03409806532829</v>
      </c>
      <c r="AV29" s="153">
        <f t="shared" si="4"/>
        <v>1366.8692947407776</v>
      </c>
      <c r="AW29" s="273"/>
      <c r="AX29" s="155">
        <f t="shared" ref="AX29:AX42" si="8">AT29+AV29</f>
        <v>2200.9033928061058</v>
      </c>
      <c r="AZ29" s="146">
        <f>+IF(AZ28&gt;$G$13+$G$14,XX,AZ28+1)</f>
        <v>2006</v>
      </c>
      <c r="BA29" s="117"/>
      <c r="BB29" s="154">
        <f>BB28*(1+$E29)</f>
        <v>32.570630480543997</v>
      </c>
      <c r="BD29" s="154">
        <f>BD28*(1+$E29)</f>
        <v>11.417664198800001</v>
      </c>
      <c r="BF29" s="153">
        <f t="shared" ref="BF29:BF42" si="9">(BB29+BD29)*$BD$11</f>
        <v>382.49071224551074</v>
      </c>
      <c r="BH29" s="157"/>
    </row>
    <row r="30" spans="1:60" ht="12">
      <c r="B30" s="2"/>
      <c r="C30">
        <f>+IF(C29&gt;$G$13+$G$14,XX,C29+1)</f>
        <v>2007</v>
      </c>
      <c r="E30" s="169">
        <f>IF(AND(C30&gt;=2003,C30&lt;=2010),'(2.2)_Forward_Price_Curve'!$DA$48,IF(AND(C30&gt;=2011,C30&lt;=2020),'(2.2)_Forward_Price_Curve'!$DA$49,'(2.2)_Forward_Price_Curve'!$DA$50))</f>
        <v>2.0199999999999999E-2</v>
      </c>
      <c r="G30" s="18">
        <f t="shared" ref="G30:G42" si="10">$G$28</f>
        <v>33467</v>
      </c>
      <c r="I30" s="28">
        <f t="shared" ref="I30:I42" si="11">I29*(1+$E30)</f>
        <v>47.764577159109578</v>
      </c>
      <c r="K30" s="28">
        <f t="shared" ref="K30:K42" si="12">K29*(1+$E30)</f>
        <v>0</v>
      </c>
      <c r="M30" s="28">
        <f t="shared" ref="M30:M42" si="13">M29*(1+$E30)</f>
        <v>0</v>
      </c>
      <c r="O30" s="270"/>
      <c r="Q30" s="28"/>
      <c r="S30" s="18">
        <v>0</v>
      </c>
      <c r="U30" s="18">
        <f t="shared" si="0"/>
        <v>2106.5639665532244</v>
      </c>
      <c r="W30" s="18">
        <f t="shared" si="1"/>
        <v>-2106.5639665532244</v>
      </c>
      <c r="Y30" s="271">
        <f t="shared" si="5"/>
        <v>-62.944511505459836</v>
      </c>
      <c r="Z30" s="235"/>
      <c r="AB30" s="146">
        <f>+IF(AB29&gt;$G$13+$G$14,XX,AB29+1)</f>
        <v>2007</v>
      </c>
      <c r="AC30" s="117"/>
      <c r="AD30" s="151">
        <f t="shared" si="2"/>
        <v>33467</v>
      </c>
      <c r="AF30" s="154">
        <f t="shared" ref="AF30:AF42" si="14">AF29*(1+$E30)</f>
        <v>56.635143843580721</v>
      </c>
      <c r="AH30" s="154">
        <f t="shared" ref="AH30:AH42" si="15">AH29*(1+$E30)</f>
        <v>11.08552986353952</v>
      </c>
      <c r="AJ30" s="154">
        <f t="shared" ref="AJ30:AJ42" si="16">AJ29*(1+$E30)</f>
        <v>3.2477912524852699</v>
      </c>
      <c r="AL30" s="153">
        <f t="shared" si="6"/>
        <v>1241.0986114791181</v>
      </c>
      <c r="AN30" s="154">
        <f>INDEX('(2.2)_Forward_Price_Curve'!$H:$H,MATCH($AB30,'(2.2)_Forward_Price_Curve'!$C:$C,0),1)</f>
        <v>4.6075531055833343</v>
      </c>
      <c r="AP30" s="154">
        <f t="shared" si="7"/>
        <v>35.011260198292568</v>
      </c>
      <c r="AR30" s="154">
        <f t="shared" ref="AR30:AR42" si="17">AR29*(1+$E30)</f>
        <v>2.5087559282493017</v>
      </c>
      <c r="AS30" s="154"/>
      <c r="AT30" s="153">
        <f t="shared" si="3"/>
        <v>850.88158684624796</v>
      </c>
      <c r="AV30" s="153">
        <f t="shared" si="4"/>
        <v>1255.6823797069767</v>
      </c>
      <c r="AW30" s="273"/>
      <c r="AX30" s="155">
        <f t="shared" si="8"/>
        <v>2106.5639665532244</v>
      </c>
      <c r="AZ30" s="146">
        <f>+IF(AZ29&gt;$G$13+$G$14,XX,AZ29+1)</f>
        <v>2007</v>
      </c>
      <c r="BA30" s="117"/>
      <c r="BB30" s="154">
        <f t="shared" ref="BB30:BB42" si="18">BB29*(1+$E30)</f>
        <v>33.228557216250984</v>
      </c>
      <c r="BD30" s="154">
        <f t="shared" ref="BD30:BD42" si="19">BD29*(1+$E30)</f>
        <v>11.648301015615761</v>
      </c>
      <c r="BF30" s="153">
        <f t="shared" si="9"/>
        <v>390.21702463287011</v>
      </c>
      <c r="BH30" s="157"/>
    </row>
    <row r="31" spans="1:60" ht="12">
      <c r="B31" s="2"/>
      <c r="C31">
        <f>+IF(C30&gt;$G$13+$G$14,XX,C30+1)</f>
        <v>2008</v>
      </c>
      <c r="E31" s="169">
        <f>IF(AND(C31&gt;=2003,C31&lt;=2010),'(2.2)_Forward_Price_Curve'!$DA$48,IF(AND(C31&gt;=2011,C31&lt;=2020),'(2.2)_Forward_Price_Curve'!$DA$49,'(2.2)_Forward_Price_Curve'!$DA$50))</f>
        <v>2.0199999999999999E-2</v>
      </c>
      <c r="G31" s="18">
        <f t="shared" si="10"/>
        <v>33467</v>
      </c>
      <c r="I31" s="28">
        <f t="shared" si="11"/>
        <v>48.729421617723588</v>
      </c>
      <c r="K31" s="28">
        <f t="shared" si="12"/>
        <v>0</v>
      </c>
      <c r="M31" s="28">
        <f t="shared" si="13"/>
        <v>0</v>
      </c>
      <c r="O31" s="270"/>
      <c r="Q31" s="28"/>
      <c r="S31" s="18">
        <v>0</v>
      </c>
      <c r="U31" s="18">
        <f t="shared" si="0"/>
        <v>2041.6691006138162</v>
      </c>
      <c r="W31" s="18">
        <f t="shared" si="1"/>
        <v>-2041.6691006138162</v>
      </c>
      <c r="Y31" s="271">
        <f t="shared" si="5"/>
        <v>-61.00544119920567</v>
      </c>
      <c r="Z31" s="235"/>
      <c r="AB31" s="146">
        <f>+IF(AB30&gt;$G$13+$G$14,XX,AB30+1)</f>
        <v>2008</v>
      </c>
      <c r="AC31" s="117"/>
      <c r="AD31" s="151">
        <f t="shared" si="2"/>
        <v>33467</v>
      </c>
      <c r="AF31" s="154">
        <f t="shared" si="14"/>
        <v>57.779173749221052</v>
      </c>
      <c r="AH31" s="154">
        <f t="shared" si="15"/>
        <v>11.309457566783019</v>
      </c>
      <c r="AJ31" s="154">
        <f t="shared" si="16"/>
        <v>3.3133966357854723</v>
      </c>
      <c r="AL31" s="153">
        <f t="shared" si="6"/>
        <v>1266.1688034309961</v>
      </c>
      <c r="AN31" s="154">
        <f>INDEX('(2.2)_Forward_Price_Curve'!$H:$H,MATCH($AB31,'(2.2)_Forward_Price_Curve'!$C:$C,0),1)</f>
        <v>4.278110837291667</v>
      </c>
      <c r="AP31" s="154">
        <f t="shared" si="7"/>
        <v>32.507938215633615</v>
      </c>
      <c r="AR31" s="154">
        <f t="shared" si="17"/>
        <v>2.5594327979999374</v>
      </c>
      <c r="AS31" s="154"/>
      <c r="AT31" s="153">
        <f t="shared" si="3"/>
        <v>868.06939490054208</v>
      </c>
      <c r="AV31" s="153">
        <f t="shared" si="4"/>
        <v>1173.5997057132743</v>
      </c>
      <c r="AW31" s="273"/>
      <c r="AX31" s="155">
        <f t="shared" si="8"/>
        <v>2041.6691006138162</v>
      </c>
      <c r="AZ31" s="146">
        <f>+IF(AZ30&gt;$G$13+$G$14,XX,AZ30+1)</f>
        <v>2008</v>
      </c>
      <c r="BA31" s="117"/>
      <c r="BB31" s="154">
        <f t="shared" si="18"/>
        <v>33.899774072019255</v>
      </c>
      <c r="BD31" s="154">
        <f t="shared" si="19"/>
        <v>11.8835966961312</v>
      </c>
      <c r="BF31" s="153">
        <f t="shared" si="9"/>
        <v>398.09940853045407</v>
      </c>
      <c r="BH31" s="157"/>
    </row>
    <row r="32" spans="1:60" ht="12">
      <c r="B32" s="2"/>
      <c r="C32">
        <f>+IF(C31&gt;$G$13+$G$14,XX,C31+1)</f>
        <v>2009</v>
      </c>
      <c r="E32" s="169">
        <f>IF(AND(C32&gt;=2003,C32&lt;=2010),'(2.2)_Forward_Price_Curve'!$DA$48,IF(AND(C32&gt;=2011,C32&lt;=2020),'(2.2)_Forward_Price_Curve'!$DA$49,'(2.2)_Forward_Price_Curve'!$DA$50))</f>
        <v>2.0199999999999999E-2</v>
      </c>
      <c r="G32" s="18">
        <f t="shared" si="10"/>
        <v>33467</v>
      </c>
      <c r="I32" s="28">
        <f t="shared" si="11"/>
        <v>49.713755934401604</v>
      </c>
      <c r="K32" s="28">
        <f t="shared" si="12"/>
        <v>0</v>
      </c>
      <c r="M32" s="28">
        <f t="shared" si="13"/>
        <v>0</v>
      </c>
      <c r="O32" s="270"/>
      <c r="Q32" s="28"/>
      <c r="S32" s="18">
        <v>0</v>
      </c>
      <c r="U32" s="18">
        <f t="shared" si="0"/>
        <v>2042.7610859525498</v>
      </c>
      <c r="W32" s="18">
        <f t="shared" si="1"/>
        <v>-2042.7610859525498</v>
      </c>
      <c r="Y32" s="271">
        <f t="shared" si="5"/>
        <v>-61.038069918204492</v>
      </c>
      <c r="Z32" s="235"/>
      <c r="AB32" s="146">
        <f>+IF(AB31&gt;$G$13+$G$14,XX,AB31+1)</f>
        <v>2009</v>
      </c>
      <c r="AC32" s="117"/>
      <c r="AD32" s="151">
        <f t="shared" si="2"/>
        <v>33467</v>
      </c>
      <c r="AF32" s="154">
        <f t="shared" si="14"/>
        <v>58.946313058955319</v>
      </c>
      <c r="AH32" s="154">
        <f t="shared" si="15"/>
        <v>11.537908609632035</v>
      </c>
      <c r="AJ32" s="154">
        <f t="shared" si="16"/>
        <v>3.3803272478283386</v>
      </c>
      <c r="AL32" s="153">
        <f t="shared" si="6"/>
        <v>1291.7454132603023</v>
      </c>
      <c r="AN32" s="154">
        <f>INDEX('(2.2)_Forward_Price_Curve'!$H:$H,MATCH($AB32,'(2.2)_Forward_Price_Curve'!$C:$C,0),1)</f>
        <v>4.2066481892916672</v>
      </c>
      <c r="AP32" s="154">
        <f t="shared" si="7"/>
        <v>31.964917374364287</v>
      </c>
      <c r="AR32" s="154">
        <f t="shared" si="17"/>
        <v>2.6111333405195363</v>
      </c>
      <c r="AS32" s="154"/>
      <c r="AT32" s="153">
        <f t="shared" si="3"/>
        <v>885.60439667753303</v>
      </c>
      <c r="AV32" s="153">
        <f t="shared" si="4"/>
        <v>1157.1566892750168</v>
      </c>
      <c r="AW32" s="273"/>
      <c r="AX32" s="155">
        <f t="shared" si="8"/>
        <v>2042.7610859525498</v>
      </c>
      <c r="AZ32" s="146">
        <f>+IF(AZ31&gt;$G$13+$G$14,XX,AZ31+1)</f>
        <v>2009</v>
      </c>
      <c r="BA32" s="117"/>
      <c r="BB32" s="154">
        <f t="shared" si="18"/>
        <v>34.584549508274044</v>
      </c>
      <c r="BD32" s="154">
        <f t="shared" si="19"/>
        <v>12.123645349393049</v>
      </c>
      <c r="BF32" s="153">
        <f t="shared" si="9"/>
        <v>406.14101658276928</v>
      </c>
      <c r="BH32" s="157"/>
    </row>
    <row r="33" spans="2:60" ht="12">
      <c r="B33" s="2"/>
      <c r="C33">
        <f>+IF(C32&gt;$G$13+$G$14,XX,C32+1)</f>
        <v>2010</v>
      </c>
      <c r="E33" s="169">
        <f>IF(AND(C33&gt;=2003,C33&lt;=2010),'(2.2)_Forward_Price_Curve'!$DA$48,IF(AND(C33&gt;=2011,C33&lt;=2020),'(2.2)_Forward_Price_Curve'!$DA$49,'(2.2)_Forward_Price_Curve'!$DA$50))</f>
        <v>2.0199999999999999E-2</v>
      </c>
      <c r="G33" s="18">
        <f t="shared" si="10"/>
        <v>33467</v>
      </c>
      <c r="I33" s="28">
        <f t="shared" si="11"/>
        <v>50.717973804276518</v>
      </c>
      <c r="K33" s="28">
        <f t="shared" si="12"/>
        <v>0</v>
      </c>
      <c r="M33" s="28">
        <f t="shared" si="13"/>
        <v>0</v>
      </c>
      <c r="O33" s="270"/>
      <c r="Q33" s="28"/>
      <c r="S33" s="18">
        <v>0</v>
      </c>
      <c r="U33" s="18">
        <f t="shared" si="0"/>
        <v>2095.2573861433398</v>
      </c>
      <c r="W33" s="18">
        <f t="shared" si="1"/>
        <v>-2095.2573861433398</v>
      </c>
      <c r="Y33" s="271">
        <f t="shared" si="5"/>
        <v>-62.606668842242797</v>
      </c>
      <c r="Z33" s="235"/>
      <c r="AB33" s="146">
        <f>+IF(AB32&gt;$G$13+$G$14,XX,AB32+1)</f>
        <v>2010</v>
      </c>
      <c r="AC33" s="117"/>
      <c r="AD33" s="151">
        <f t="shared" si="2"/>
        <v>33467</v>
      </c>
      <c r="AF33" s="154">
        <f t="shared" si="14"/>
        <v>60.137028582746218</v>
      </c>
      <c r="AH33" s="154">
        <f t="shared" si="15"/>
        <v>11.770974363546602</v>
      </c>
      <c r="AJ33" s="154">
        <f t="shared" si="16"/>
        <v>3.4486098582344709</v>
      </c>
      <c r="AL33" s="153">
        <f t="shared" si="6"/>
        <v>1317.8386706081606</v>
      </c>
      <c r="AN33" s="154">
        <f>INDEX('(2.2)_Forward_Price_Curve'!$H:$H,MATCH($AB33,'(2.2)_Forward_Price_Curve'!$C:$C,0),1)</f>
        <v>4.3357920622499995</v>
      </c>
      <c r="AP33" s="154">
        <f t="shared" si="7"/>
        <v>32.946238617017002</v>
      </c>
      <c r="AR33" s="154">
        <f t="shared" si="17"/>
        <v>2.6638782339980307</v>
      </c>
      <c r="AS33" s="154"/>
      <c r="AT33" s="153">
        <f t="shared" si="3"/>
        <v>903.49360549041944</v>
      </c>
      <c r="AV33" s="153">
        <f t="shared" si="4"/>
        <v>1191.7637806529203</v>
      </c>
      <c r="AW33" s="273"/>
      <c r="AX33" s="155">
        <f t="shared" si="8"/>
        <v>2095.2573861433398</v>
      </c>
      <c r="AZ33" s="146">
        <f>+IF(AZ32&gt;$G$13+$G$14,XX,AZ32+1)</f>
        <v>2010</v>
      </c>
      <c r="BA33" s="117"/>
      <c r="BB33" s="154">
        <f t="shared" si="18"/>
        <v>35.283157408341182</v>
      </c>
      <c r="BD33" s="154">
        <f t="shared" si="19"/>
        <v>12.368542985450789</v>
      </c>
      <c r="BF33" s="153">
        <f t="shared" si="9"/>
        <v>414.34506511774117</v>
      </c>
      <c r="BH33" s="157"/>
    </row>
    <row r="34" spans="2:60" ht="12">
      <c r="B34" s="2"/>
      <c r="C34">
        <f>+IF(C33&gt;$G$13+$G$14,XX,C33+1)</f>
        <v>2011</v>
      </c>
      <c r="E34" s="169">
        <f>IF(AND(C34&gt;=2003,C34&lt;=2010),'(2.2)_Forward_Price_Curve'!$DA$48,IF(AND(C34&gt;=2011,C34&lt;=2020),'(2.2)_Forward_Price_Curve'!$DA$49,'(2.2)_Forward_Price_Curve'!$DA$50))</f>
        <v>2.9399999999999999E-2</v>
      </c>
      <c r="G34" s="18">
        <f t="shared" si="10"/>
        <v>33467</v>
      </c>
      <c r="I34" s="28">
        <f t="shared" si="11"/>
        <v>52.209082234122249</v>
      </c>
      <c r="K34" s="28">
        <f t="shared" si="12"/>
        <v>0</v>
      </c>
      <c r="M34" s="28">
        <f t="shared" si="13"/>
        <v>0</v>
      </c>
      <c r="O34" s="270"/>
      <c r="Q34" s="28"/>
      <c r="S34" s="18">
        <v>0</v>
      </c>
      <c r="U34" s="18">
        <f t="shared" si="0"/>
        <v>2139.7099373881629</v>
      </c>
      <c r="W34" s="18">
        <f t="shared" si="1"/>
        <v>-2139.7099373881629</v>
      </c>
      <c r="Y34" s="271">
        <f t="shared" si="5"/>
        <v>-63.934919096069649</v>
      </c>
      <c r="Z34" s="235"/>
      <c r="AB34" s="146">
        <f>+IF(AB33&gt;$G$13+$G$14,XX,AB33+1)</f>
        <v>2011</v>
      </c>
      <c r="AC34" s="117"/>
      <c r="AD34" s="151">
        <f t="shared" si="2"/>
        <v>33467</v>
      </c>
      <c r="AF34" s="154">
        <f t="shared" si="14"/>
        <v>61.905057223078963</v>
      </c>
      <c r="AH34" s="154">
        <f t="shared" si="15"/>
        <v>12.117041009834873</v>
      </c>
      <c r="AJ34" s="154">
        <f t="shared" si="16"/>
        <v>3.5499989880665646</v>
      </c>
      <c r="AL34" s="153">
        <f t="shared" si="6"/>
        <v>1356.5831275240405</v>
      </c>
      <c r="AN34" s="154">
        <f>INDEX('(2.2)_Forward_Price_Curve'!$H:$H,MATCH($AB34,'(2.2)_Forward_Price_Curve'!$C:$C,0),1)</f>
        <v>4.395833333333333</v>
      </c>
      <c r="AP34" s="154">
        <f t="shared" si="7"/>
        <v>33.402472222222229</v>
      </c>
      <c r="AR34" s="154">
        <f t="shared" si="17"/>
        <v>2.7421962540775731</v>
      </c>
      <c r="AS34" s="154"/>
      <c r="AT34" s="153">
        <f t="shared" si="3"/>
        <v>930.0563174918376</v>
      </c>
      <c r="AV34" s="153">
        <f t="shared" si="4"/>
        <v>1209.6536198963254</v>
      </c>
      <c r="AW34" s="273"/>
      <c r="AX34" s="155">
        <f t="shared" si="8"/>
        <v>2139.7099373881629</v>
      </c>
      <c r="AZ34" s="146">
        <f>+IF(AZ33&gt;$G$13+$G$14,XX,AZ33+1)</f>
        <v>2011</v>
      </c>
      <c r="BA34" s="117"/>
      <c r="BB34" s="154">
        <f t="shared" si="18"/>
        <v>36.320482236146418</v>
      </c>
      <c r="BD34" s="154">
        <f t="shared" si="19"/>
        <v>12.732178149223044</v>
      </c>
      <c r="BF34" s="153">
        <f t="shared" si="9"/>
        <v>426.52681003220289</v>
      </c>
      <c r="BH34" s="157"/>
    </row>
    <row r="35" spans="2:60" ht="12">
      <c r="B35" s="2"/>
      <c r="C35">
        <f>+IF(C34&gt;$G$13+$G$14,XX,C34+1)</f>
        <v>2012</v>
      </c>
      <c r="E35" s="169">
        <f>IF(AND(C35&gt;=2003,C35&lt;=2010),'(2.2)_Forward_Price_Curve'!$DA$48,IF(AND(C35&gt;=2011,C35&lt;=2020),'(2.2)_Forward_Price_Curve'!$DA$49,'(2.2)_Forward_Price_Curve'!$DA$50))</f>
        <v>2.9399999999999999E-2</v>
      </c>
      <c r="G35" s="18">
        <f t="shared" si="10"/>
        <v>33467</v>
      </c>
      <c r="I35" s="28">
        <f t="shared" si="11"/>
        <v>53.744029251805451</v>
      </c>
      <c r="K35" s="28">
        <f t="shared" si="12"/>
        <v>0</v>
      </c>
      <c r="M35" s="28">
        <f t="shared" si="13"/>
        <v>0</v>
      </c>
      <c r="O35" s="270"/>
      <c r="Q35" s="28"/>
      <c r="S35" s="18">
        <v>0</v>
      </c>
      <c r="U35" s="18">
        <f t="shared" si="0"/>
        <v>2179.5000638653696</v>
      </c>
      <c r="W35" s="18">
        <f t="shared" si="1"/>
        <v>-2179.5000638653696</v>
      </c>
      <c r="Y35" s="271">
        <f t="shared" si="5"/>
        <v>-65.123855256382996</v>
      </c>
      <c r="Z35" s="235"/>
      <c r="AB35" s="146">
        <f>+IF(AB34&gt;$G$13+$G$14,XX,AB34+1)</f>
        <v>2012</v>
      </c>
      <c r="AC35" s="117"/>
      <c r="AD35" s="151">
        <f t="shared" si="2"/>
        <v>33467</v>
      </c>
      <c r="AF35" s="154">
        <f t="shared" si="14"/>
        <v>63.725065905437489</v>
      </c>
      <c r="AH35" s="154">
        <f t="shared" si="15"/>
        <v>12.473282015524019</v>
      </c>
      <c r="AJ35" s="154">
        <f t="shared" si="16"/>
        <v>3.6543689583157217</v>
      </c>
      <c r="AL35" s="153">
        <f t="shared" si="6"/>
        <v>1396.4666714732475</v>
      </c>
      <c r="AN35" s="154">
        <f>INDEX('(2.2)_Forward_Price_Curve'!$H:$H,MATCH($AB35,'(2.2)_Forward_Price_Curve'!$C:$C,0),1)</f>
        <v>4.4341666666666661</v>
      </c>
      <c r="AP35" s="154">
        <f t="shared" si="7"/>
        <v>33.693754444444444</v>
      </c>
      <c r="AR35" s="154">
        <f t="shared" si="17"/>
        <v>2.8228168239474538</v>
      </c>
      <c r="AS35" s="154"/>
      <c r="AT35" s="153">
        <f t="shared" si="3"/>
        <v>957.39997322609793</v>
      </c>
      <c r="AV35" s="153">
        <f t="shared" si="4"/>
        <v>1222.1000906392717</v>
      </c>
      <c r="AW35" s="273"/>
      <c r="AX35" s="155">
        <f t="shared" si="8"/>
        <v>2179.5000638653696</v>
      </c>
      <c r="AZ35" s="146">
        <f>+IF(AZ34&gt;$G$13+$G$14,XX,AZ34+1)</f>
        <v>2012</v>
      </c>
      <c r="BA35" s="117"/>
      <c r="BB35" s="154">
        <f t="shared" si="18"/>
        <v>37.388304413889124</v>
      </c>
      <c r="BD35" s="154">
        <f t="shared" si="19"/>
        <v>13.106504186810202</v>
      </c>
      <c r="BF35" s="153">
        <f t="shared" si="9"/>
        <v>439.06669824714965</v>
      </c>
      <c r="BH35" s="157"/>
    </row>
    <row r="36" spans="2:60" ht="12">
      <c r="B36" s="2"/>
      <c r="C36">
        <f>+IF(C35&gt;$G$13+$G$14,XX,C35+1)</f>
        <v>2013</v>
      </c>
      <c r="E36" s="169">
        <f>IF(AND(C36&gt;=2003,C36&lt;=2010),'(2.2)_Forward_Price_Curve'!$DA$48,IF(AND(C36&gt;=2011,C36&lt;=2020),'(2.2)_Forward_Price_Curve'!$DA$49,'(2.2)_Forward_Price_Curve'!$DA$50))</f>
        <v>2.9399999999999999E-2</v>
      </c>
      <c r="G36" s="18">
        <f t="shared" si="10"/>
        <v>33467</v>
      </c>
      <c r="I36" s="28">
        <f t="shared" si="11"/>
        <v>55.324103711808533</v>
      </c>
      <c r="K36" s="28">
        <f t="shared" si="12"/>
        <v>0</v>
      </c>
      <c r="M36" s="28">
        <f t="shared" si="13"/>
        <v>0</v>
      </c>
      <c r="O36" s="270"/>
      <c r="Q36" s="28"/>
      <c r="S36" s="18">
        <v>0</v>
      </c>
      <c r="U36" s="18">
        <f t="shared" si="0"/>
        <v>2243.1667910029073</v>
      </c>
      <c r="W36" s="18">
        <f t="shared" si="1"/>
        <v>-2243.1667910029073</v>
      </c>
      <c r="Y36" s="271">
        <f t="shared" si="5"/>
        <v>-67.02622855358733</v>
      </c>
      <c r="Z36" s="235"/>
      <c r="AB36" s="146">
        <f>+IF(AB35&gt;$G$13+$G$14,XX,AB35+1)</f>
        <v>2013</v>
      </c>
      <c r="AC36" s="117"/>
      <c r="AD36" s="151">
        <f t="shared" si="2"/>
        <v>33467</v>
      </c>
      <c r="AF36" s="154">
        <f t="shared" si="14"/>
        <v>65.598582843057358</v>
      </c>
      <c r="AH36" s="154">
        <f t="shared" si="15"/>
        <v>12.839996506780427</v>
      </c>
      <c r="AJ36" s="154">
        <f t="shared" si="16"/>
        <v>3.7618074056902042</v>
      </c>
      <c r="AL36" s="153">
        <f t="shared" si="6"/>
        <v>1437.5227916145609</v>
      </c>
      <c r="AN36" s="154">
        <f>INDEX('(2.2)_Forward_Price_Curve'!$H:$H,MATCH($AB36,'(2.2)_Forward_Price_Curve'!$C:$C,0),1)</f>
        <v>4.5629166666666672</v>
      </c>
      <c r="AP36" s="154">
        <f t="shared" si="7"/>
        <v>34.672082777777788</v>
      </c>
      <c r="AR36" s="154">
        <f t="shared" si="17"/>
        <v>2.9058076385715093</v>
      </c>
      <c r="AS36" s="154"/>
      <c r="AT36" s="153">
        <f t="shared" si="3"/>
        <v>985.54753243894504</v>
      </c>
      <c r="AV36" s="153">
        <f t="shared" si="4"/>
        <v>1257.6192585639621</v>
      </c>
      <c r="AW36" s="273"/>
      <c r="AX36" s="155">
        <f t="shared" si="8"/>
        <v>2243.1667910029073</v>
      </c>
      <c r="AZ36" s="146">
        <f>+IF(AZ35&gt;$G$13+$G$14,XX,AZ35+1)</f>
        <v>2013</v>
      </c>
      <c r="BA36" s="117"/>
      <c r="BB36" s="154">
        <f t="shared" si="18"/>
        <v>38.487520563657469</v>
      </c>
      <c r="BD36" s="154">
        <f t="shared" si="19"/>
        <v>13.491835409902423</v>
      </c>
      <c r="BF36" s="153">
        <f t="shared" si="9"/>
        <v>451.97525917561586</v>
      </c>
      <c r="BH36" s="157"/>
    </row>
    <row r="37" spans="2:60" ht="12">
      <c r="B37" s="2"/>
      <c r="C37">
        <f>+IF(C36&gt;$G$13+$G$14,XX,C36+1)</f>
        <v>2014</v>
      </c>
      <c r="E37" s="169">
        <f>IF(AND(C37&gt;=2003,C37&lt;=2010),'(2.2)_Forward_Price_Curve'!$DA$48,IF(AND(C37&gt;=2011,C37&lt;=2020),'(2.2)_Forward_Price_Curve'!$DA$49,'(2.2)_Forward_Price_Curve'!$DA$50))</f>
        <v>2.9399999999999999E-2</v>
      </c>
      <c r="G37" s="18">
        <f t="shared" si="10"/>
        <v>33467</v>
      </c>
      <c r="I37" s="28">
        <f t="shared" si="11"/>
        <v>56.950632360935707</v>
      </c>
      <c r="K37" s="28">
        <f t="shared" si="12"/>
        <v>0</v>
      </c>
      <c r="M37" s="28">
        <f t="shared" si="13"/>
        <v>0</v>
      </c>
      <c r="O37" s="270"/>
      <c r="Q37" s="28"/>
      <c r="S37" s="18">
        <v>0</v>
      </c>
      <c r="U37" s="18">
        <f t="shared" si="0"/>
        <v>2322.7890676758257</v>
      </c>
      <c r="W37" s="18">
        <f t="shared" si="1"/>
        <v>-2322.7890676758257</v>
      </c>
      <c r="Y37" s="271">
        <f t="shared" si="5"/>
        <v>-69.405356550507236</v>
      </c>
      <c r="Z37" s="235"/>
      <c r="AB37" s="146">
        <f>+IF(AB36&gt;$G$13+$G$14,XX,AB36+1)</f>
        <v>2014</v>
      </c>
      <c r="AC37" s="117"/>
      <c r="AD37" s="151">
        <f t="shared" si="2"/>
        <v>33467</v>
      </c>
      <c r="AF37" s="154">
        <f t="shared" si="14"/>
        <v>67.527181178643247</v>
      </c>
      <c r="AH37" s="154">
        <f t="shared" si="15"/>
        <v>13.217492404079772</v>
      </c>
      <c r="AJ37" s="154">
        <f t="shared" si="16"/>
        <v>3.8724045434174967</v>
      </c>
      <c r="AL37" s="153">
        <f t="shared" si="6"/>
        <v>1479.7859616880291</v>
      </c>
      <c r="AN37" s="154">
        <f>INDEX('(2.2)_Forward_Price_Curve'!$H:$H,MATCH($AB37,'(2.2)_Forward_Price_Curve'!$C:$C,0),1)</f>
        <v>4.7508333333333326</v>
      </c>
      <c r="AP37" s="154">
        <f t="shared" si="7"/>
        <v>36.099998888888891</v>
      </c>
      <c r="AR37" s="154">
        <f t="shared" si="17"/>
        <v>2.9912383831455118</v>
      </c>
      <c r="AS37" s="154"/>
      <c r="AT37" s="153">
        <f t="shared" si="3"/>
        <v>1014.5226298926501</v>
      </c>
      <c r="AV37" s="153">
        <f t="shared" si="4"/>
        <v>1308.2664377831754</v>
      </c>
      <c r="AW37" s="273"/>
      <c r="AX37" s="155">
        <f t="shared" si="8"/>
        <v>2322.7890676758257</v>
      </c>
      <c r="AZ37" s="146">
        <f>+IF(AZ36&gt;$G$13+$G$14,XX,AZ36+1)</f>
        <v>2014</v>
      </c>
      <c r="BA37" s="117"/>
      <c r="BB37" s="154">
        <f t="shared" si="18"/>
        <v>39.619053668229</v>
      </c>
      <c r="BD37" s="154">
        <f t="shared" si="19"/>
        <v>13.888495370953555</v>
      </c>
      <c r="BF37" s="153">
        <f t="shared" si="9"/>
        <v>465.26333179537903</v>
      </c>
      <c r="BH37" s="157"/>
    </row>
    <row r="38" spans="2:60" ht="12">
      <c r="B38" s="2"/>
      <c r="C38">
        <f>+IF(C37&gt;$G$13+$G$14,XX,C37+1)</f>
        <v>2015</v>
      </c>
      <c r="E38" s="169">
        <f>IF(AND(C38&gt;=2003,C38&lt;=2010),'(2.2)_Forward_Price_Curve'!$DA$48,IF(AND(C38&gt;=2011,C38&lt;=2020),'(2.2)_Forward_Price_Curve'!$DA$49,'(2.2)_Forward_Price_Curve'!$DA$50))</f>
        <v>2.9399999999999999E-2</v>
      </c>
      <c r="G38" s="18">
        <f t="shared" si="10"/>
        <v>33467</v>
      </c>
      <c r="I38" s="28">
        <f t="shared" si="11"/>
        <v>58.624980952347222</v>
      </c>
      <c r="K38" s="28">
        <f t="shared" si="12"/>
        <v>0</v>
      </c>
      <c r="M38" s="28">
        <f t="shared" si="13"/>
        <v>0</v>
      </c>
      <c r="O38" s="270"/>
      <c r="Q38" s="28"/>
      <c r="S38" s="18">
        <v>0</v>
      </c>
      <c r="U38" s="18">
        <f t="shared" si="0"/>
        <v>2381.0956195526392</v>
      </c>
      <c r="W38" s="18">
        <f t="shared" si="1"/>
        <v>-2381.0956195526392</v>
      </c>
      <c r="Y38" s="271">
        <f t="shared" si="5"/>
        <v>-71.147566843536595</v>
      </c>
      <c r="Z38" s="235"/>
      <c r="AB38" s="146">
        <f>+IF(AB37&gt;$G$13+$G$14,XX,AB37+1)</f>
        <v>2015</v>
      </c>
      <c r="AC38" s="117"/>
      <c r="AD38" s="151">
        <f t="shared" si="2"/>
        <v>33467</v>
      </c>
      <c r="AF38" s="154">
        <f t="shared" si="14"/>
        <v>69.512480305295369</v>
      </c>
      <c r="AH38" s="154">
        <f t="shared" si="15"/>
        <v>13.606086680759718</v>
      </c>
      <c r="AJ38" s="154">
        <f t="shared" si="16"/>
        <v>3.9862532369939716</v>
      </c>
      <c r="AL38" s="153">
        <f t="shared" si="6"/>
        <v>1523.2916689616573</v>
      </c>
      <c r="AN38" s="154">
        <f>INDEX('(2.2)_Forward_Price_Curve'!$H:$H,MATCH($AB38,'(2.2)_Forward_Price_Curve'!$C:$C,0),1)</f>
        <v>4.8512499999999994</v>
      </c>
      <c r="AP38" s="154">
        <f t="shared" si="7"/>
        <v>36.863031666666672</v>
      </c>
      <c r="AR38" s="154">
        <f t="shared" si="17"/>
        <v>3.07918079160999</v>
      </c>
      <c r="AS38" s="154"/>
      <c r="AT38" s="153">
        <f t="shared" si="3"/>
        <v>1044.349595211494</v>
      </c>
      <c r="AV38" s="153">
        <f t="shared" si="4"/>
        <v>1336.7460243411451</v>
      </c>
      <c r="AW38" s="273"/>
      <c r="AX38" s="155">
        <f t="shared" si="8"/>
        <v>2381.0956195526392</v>
      </c>
      <c r="AZ38" s="146">
        <f>+IF(AZ37&gt;$G$13+$G$14,XX,AZ37+1)</f>
        <v>2015</v>
      </c>
      <c r="BA38" s="117"/>
      <c r="BB38" s="154">
        <f t="shared" si="18"/>
        <v>40.783853846074933</v>
      </c>
      <c r="BD38" s="154">
        <f t="shared" si="19"/>
        <v>14.296817134859591</v>
      </c>
      <c r="BF38" s="153">
        <f t="shared" si="9"/>
        <v>478.94207375016322</v>
      </c>
      <c r="BH38" s="157"/>
    </row>
    <row r="39" spans="2:60" ht="12">
      <c r="B39" s="2"/>
      <c r="C39">
        <f>+IF(C38&gt;$G$13+$G$14,XX,C38+1)</f>
        <v>2016</v>
      </c>
      <c r="E39" s="169">
        <f>IF(AND(C39&gt;=2003,C39&lt;=2010),'(2.2)_Forward_Price_Curve'!$DA$48,IF(AND(C39&gt;=2011,C39&lt;=2020),'(2.2)_Forward_Price_Curve'!$DA$49,'(2.2)_Forward_Price_Curve'!$DA$50))</f>
        <v>2.9399999999999999E-2</v>
      </c>
      <c r="G39" s="18">
        <f t="shared" si="10"/>
        <v>33467</v>
      </c>
      <c r="I39" s="28">
        <f t="shared" si="11"/>
        <v>60.348555392346235</v>
      </c>
      <c r="K39" s="28">
        <f t="shared" si="12"/>
        <v>0</v>
      </c>
      <c r="M39" s="28">
        <f t="shared" si="13"/>
        <v>0</v>
      </c>
      <c r="O39" s="270"/>
      <c r="Q39" s="28"/>
      <c r="S39" s="18">
        <v>0</v>
      </c>
      <c r="U39" s="18">
        <f t="shared" si="0"/>
        <v>2453.5046831950881</v>
      </c>
      <c r="W39" s="18">
        <f t="shared" si="1"/>
        <v>-2453.5046831950881</v>
      </c>
      <c r="Y39" s="271">
        <f t="shared" si="5"/>
        <v>-73.311162733292136</v>
      </c>
      <c r="Z39" s="235"/>
      <c r="AB39" s="146">
        <f>+IF(AB38&gt;$G$13+$G$14,XX,AB38+1)</f>
        <v>2016</v>
      </c>
      <c r="AC39" s="117"/>
      <c r="AD39" s="151">
        <f t="shared" si="2"/>
        <v>33467</v>
      </c>
      <c r="AF39" s="154">
        <f t="shared" si="14"/>
        <v>71.556147226271065</v>
      </c>
      <c r="AH39" s="154">
        <f t="shared" si="15"/>
        <v>14.006105629174055</v>
      </c>
      <c r="AJ39" s="154">
        <f t="shared" si="16"/>
        <v>4.1034490821615943</v>
      </c>
      <c r="AL39" s="153">
        <f t="shared" si="6"/>
        <v>1568.0764440291305</v>
      </c>
      <c r="AN39" s="154">
        <f>INDEX('(2.2)_Forward_Price_Curve'!$H:$H,MATCH($AB39,'(2.2)_Forward_Price_Curve'!$C:$C,0),1)</f>
        <v>5.003333333333333</v>
      </c>
      <c r="AP39" s="154">
        <f t="shared" si="7"/>
        <v>38.018662222222225</v>
      </c>
      <c r="AR39" s="154">
        <f t="shared" si="17"/>
        <v>3.1697087068833238</v>
      </c>
      <c r="AS39" s="154"/>
      <c r="AT39" s="153">
        <f t="shared" si="3"/>
        <v>1075.0534733107124</v>
      </c>
      <c r="AV39" s="153">
        <f t="shared" si="4"/>
        <v>1378.4512098843757</v>
      </c>
      <c r="AW39" s="273"/>
      <c r="AX39" s="155">
        <f t="shared" si="8"/>
        <v>2453.5046831950881</v>
      </c>
      <c r="AZ39" s="146">
        <f>+IF(AZ38&gt;$G$13+$G$14,XX,AZ38+1)</f>
        <v>2016</v>
      </c>
      <c r="BA39" s="117"/>
      <c r="BB39" s="154">
        <f t="shared" si="18"/>
        <v>41.982899149149539</v>
      </c>
      <c r="BD39" s="154">
        <f t="shared" si="19"/>
        <v>14.717143558624464</v>
      </c>
      <c r="BF39" s="153">
        <f t="shared" si="9"/>
        <v>493.02297071841798</v>
      </c>
      <c r="BH39" s="157"/>
    </row>
    <row r="40" spans="2:60" ht="12">
      <c r="B40" s="2"/>
      <c r="C40">
        <f>+IF(C39&gt;$G$13+$G$14,XX,C39+1)</f>
        <v>2017</v>
      </c>
      <c r="E40" s="169">
        <f>IF(AND(C40&gt;=2003,C40&lt;=2010),'(2.2)_Forward_Price_Curve'!$DA$48,IF(AND(C40&gt;=2011,C40&lt;=2020),'(2.2)_Forward_Price_Curve'!$DA$49,'(2.2)_Forward_Price_Curve'!$DA$50))</f>
        <v>2.9399999999999999E-2</v>
      </c>
      <c r="G40" s="18">
        <f t="shared" si="10"/>
        <v>33467</v>
      </c>
      <c r="I40" s="28">
        <f t="shared" si="11"/>
        <v>62.12280292088122</v>
      </c>
      <c r="K40" s="28">
        <f t="shared" si="12"/>
        <v>0</v>
      </c>
      <c r="M40" s="28">
        <f t="shared" si="13"/>
        <v>0</v>
      </c>
      <c r="O40" s="270"/>
      <c r="Q40" s="28"/>
      <c r="S40" s="18">
        <v>0</v>
      </c>
      <c r="U40" s="18">
        <f t="shared" si="0"/>
        <v>2528.6008778161117</v>
      </c>
      <c r="W40" s="18">
        <f t="shared" si="1"/>
        <v>-2528.6008778161117</v>
      </c>
      <c r="Y40" s="271">
        <f t="shared" si="5"/>
        <v>-75.555050581650931</v>
      </c>
      <c r="Z40" s="235"/>
      <c r="AB40" s="146">
        <f>+IF(AB39&gt;$G$13+$G$14,XX,AB39+1)</f>
        <v>2017</v>
      </c>
      <c r="AC40" s="117"/>
      <c r="AD40" s="151">
        <f t="shared" si="2"/>
        <v>33467</v>
      </c>
      <c r="AF40" s="154">
        <f t="shared" si="14"/>
        <v>73.659897954723448</v>
      </c>
      <c r="AH40" s="154">
        <f t="shared" si="15"/>
        <v>14.417885134671774</v>
      </c>
      <c r="AJ40" s="154">
        <f t="shared" si="16"/>
        <v>4.2240904851771459</v>
      </c>
      <c r="AL40" s="153">
        <f t="shared" si="6"/>
        <v>1614.1778914835872</v>
      </c>
      <c r="AN40" s="154">
        <f>INDEX('(2.2)_Forward_Price_Curve'!$H:$H,MATCH($AB40,'(2.2)_Forward_Price_Curve'!$C:$C,0),1)</f>
        <v>5.1620833333333334</v>
      </c>
      <c r="AP40" s="154">
        <f t="shared" si="7"/>
        <v>39.224950555555559</v>
      </c>
      <c r="AR40" s="154">
        <f t="shared" si="17"/>
        <v>3.2628981428656938</v>
      </c>
      <c r="AS40" s="154"/>
      <c r="AT40" s="153">
        <f t="shared" si="3"/>
        <v>1106.6600454260476</v>
      </c>
      <c r="AV40" s="153">
        <f t="shared" si="4"/>
        <v>1421.9408323900641</v>
      </c>
      <c r="AW40" s="273"/>
      <c r="AX40" s="155">
        <f t="shared" si="8"/>
        <v>2528.6008778161117</v>
      </c>
      <c r="AZ40" s="146">
        <f>+IF(AZ39&gt;$G$13+$G$14,XX,AZ39+1)</f>
        <v>2017</v>
      </c>
      <c r="BA40" s="117"/>
      <c r="BB40" s="154">
        <f t="shared" si="18"/>
        <v>43.217196384134539</v>
      </c>
      <c r="BD40" s="154">
        <f t="shared" si="19"/>
        <v>15.149827579248024</v>
      </c>
      <c r="BF40" s="153">
        <f t="shared" si="9"/>
        <v>507.51784605753954</v>
      </c>
      <c r="BH40" s="157"/>
    </row>
    <row r="41" spans="2:60" ht="12">
      <c r="B41" s="2"/>
      <c r="C41">
        <f>+IF(C40&gt;$G$13+$G$14,XX,C40+1)</f>
        <v>2018</v>
      </c>
      <c r="E41" s="169">
        <f>IF(AND(C41&gt;=2003,C41&lt;=2010),'(2.2)_Forward_Price_Curve'!$DA$48,IF(AND(C41&gt;=2011,C41&lt;=2020),'(2.2)_Forward_Price_Curve'!$DA$49,'(2.2)_Forward_Price_Curve'!$DA$50))</f>
        <v>2.9399999999999999E-2</v>
      </c>
      <c r="G41" s="18">
        <f t="shared" si="10"/>
        <v>33467</v>
      </c>
      <c r="I41" s="28">
        <f t="shared" si="11"/>
        <v>63.949213326755135</v>
      </c>
      <c r="K41" s="28">
        <f t="shared" si="12"/>
        <v>0</v>
      </c>
      <c r="M41" s="28">
        <f t="shared" si="13"/>
        <v>0</v>
      </c>
      <c r="O41" s="270"/>
      <c r="Q41" s="28"/>
      <c r="S41" s="18">
        <v>0</v>
      </c>
      <c r="U41" s="18">
        <f t="shared" si="0"/>
        <v>2607.8968047371009</v>
      </c>
      <c r="W41" s="18">
        <f t="shared" si="1"/>
        <v>-2607.8968047371009</v>
      </c>
      <c r="Y41" s="271">
        <f t="shared" si="5"/>
        <v>-77.924427189084795</v>
      </c>
      <c r="Z41" s="235"/>
      <c r="AB41" s="146">
        <f>+IF(AB40&gt;$G$13+$G$14,XX,AB40+1)</f>
        <v>2018</v>
      </c>
      <c r="AC41" s="117"/>
      <c r="AD41" s="151">
        <f t="shared" si="2"/>
        <v>33467</v>
      </c>
      <c r="AF41" s="154">
        <f t="shared" si="14"/>
        <v>75.825498954592319</v>
      </c>
      <c r="AH41" s="154">
        <f t="shared" si="15"/>
        <v>14.841770957631125</v>
      </c>
      <c r="AJ41" s="154">
        <f t="shared" si="16"/>
        <v>4.3482787454413545</v>
      </c>
      <c r="AL41" s="153">
        <f t="shared" si="6"/>
        <v>1661.6347214932046</v>
      </c>
      <c r="AN41" s="154">
        <f>INDEX('(2.2)_Forward_Price_Curve'!$H:$H,MATCH($AB41,'(2.2)_Forward_Price_Curve'!$C:$C,0),1)</f>
        <v>5.333333333333333</v>
      </c>
      <c r="AP41" s="154">
        <f t="shared" si="7"/>
        <v>40.526222222222223</v>
      </c>
      <c r="AR41" s="154">
        <f t="shared" si="17"/>
        <v>3.3588273482659456</v>
      </c>
      <c r="AS41" s="154"/>
      <c r="AT41" s="153">
        <f t="shared" si="3"/>
        <v>1139.1958507615732</v>
      </c>
      <c r="AV41" s="153">
        <f t="shared" si="4"/>
        <v>1468.7009539755275</v>
      </c>
      <c r="AW41" s="273"/>
      <c r="AX41" s="155">
        <f t="shared" si="8"/>
        <v>2607.8968047371009</v>
      </c>
      <c r="AZ41" s="146">
        <f>+IF(AZ40&gt;$G$13+$G$14,XX,AZ40+1)</f>
        <v>2018</v>
      </c>
      <c r="BA41" s="117"/>
      <c r="BB41" s="154">
        <f t="shared" si="18"/>
        <v>44.487781957828098</v>
      </c>
      <c r="BD41" s="154">
        <f t="shared" si="19"/>
        <v>15.595232510077917</v>
      </c>
      <c r="BF41" s="153">
        <f t="shared" si="9"/>
        <v>522.43887073163125</v>
      </c>
      <c r="BH41" s="157"/>
    </row>
    <row r="42" spans="2:60" ht="12">
      <c r="B42" s="2"/>
      <c r="C42">
        <f>+IF(C41&gt;$G$13+$G$14,XX,C41+1)</f>
        <v>2019</v>
      </c>
      <c r="E42" s="169">
        <f>IF(AND(C42&gt;=2003,C42&lt;=2010),'(2.2)_Forward_Price_Curve'!$DA$48,IF(AND(C42&gt;=2011,C42&lt;=2020),'(2.2)_Forward_Price_Curve'!$DA$49,'(2.2)_Forward_Price_Curve'!$DA$50))</f>
        <v>2.9399999999999999E-2</v>
      </c>
      <c r="G42" s="18">
        <f t="shared" si="10"/>
        <v>33467</v>
      </c>
      <c r="I42" s="28">
        <f t="shared" si="11"/>
        <v>65.829320198561746</v>
      </c>
      <c r="K42" s="28">
        <f t="shared" si="12"/>
        <v>0</v>
      </c>
      <c r="M42" s="28">
        <f t="shared" si="13"/>
        <v>0</v>
      </c>
      <c r="O42" s="270"/>
      <c r="Q42" s="28"/>
      <c r="S42" s="18">
        <v>0</v>
      </c>
      <c r="U42" s="18">
        <f t="shared" si="0"/>
        <v>2690.8926779527274</v>
      </c>
      <c r="W42" s="18">
        <f t="shared" si="1"/>
        <v>-2690.8926779527274</v>
      </c>
      <c r="Y42" s="271">
        <f t="shared" si="5"/>
        <v>-80.404358859555003</v>
      </c>
      <c r="Z42" s="235"/>
      <c r="AB42" s="146">
        <f>+IF(AB41&gt;$G$13+$G$14,XX,AB41+1)</f>
        <v>2019</v>
      </c>
      <c r="AC42" s="117"/>
      <c r="AD42" s="151">
        <f t="shared" si="2"/>
        <v>33467</v>
      </c>
      <c r="AF42" s="154">
        <f t="shared" si="14"/>
        <v>78.054768623857342</v>
      </c>
      <c r="AH42" s="154">
        <f t="shared" si="15"/>
        <v>15.278119023785482</v>
      </c>
      <c r="AJ42" s="154">
        <f t="shared" si="16"/>
        <v>4.4761181405573307</v>
      </c>
      <c r="AL42" s="153">
        <f t="shared" si="6"/>
        <v>1710.486782305105</v>
      </c>
      <c r="AN42" s="154">
        <f>INDEX('(2.2)_Forward_Price_Curve'!$H:$H,MATCH($AB42,'(2.2)_Forward_Price_Curve'!$C:$C,0),1)</f>
        <v>5.5149999999999997</v>
      </c>
      <c r="AP42" s="154">
        <f t="shared" si="7"/>
        <v>41.906646666666667</v>
      </c>
      <c r="AR42" s="154">
        <f t="shared" si="17"/>
        <v>3.4575768723049647</v>
      </c>
      <c r="AS42" s="154"/>
      <c r="AT42" s="153">
        <f t="shared" si="3"/>
        <v>1172.6882087739637</v>
      </c>
      <c r="AV42" s="153">
        <f t="shared" si="4"/>
        <v>1518.2044691787635</v>
      </c>
      <c r="AW42" s="273"/>
      <c r="AX42" s="155">
        <f t="shared" si="8"/>
        <v>2690.8926779527274</v>
      </c>
      <c r="AZ42" s="146">
        <f>+IF(AZ41&gt;$G$13+$G$14,XX,AZ41+1)</f>
        <v>2019</v>
      </c>
      <c r="BA42" s="117"/>
      <c r="BB42" s="154">
        <f t="shared" si="18"/>
        <v>45.795722747388247</v>
      </c>
      <c r="BD42" s="154">
        <f t="shared" si="19"/>
        <v>16.053732345874209</v>
      </c>
      <c r="BF42" s="153">
        <f t="shared" si="9"/>
        <v>537.79857353114119</v>
      </c>
      <c r="BH42" s="157"/>
    </row>
    <row r="43" spans="2:60" ht="12">
      <c r="B43" s="2"/>
      <c r="E43" s="169"/>
      <c r="G43" s="18"/>
      <c r="I43" s="28"/>
      <c r="K43" s="28"/>
      <c r="M43" s="28"/>
      <c r="O43" s="270"/>
      <c r="Q43" s="28"/>
      <c r="S43" s="18"/>
      <c r="U43" s="18"/>
      <c r="W43" s="18"/>
      <c r="Y43" s="271"/>
      <c r="Z43" s="235"/>
      <c r="AB43" s="146"/>
      <c r="AC43" s="117"/>
      <c r="AD43" s="151"/>
      <c r="AF43" s="154"/>
      <c r="AH43" s="154"/>
      <c r="AJ43" s="154"/>
      <c r="AL43" s="153"/>
      <c r="AN43" s="154"/>
      <c r="AP43" s="154"/>
      <c r="AR43" s="154"/>
      <c r="AS43" s="154"/>
      <c r="AT43" s="153"/>
      <c r="AV43" s="153"/>
      <c r="AW43" s="273"/>
      <c r="AX43" s="155"/>
      <c r="AZ43" s="146"/>
      <c r="BA43" s="117"/>
      <c r="BB43" s="154"/>
      <c r="BD43" s="154"/>
      <c r="BF43" s="153"/>
      <c r="BH43" s="157"/>
    </row>
    <row r="44" spans="2:60" ht="12">
      <c r="B44" s="2"/>
      <c r="E44" s="169"/>
      <c r="G44" s="18"/>
      <c r="I44" s="28"/>
      <c r="K44" s="28"/>
      <c r="M44" s="28"/>
      <c r="O44" s="270"/>
      <c r="Q44" s="28"/>
      <c r="S44" s="18"/>
      <c r="U44" s="18"/>
      <c r="W44" s="18"/>
      <c r="Y44" s="271"/>
      <c r="Z44" s="235"/>
      <c r="AB44" s="146"/>
      <c r="AC44" s="117"/>
      <c r="AD44" s="151"/>
      <c r="AF44" s="154"/>
      <c r="AH44" s="154"/>
      <c r="AJ44" s="154"/>
      <c r="AL44" s="153"/>
      <c r="AN44" s="154"/>
      <c r="AP44" s="154"/>
      <c r="AR44" s="154"/>
      <c r="AS44" s="154"/>
      <c r="AT44" s="153"/>
      <c r="AV44" s="153"/>
      <c r="AW44" s="273"/>
      <c r="AX44" s="155"/>
      <c r="AZ44" s="146"/>
      <c r="BA44" s="117"/>
      <c r="BB44" s="154"/>
      <c r="BD44" s="154"/>
      <c r="BF44" s="153"/>
      <c r="BH44" s="157"/>
    </row>
    <row r="45" spans="2:60">
      <c r="B45" s="2"/>
      <c r="E45" s="169"/>
      <c r="G45" s="267"/>
      <c r="I45" s="267"/>
      <c r="K45" s="267"/>
      <c r="M45" s="267"/>
      <c r="O45" s="267"/>
      <c r="Q45" s="267"/>
      <c r="S45" s="267"/>
      <c r="U45" s="267"/>
      <c r="W45" s="267"/>
      <c r="Y45" s="267"/>
      <c r="Z45" s="235"/>
      <c r="AB45" s="2"/>
      <c r="AF45" s="274"/>
      <c r="AH45" s="274"/>
      <c r="AJ45" s="274"/>
      <c r="AL45" s="273"/>
      <c r="AN45" s="274"/>
      <c r="AP45" s="274"/>
      <c r="AR45" s="274"/>
      <c r="AS45" s="274"/>
      <c r="AT45" s="274"/>
      <c r="AV45" s="273"/>
      <c r="AW45" s="273"/>
      <c r="AX45" s="275"/>
      <c r="AZ45" s="2"/>
      <c r="BB45" s="274"/>
      <c r="BF45" s="273"/>
      <c r="BH45" s="235"/>
    </row>
    <row r="46" spans="2:60">
      <c r="B46" s="2"/>
      <c r="E46" s="169"/>
      <c r="G46" s="267"/>
      <c r="I46" s="267"/>
      <c r="K46" s="267"/>
      <c r="M46" s="267"/>
      <c r="O46" s="267"/>
      <c r="Q46" s="267"/>
      <c r="S46" s="267"/>
      <c r="U46" s="267"/>
      <c r="W46" s="267"/>
      <c r="Y46" s="267"/>
      <c r="Z46" s="235"/>
      <c r="AB46" s="2"/>
      <c r="AF46" s="274"/>
      <c r="AH46" s="274"/>
      <c r="AJ46" s="274"/>
      <c r="AL46" s="273"/>
      <c r="AN46" s="274"/>
      <c r="AP46" s="274"/>
      <c r="AR46" s="274"/>
      <c r="AS46" s="274"/>
      <c r="AT46" s="274"/>
      <c r="AV46" s="273"/>
      <c r="AW46" s="273"/>
      <c r="AX46" s="275"/>
      <c r="AZ46" s="2"/>
      <c r="BB46" s="274"/>
      <c r="BF46" s="273"/>
      <c r="BH46" s="235"/>
    </row>
    <row r="47" spans="2:60" ht="12">
      <c r="B47" s="2"/>
      <c r="C47" s="276" t="str">
        <f>G14&amp;"-year Nominal Levelized at "&amp;TEXT($G$18,"#.00%")</f>
        <v>14-year Nominal Levelized at 7.20%</v>
      </c>
      <c r="E47" s="169"/>
      <c r="G47" s="285">
        <f>+-PMT($G$18,$G$14,NPV($G$18,G28:G42))</f>
        <v>34831.910590686253</v>
      </c>
      <c r="I47" s="28">
        <f>+-PMT($G$18,$G$14,NPV($G$18,I28:I42))</f>
        <v>54.929909651973666</v>
      </c>
      <c r="J47" s="28"/>
      <c r="K47" s="28">
        <f>+-PMT($G$18,$G$14,NPV($G$18,K28:K42))</f>
        <v>0</v>
      </c>
      <c r="M47" s="28">
        <f>+-PMT($G$18,$G$14,NPV($G$18,M28:M43))</f>
        <v>0</v>
      </c>
      <c r="O47" s="28">
        <f>+-PMT($G$18,$G$14,NPV($G$18,O28:O42))</f>
        <v>0</v>
      </c>
      <c r="Q47" s="28">
        <f>+-PMT($G$18,$G$14,NPV($G$18,Q28:Q42))</f>
        <v>0</v>
      </c>
      <c r="S47" s="18">
        <f>+-PMT($G$18,$G$14,NPV($G$18,S28:S42))</f>
        <v>113.44495737553754</v>
      </c>
      <c r="U47" s="18">
        <f>+-PMT($G$18,$G$14,NPV($G$18,U28:U42))</f>
        <v>2336.8699264847774</v>
      </c>
      <c r="W47" s="18">
        <f>+-PMT($G$18,$G$14,NPV($G$18,W28:W42))</f>
        <v>-2223.42496910924</v>
      </c>
      <c r="Y47" s="271">
        <f>+-PMT($G$18,$G$14,NPV($G$18,Y28:Y42))</f>
        <v>-66.436339352473794</v>
      </c>
      <c r="Z47" s="235"/>
      <c r="AB47" s="2"/>
      <c r="AD47" s="151">
        <f>+-PMT($G$18,$G$14,NPV($G$18,AD28:AD42))</f>
        <v>34831.910590686253</v>
      </c>
      <c r="AF47" s="154">
        <f>+-PMT($G$18,$G$14,NPV($G$18,AF28:AF42))</f>
        <v>65.131181295532613</v>
      </c>
      <c r="AH47" s="154">
        <f>+-PMT($G$18,$G$14,NPV($G$18,AH28:AH42))</f>
        <v>12.748509252370681</v>
      </c>
      <c r="AJ47" s="154">
        <f>+-PMT($G$18,$G$14,NPV($G$18,AJ28:AJ42))</f>
        <v>3.7350038601453819</v>
      </c>
      <c r="AL47" s="153">
        <f>+-PMT($G$18,$G$14,NPV($G$18,AL28:AL42))</f>
        <v>1427.2801865416702</v>
      </c>
      <c r="AN47" s="154">
        <f>+-PMT($G$18,$G$14,NPV($G$18,AN28:AN43))</f>
        <v>4.9617228999631546</v>
      </c>
      <c r="AO47">
        <f>+-PMT($G$18,$G$14,NPV($G$18,AO28:AO42))</f>
        <v>0</v>
      </c>
      <c r="AP47" s="154">
        <f>+-PMT($G$18,$G$14,NPV($G$18,AP28:AP42))</f>
        <v>37.702478409186689</v>
      </c>
      <c r="AR47" s="154">
        <f>+-PMT($G$18,$G$14,NPV($G$18,AR28:AR42))</f>
        <v>2.8851032433206703</v>
      </c>
      <c r="AS47" s="154"/>
      <c r="AT47" s="153">
        <f>+-PMT($G$18,$G$14,NPV($G$18,AT28:AT42))</f>
        <v>978.52533132031351</v>
      </c>
      <c r="AV47" s="153">
        <f>+-PMT($G$18,$G$14,NPV($G$18,AV28:AV42))</f>
        <v>1358.344595164464</v>
      </c>
      <c r="AW47" s="273"/>
      <c r="AX47" s="155">
        <f>+-PMT($G$18,$G$14,NPV($G$18,AX28:AX42))</f>
        <v>2336.8699264847774</v>
      </c>
      <c r="AZ47" s="2"/>
      <c r="BB47" s="154">
        <f>+-PMT($G$18,$G$14,NPV($G$18,BB28:BB42))</f>
        <v>38.213290147508346</v>
      </c>
      <c r="BD47" s="154">
        <f>+-PMT($G$18,$G$14,NPV($G$18,BD28:BD42))</f>
        <v>13.395703687596399</v>
      </c>
      <c r="BF47" s="153">
        <f>+-PMT($G$18,$G$14,NPV($G$18,BF28:BF42))</f>
        <v>448.75485522135665</v>
      </c>
      <c r="BH47" s="157"/>
    </row>
    <row r="48" spans="2:60">
      <c r="B48" s="2"/>
      <c r="E48" s="169"/>
      <c r="W48" s="18"/>
      <c r="Y48" s="271"/>
      <c r="Z48" s="235"/>
      <c r="AB48" s="2"/>
      <c r="AT48" s="273"/>
      <c r="AX48" s="235"/>
      <c r="AZ48" s="2"/>
      <c r="BH48" s="235"/>
    </row>
    <row r="49" spans="2:60">
      <c r="B49" s="238"/>
      <c r="C49" s="277"/>
      <c r="D49" s="277"/>
      <c r="E49" s="278"/>
      <c r="F49" s="277"/>
      <c r="G49" s="277"/>
      <c r="H49" s="277"/>
      <c r="I49" s="277"/>
      <c r="J49" s="277"/>
      <c r="K49" s="277"/>
      <c r="L49" s="277"/>
      <c r="M49" s="277"/>
      <c r="N49" s="277"/>
      <c r="O49" s="277"/>
      <c r="P49" s="277"/>
      <c r="Q49" s="277"/>
      <c r="R49" s="277"/>
      <c r="S49" s="277"/>
      <c r="T49" s="277"/>
      <c r="U49" s="277"/>
      <c r="V49" s="277"/>
      <c r="W49" s="277"/>
      <c r="X49" s="277"/>
      <c r="Y49" s="277"/>
      <c r="Z49" s="239"/>
      <c r="AB49" s="238"/>
      <c r="AC49" s="277"/>
      <c r="AD49" s="277"/>
      <c r="AE49" s="277"/>
      <c r="AF49" s="277"/>
      <c r="AG49" s="277"/>
      <c r="AH49" s="277"/>
      <c r="AI49" s="277"/>
      <c r="AJ49" s="277"/>
      <c r="AK49" s="277"/>
      <c r="AL49" s="277"/>
      <c r="AM49" s="277"/>
      <c r="AN49" s="277"/>
      <c r="AO49" s="277"/>
      <c r="AP49" s="277"/>
      <c r="AQ49" s="277"/>
      <c r="AR49" s="277"/>
      <c r="AS49" s="277"/>
      <c r="AT49" s="277"/>
      <c r="AU49" s="277"/>
      <c r="AV49" s="277"/>
      <c r="AW49" s="277"/>
      <c r="AX49" s="239"/>
      <c r="AZ49" s="238"/>
      <c r="BA49" s="277"/>
      <c r="BB49" s="277"/>
      <c r="BC49" s="277"/>
      <c r="BD49" s="277"/>
      <c r="BE49" s="277"/>
      <c r="BF49" s="277"/>
      <c r="BG49" s="277"/>
      <c r="BH49" s="239"/>
    </row>
    <row r="50" spans="2:60">
      <c r="E50" s="169"/>
    </row>
    <row r="51" spans="2:60">
      <c r="E51" s="169"/>
      <c r="G51" s="18"/>
      <c r="I51" s="18"/>
      <c r="K51" s="18"/>
      <c r="O51" s="18"/>
      <c r="Q51" s="18"/>
      <c r="S51" s="18"/>
      <c r="U51" s="18"/>
      <c r="W51" s="18"/>
    </row>
    <row r="52" spans="2:60">
      <c r="E52" s="169"/>
    </row>
    <row r="53" spans="2:60">
      <c r="E53" s="169"/>
    </row>
    <row r="54" spans="2:60">
      <c r="E54" s="169"/>
    </row>
    <row r="55" spans="2:60">
      <c r="E55" s="169"/>
    </row>
    <row r="56" spans="2:60">
      <c r="E56" s="169"/>
    </row>
    <row r="57" spans="2:60">
      <c r="E57" s="169"/>
    </row>
    <row r="58" spans="2:60">
      <c r="E58" s="169"/>
    </row>
    <row r="59" spans="2:60">
      <c r="E59" s="169"/>
    </row>
    <row r="60" spans="2:60">
      <c r="E60" s="169"/>
    </row>
    <row r="61" spans="2:60">
      <c r="E61" s="169"/>
    </row>
    <row r="62" spans="2:60">
      <c r="E62" s="169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</sheetData>
  <pageMargins left="0.25" right="0.25" top="0.25" bottom="0.75" header="0.3" footer="0.3"/>
  <pageSetup paperSize="5" scale="46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993A5-BAF8-4A75-BFF6-7CF8BC23D09E}">
  <sheetPr codeName="Sheet9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308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324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39</v>
      </c>
      <c r="H11" s="252"/>
      <c r="AB11" s="122" t="s">
        <v>99</v>
      </c>
      <c r="AC11" s="123"/>
      <c r="AD11" s="123"/>
      <c r="AE11" s="123"/>
      <c r="AF11" s="281">
        <f>+G11*(G12/AJ16)</f>
        <v>25.785390128340719</v>
      </c>
      <c r="AG11" s="127"/>
      <c r="AH11" s="123" t="s">
        <v>100</v>
      </c>
      <c r="AI11" s="124"/>
      <c r="AJ11" s="166">
        <f>'(2.1)_Proxy Resources'!L67</f>
        <v>7.7079648513634842</v>
      </c>
      <c r="AK11" s="235"/>
      <c r="AZ11" s="122" t="s">
        <v>99</v>
      </c>
      <c r="BA11" s="123"/>
      <c r="BB11" s="123"/>
      <c r="BC11" s="123"/>
      <c r="BD11" s="134">
        <f>(AF11*AF13-G11*G19)</f>
        <v>20.130390128340721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0.47134886628492628</v>
      </c>
      <c r="H12" s="252"/>
      <c r="AB12" s="122" t="s">
        <v>32</v>
      </c>
      <c r="AC12" s="123"/>
      <c r="AD12" s="123"/>
      <c r="AE12" s="123"/>
      <c r="AF12" s="131">
        <f>+AD58/8760/AF11</f>
        <v>0.7129071560162269</v>
      </c>
      <c r="AG12" s="127"/>
      <c r="AH12" s="117" t="s">
        <v>101</v>
      </c>
      <c r="AI12" s="118"/>
      <c r="AJ12" s="117">
        <v>2014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2015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Resources'!O67</f>
        <v>2.6104764135772984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20</v>
      </c>
      <c r="H14" s="252"/>
      <c r="AB14" s="122" t="s">
        <v>104</v>
      </c>
      <c r="AC14" s="123"/>
      <c r="AD14" s="123"/>
      <c r="AE14" s="123"/>
      <c r="AF14" s="134">
        <f>'(2.1)_Proxy Resources'!H67</f>
        <v>6530.8239156386799</v>
      </c>
      <c r="AG14" s="127"/>
      <c r="AH14" s="117" t="s">
        <v>326</v>
      </c>
      <c r="AI14" s="118"/>
      <c r="AJ14" s="166">
        <f>'(2.1)_Proxy Resources'!P67</f>
        <v>12.577035449261281</v>
      </c>
      <c r="AK14" s="235"/>
      <c r="AZ14" s="122" t="s">
        <v>192</v>
      </c>
      <c r="BA14" s="123"/>
      <c r="BB14" s="123"/>
      <c r="BC14" s="123"/>
      <c r="BD14" s="167">
        <f>'(2.1)_Proxy Resources'!J68</f>
        <v>820.02180312689813</v>
      </c>
      <c r="BE14" s="132"/>
    </row>
    <row r="15" spans="1:57" ht="12">
      <c r="A15" t="s">
        <v>325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192</v>
      </c>
      <c r="AC15" s="123"/>
      <c r="AD15" s="123"/>
      <c r="AE15" s="123"/>
      <c r="AF15" s="167">
        <f>'(2.1)_Proxy Resources'!J67</f>
        <v>914.64278393587574</v>
      </c>
      <c r="AG15" s="127"/>
      <c r="AH15" s="117" t="s">
        <v>145</v>
      </c>
      <c r="AI15" s="118"/>
      <c r="AJ15" s="166">
        <f>'(2.1)_Proxy Resources'!Q67</f>
        <v>3.1258372991005694</v>
      </c>
      <c r="AK15" s="235"/>
      <c r="AZ15" s="122" t="s">
        <v>108</v>
      </c>
      <c r="BA15" s="123"/>
      <c r="BB15" s="123"/>
      <c r="BC15" s="123"/>
      <c r="BD15" s="136">
        <f>'(2.1)_Proxy Resources'!K68</f>
        <v>7.7667383499954168E-2</v>
      </c>
      <c r="BE15" s="132"/>
    </row>
    <row r="16" spans="1:57" ht="12">
      <c r="A16" t="s">
        <v>325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Resources'!K65</f>
        <v>7.682307239305719E-2</v>
      </c>
      <c r="AG16" s="127"/>
      <c r="AH16" s="117" t="s">
        <v>110</v>
      </c>
      <c r="AI16" s="124"/>
      <c r="AJ16" s="137">
        <f>'(2.1)_Proxy Resources'!D67</f>
        <v>0.7129078014184399</v>
      </c>
      <c r="AK16" s="235"/>
      <c r="AZ16" s="122" t="s">
        <v>100</v>
      </c>
      <c r="BA16" s="124"/>
      <c r="BB16" s="166">
        <f>'(2.1)_Proxy Resources'!N68</f>
        <v>10.728501482152289</v>
      </c>
      <c r="BE16" s="130"/>
    </row>
    <row r="17" spans="1:60" ht="12">
      <c r="A17" t="s">
        <v>325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2014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'(2.2)_Forward_Price_Curve'!AA7</f>
        <v>6.6600000000000006E-2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'(2.2)_Forward_Price_Curve'!K103</f>
        <v>0.14499999999999999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2015</v>
      </c>
      <c r="E28" s="169">
        <f>+INDEX('(2.2)_Forward_Price_Curve'!$U:$U,MATCH($C28,'(2.2)_Forward_Price_Curve'!C:C,0))</f>
        <v>0.02</v>
      </c>
      <c r="G28" s="18">
        <v>160888.30000000019</v>
      </c>
      <c r="I28" s="268">
        <f>$G$15*(1+E28)</f>
        <v>0</v>
      </c>
      <c r="J28" s="268"/>
      <c r="K28" s="268">
        <v>60.327279878937979</v>
      </c>
      <c r="L28" s="269"/>
      <c r="M28" s="268">
        <f>$G$17</f>
        <v>0</v>
      </c>
      <c r="O28" s="270">
        <f>'(2.2)_Forward_Price_Curve'!Z29</f>
        <v>3.1150800000000003</v>
      </c>
      <c r="Q28" s="28"/>
      <c r="S28" s="18">
        <f>(I28*$G$11*1000+(K28+M28+O28+Q28)*G28)/1000</f>
        <v>10207.133428910549</v>
      </c>
      <c r="U28" s="18">
        <f t="shared" ref="U28:U47" si="0">AX28</f>
        <v>13254.47565216873</v>
      </c>
      <c r="W28" s="18">
        <f t="shared" ref="W28:W47" si="1">S28-U28</f>
        <v>-3047.3422232581815</v>
      </c>
      <c r="Y28" s="271">
        <f>+W28*1000/G28</f>
        <v>-18.940732317130443</v>
      </c>
      <c r="Z28" s="235"/>
      <c r="AB28" s="146">
        <f>$C$28</f>
        <v>2015</v>
      </c>
      <c r="AC28" s="117"/>
      <c r="AD28" s="151">
        <f t="shared" ref="AD28:AD47" si="2">G28</f>
        <v>160888.30000000019</v>
      </c>
      <c r="AF28" s="152">
        <f>$AF$15*$AF$16*(1+E28)</f>
        <v>71.670982180175017</v>
      </c>
      <c r="AG28" s="272"/>
      <c r="AH28" s="152">
        <f>$AJ$11*(1+E28)</f>
        <v>7.8621241483907536</v>
      </c>
      <c r="AI28" s="272"/>
      <c r="AJ28" s="152">
        <f>$AJ$13*(1+E28)</f>
        <v>2.6626859418488444</v>
      </c>
      <c r="AK28" s="272"/>
      <c r="AL28" s="153">
        <f>((AF28+AH28)*$AF$11*1000+AJ28*AD28)/1000</f>
        <v>2479.187189418833</v>
      </c>
      <c r="AN28" s="154">
        <f>INDEX('(2.2)_Forward_Price_Curve'!$J:$J,MATCH($AB28,'(2.2)_Forward_Price_Curve'!$C:$C,0),1)</f>
        <v>9.3330180370833329</v>
      </c>
      <c r="AO28" s="279"/>
      <c r="AP28" s="154">
        <f>AN28*$AF$14/1000+$AJ$14/(1+E29)</f>
        <v>73.282724312711466</v>
      </c>
      <c r="AQ28" s="272"/>
      <c r="AR28" s="152">
        <f>$AJ$15*(1+E28)</f>
        <v>3.1883540450825807</v>
      </c>
      <c r="AS28" s="152"/>
      <c r="AT28" s="153">
        <f>AL28-BF28</f>
        <v>951.17385601644037</v>
      </c>
      <c r="AU28" s="272"/>
      <c r="AV28" s="153">
        <f t="shared" ref="AV28:AV47" si="3">(AP28+AR28)*AD28/1000</f>
        <v>12303.301796152289</v>
      </c>
      <c r="AW28" s="273"/>
      <c r="AX28" s="155">
        <f>AT28+AV28</f>
        <v>13254.47565216873</v>
      </c>
      <c r="AZ28" s="146">
        <f>$C$28</f>
        <v>2015</v>
      </c>
      <c r="BA28" s="117"/>
      <c r="BB28" s="152">
        <f>$BD$14*$BD$15*(1+E28)</f>
        <v>64.962726819016325</v>
      </c>
      <c r="BD28" s="152">
        <f>$BB$16*(1+E28)</f>
        <v>10.943071511795335</v>
      </c>
      <c r="BE28" s="272"/>
      <c r="BF28" s="153">
        <f>(BB28+BD28)*$BD$11</f>
        <v>1528.0133334023926</v>
      </c>
      <c r="BG28" s="272"/>
      <c r="BH28" s="156"/>
    </row>
    <row r="29" spans="1:60" ht="12">
      <c r="B29" s="2"/>
      <c r="C29">
        <f>+IF(C28&gt;$G$13+$G$14,XX,C28+1)</f>
        <v>2016</v>
      </c>
      <c r="E29" s="169">
        <f>+INDEX('(2.2)_Forward_Price_Curve'!$U:$U,MATCH($C29,'(2.2)_Forward_Price_Curve'!C:C,0))</f>
        <v>0.02</v>
      </c>
      <c r="G29" s="18">
        <v>161444.29642857163</v>
      </c>
      <c r="I29" s="28">
        <f>I28*(1+$E29)</f>
        <v>0</v>
      </c>
      <c r="K29" s="28">
        <v>60.327279878937979</v>
      </c>
      <c r="M29" s="28">
        <f>M28*(1+$E29)</f>
        <v>0</v>
      </c>
      <c r="O29" s="270">
        <f>'(2.2)_Forward_Price_Curve'!Z30</f>
        <v>3.1711514400000005</v>
      </c>
      <c r="Q29" s="28"/>
      <c r="S29" s="18">
        <f t="shared" ref="S29:S47" si="4">(I29*$G$11*1000+(K29+M29+O29+Q29)*G29)/1000</f>
        <v>10251.459568603919</v>
      </c>
      <c r="U29" s="18">
        <f t="shared" si="0"/>
        <v>12968.187852528488</v>
      </c>
      <c r="W29" s="18">
        <f t="shared" si="1"/>
        <v>-2716.728283924569</v>
      </c>
      <c r="Y29" s="271">
        <f t="shared" ref="Y29:Y47" si="5">+W29*1000/G29</f>
        <v>-16.827651047595481</v>
      </c>
      <c r="Z29" s="235"/>
      <c r="AB29" s="146">
        <f>+IF(AB28&gt;$G$13+$G$14,XX,AB28+1)</f>
        <v>2016</v>
      </c>
      <c r="AC29" s="117"/>
      <c r="AD29" s="151">
        <f t="shared" si="2"/>
        <v>161444.29642857163</v>
      </c>
      <c r="AF29" s="154">
        <f>AF28*(1+$E29)</f>
        <v>73.104401823778517</v>
      </c>
      <c r="AH29" s="154">
        <f>AH28*(1+$E29)</f>
        <v>8.0193666313585688</v>
      </c>
      <c r="AJ29" s="154">
        <f>AJ28*(1+$E29)</f>
        <v>2.7159396606858213</v>
      </c>
      <c r="AL29" s="153">
        <f t="shared" ref="AL29:AL47" si="6">((AF29+AH29)*$AF$11*1000+AJ29*AD29)/1000</f>
        <v>2530.2809859587655</v>
      </c>
      <c r="AN29" s="154">
        <f>INDEX('(2.2)_Forward_Price_Curve'!$J:$J,MATCH($AB29,'(2.2)_Forward_Price_Curve'!$C:$C,0),1)</f>
        <v>8.9541666666666657</v>
      </c>
      <c r="AP29" s="154">
        <f>AN29*$AF$14/1000+$AJ$14</f>
        <v>71.05512126054262</v>
      </c>
      <c r="AR29" s="154">
        <f>AR28*(1+$E29)</f>
        <v>3.2521211259842322</v>
      </c>
      <c r="AS29" s="154"/>
      <c r="AT29" s="153">
        <f t="shared" ref="AT29:AT47" si="7">AL29-BF29</f>
        <v>971.70738588832501</v>
      </c>
      <c r="AV29" s="153">
        <f t="shared" si="3"/>
        <v>11996.480466640163</v>
      </c>
      <c r="AW29" s="273"/>
      <c r="AX29" s="155">
        <f t="shared" ref="AX29:AX47" si="8">AT29+AV29</f>
        <v>12968.187852528488</v>
      </c>
      <c r="AZ29" s="146">
        <f>+IF(AZ28&gt;$G$13+$G$14,XX,AZ28+1)</f>
        <v>2016</v>
      </c>
      <c r="BA29" s="117"/>
      <c r="BB29" s="154">
        <f>BB28*(1+$E29)</f>
        <v>66.261981355396657</v>
      </c>
      <c r="BD29" s="154">
        <f>BD28*(1+$E29)</f>
        <v>11.161932942031243</v>
      </c>
      <c r="BF29" s="153">
        <f t="shared" ref="BF29:BF47" si="9">(BB29+BD29)*$BD$11</f>
        <v>1558.5736000704405</v>
      </c>
      <c r="BH29" s="157"/>
    </row>
    <row r="30" spans="1:60" ht="12">
      <c r="B30" s="2"/>
      <c r="C30">
        <f>+IF(C29&gt;$G$13+$G$14,XX,C29+1)</f>
        <v>2017</v>
      </c>
      <c r="E30" s="169">
        <f>+INDEX('(2.2)_Forward_Price_Curve'!$U:$U,MATCH($C30,'(2.2)_Forward_Price_Curve'!C:C,0))</f>
        <v>1.9E-2</v>
      </c>
      <c r="G30" s="18">
        <v>160888.30000000019</v>
      </c>
      <c r="I30" s="28">
        <f t="shared" ref="I30:I47" si="10">I29*(1+$E30)</f>
        <v>0</v>
      </c>
      <c r="K30" s="28">
        <v>60.327279878937979</v>
      </c>
      <c r="M30" s="28">
        <f t="shared" ref="M30:M46" si="11">M29*(1+$E30)</f>
        <v>0</v>
      </c>
      <c r="O30" s="270">
        <f>'(2.2)_Forward_Price_Curve'!Z31</f>
        <v>3.2282321659200006</v>
      </c>
      <c r="Q30" s="28"/>
      <c r="S30" s="18">
        <f t="shared" si="4"/>
        <v>10225.338288526737</v>
      </c>
      <c r="U30" s="18">
        <f t="shared" si="0"/>
        <v>13715.001634652737</v>
      </c>
      <c r="W30" s="18">
        <f t="shared" si="1"/>
        <v>-3489.6633461260008</v>
      </c>
      <c r="Y30" s="271">
        <f t="shared" si="5"/>
        <v>-21.689975878457268</v>
      </c>
      <c r="Z30" s="235"/>
      <c r="AB30" s="146">
        <f>+IF(AB29&gt;$G$13+$G$14,XX,AB29+1)</f>
        <v>2017</v>
      </c>
      <c r="AC30" s="117"/>
      <c r="AD30" s="151">
        <f t="shared" si="2"/>
        <v>160888.30000000019</v>
      </c>
      <c r="AF30" s="154">
        <f t="shared" ref="AF30:AF47" si="12">AF29*(1+$E30)</f>
        <v>74.493385458430296</v>
      </c>
      <c r="AH30" s="154">
        <f t="shared" ref="AH30:AH47" si="13">AH29*(1+$E30)</f>
        <v>8.17173459735438</v>
      </c>
      <c r="AJ30" s="154">
        <f t="shared" ref="AJ30:AJ47" si="14">AJ29*(1+$E30)</f>
        <v>2.7675425142388517</v>
      </c>
      <c r="AL30" s="153">
        <f t="shared" si="6"/>
        <v>2576.817580938146</v>
      </c>
      <c r="AN30" s="154">
        <f>INDEX('(2.2)_Forward_Price_Curve'!$J:$J,MATCH($AB30,'(2.2)_Forward_Price_Curve'!$C:$C,0),1)</f>
        <v>9.6420833333333338</v>
      </c>
      <c r="AP30" s="154">
        <f>AN30*$AF$14/1000+$AJ$14*(1+E30)</f>
        <v>75.786747552711702</v>
      </c>
      <c r="AR30" s="154">
        <f t="shared" ref="AR30:AR47" si="15">AR29*(1+$E30)</f>
        <v>3.3139114273779322</v>
      </c>
      <c r="AS30" s="154"/>
      <c r="AT30" s="153">
        <f t="shared" si="7"/>
        <v>988.63108246636716</v>
      </c>
      <c r="AV30" s="153">
        <f t="shared" si="3"/>
        <v>12726.37055218637</v>
      </c>
      <c r="AW30" s="273"/>
      <c r="AX30" s="155">
        <f t="shared" si="8"/>
        <v>13715.001634652737</v>
      </c>
      <c r="AZ30" s="146">
        <f>+IF(AZ29&gt;$G$13+$G$14,XX,AZ29+1)</f>
        <v>2017</v>
      </c>
      <c r="BA30" s="117"/>
      <c r="BB30" s="154">
        <f t="shared" ref="BB30:BB47" si="16">BB29*(1+$E30)</f>
        <v>67.52095900114918</v>
      </c>
      <c r="BD30" s="154">
        <f t="shared" ref="BD30:BD47" si="17">BD29*(1+$E30)</f>
        <v>11.374009667929835</v>
      </c>
      <c r="BF30" s="153">
        <f t="shared" si="9"/>
        <v>1588.1864984717788</v>
      </c>
      <c r="BH30" s="157"/>
    </row>
    <row r="31" spans="1:60" ht="12">
      <c r="B31" s="2"/>
      <c r="C31">
        <f>+IF(C30&gt;$G$13+$G$14,XX,C30+1)</f>
        <v>2018</v>
      </c>
      <c r="E31" s="169">
        <f>+INDEX('(2.2)_Forward_Price_Curve'!$U:$U,MATCH($C31,'(2.2)_Forward_Price_Curve'!C:C,0))</f>
        <v>1.9E-2</v>
      </c>
      <c r="G31" s="18">
        <v>160888.30000000019</v>
      </c>
      <c r="I31" s="28">
        <f t="shared" si="10"/>
        <v>0</v>
      </c>
      <c r="K31" s="28">
        <v>60.327279878937979</v>
      </c>
      <c r="M31" s="28">
        <f t="shared" si="11"/>
        <v>0</v>
      </c>
      <c r="O31" s="270">
        <f>'(2.2)_Forward_Price_Curve'!Z32</f>
        <v>3.2863403449065607</v>
      </c>
      <c r="Q31" s="28"/>
      <c r="S31" s="18">
        <f t="shared" si="4"/>
        <v>10234.68721465998</v>
      </c>
      <c r="U31" s="18">
        <f t="shared" si="0"/>
        <v>15492.510943245676</v>
      </c>
      <c r="W31" s="18">
        <f t="shared" si="1"/>
        <v>-5257.8237285856958</v>
      </c>
      <c r="Y31" s="271">
        <f t="shared" si="5"/>
        <v>-32.679963232787529</v>
      </c>
      <c r="Z31" s="235"/>
      <c r="AB31" s="146">
        <f>+IF(AB30&gt;$G$13+$G$14,XX,AB30+1)</f>
        <v>2018</v>
      </c>
      <c r="AC31" s="117"/>
      <c r="AD31" s="151">
        <f t="shared" si="2"/>
        <v>160888.30000000019</v>
      </c>
      <c r="AF31" s="154">
        <f t="shared" si="12"/>
        <v>75.908759782140464</v>
      </c>
      <c r="AH31" s="154">
        <f t="shared" si="13"/>
        <v>8.3269975547041124</v>
      </c>
      <c r="AJ31" s="154">
        <f t="shared" si="14"/>
        <v>2.8201258220093894</v>
      </c>
      <c r="AL31" s="153">
        <f t="shared" si="6"/>
        <v>2625.7771149759697</v>
      </c>
      <c r="AN31" s="154">
        <f>INDEX('(2.2)_Forward_Price_Curve'!$J:$J,MATCH($AB31,'(2.2)_Forward_Price_Curve'!$C:$C,0),1)</f>
        <v>11.30625</v>
      </c>
      <c r="AP31" s="154">
        <f>AN31*$AF$14/1000+$AJ$14*(1+E31)</f>
        <v>86.655127018987059</v>
      </c>
      <c r="AR31" s="154">
        <f t="shared" si="15"/>
        <v>3.3768757444981126</v>
      </c>
      <c r="AS31" s="154"/>
      <c r="AT31" s="153">
        <f t="shared" si="7"/>
        <v>1007.4150730332274</v>
      </c>
      <c r="AV31" s="153">
        <f t="shared" si="3"/>
        <v>14485.095870212448</v>
      </c>
      <c r="AW31" s="273"/>
      <c r="AX31" s="155">
        <f t="shared" si="8"/>
        <v>15492.510943245676</v>
      </c>
      <c r="AZ31" s="146">
        <f>+IF(AZ30&gt;$G$13+$G$14,XX,AZ30+1)</f>
        <v>2018</v>
      </c>
      <c r="BA31" s="117"/>
      <c r="BB31" s="154">
        <f t="shared" si="16"/>
        <v>68.803857222171004</v>
      </c>
      <c r="BD31" s="154">
        <f t="shared" si="17"/>
        <v>11.590115851620501</v>
      </c>
      <c r="BF31" s="153">
        <f t="shared" si="9"/>
        <v>1618.3620419427423</v>
      </c>
      <c r="BH31" s="157"/>
    </row>
    <row r="32" spans="1:60" ht="12">
      <c r="B32" s="2"/>
      <c r="C32">
        <f>+IF(C31&gt;$G$13+$G$14,XX,C31+1)</f>
        <v>2019</v>
      </c>
      <c r="E32" s="169">
        <f>+INDEX('(2.2)_Forward_Price_Curve'!$U:$U,MATCH($C32,'(2.2)_Forward_Price_Curve'!C:C,0))</f>
        <v>1.9E-2</v>
      </c>
      <c r="G32" s="18">
        <v>160888.30000000019</v>
      </c>
      <c r="I32" s="28">
        <f t="shared" si="10"/>
        <v>0</v>
      </c>
      <c r="K32" s="28">
        <v>60.327279878937979</v>
      </c>
      <c r="M32" s="28">
        <f t="shared" si="11"/>
        <v>0</v>
      </c>
      <c r="O32" s="270">
        <f>'(2.2)_Forward_Price_Curve'!Z33</f>
        <v>3.3454944711148786</v>
      </c>
      <c r="Q32" s="28"/>
      <c r="S32" s="18">
        <f t="shared" si="4"/>
        <v>10244.204421463623</v>
      </c>
      <c r="U32" s="18">
        <f t="shared" si="0"/>
        <v>15990.426391793791</v>
      </c>
      <c r="W32" s="18">
        <f t="shared" si="1"/>
        <v>-5746.2219703301689</v>
      </c>
      <c r="Y32" s="271">
        <f t="shared" si="5"/>
        <v>-35.715598774616687</v>
      </c>
      <c r="Z32" s="235"/>
      <c r="AB32" s="146">
        <f>+IF(AB31&gt;$G$13+$G$14,XX,AB31+1)</f>
        <v>2019</v>
      </c>
      <c r="AC32" s="117"/>
      <c r="AD32" s="151">
        <f t="shared" si="2"/>
        <v>160888.30000000019</v>
      </c>
      <c r="AF32" s="154">
        <f t="shared" si="12"/>
        <v>77.351026218001124</v>
      </c>
      <c r="AH32" s="154">
        <f t="shared" si="13"/>
        <v>8.4852105082434903</v>
      </c>
      <c r="AJ32" s="154">
        <f t="shared" si="14"/>
        <v>2.8737082126275677</v>
      </c>
      <c r="AL32" s="153">
        <f t="shared" si="6"/>
        <v>2675.6668801605133</v>
      </c>
      <c r="AN32" s="154">
        <f>INDEX('(2.2)_Forward_Price_Curve'!$J:$J,MATCH($AB32,'(2.2)_Forward_Price_Curve'!$C:$C,0),1)</f>
        <v>11.752083333333331</v>
      </c>
      <c r="AP32" s="154">
        <f t="shared" ref="AP32:AP47" si="18">AN32*$AF$14/1000+$AJ$14*(1+E32)</f>
        <v>89.566786014709294</v>
      </c>
      <c r="AR32" s="154">
        <f t="shared" si="15"/>
        <v>3.4410363836435764</v>
      </c>
      <c r="AS32" s="154"/>
      <c r="AT32" s="153">
        <f t="shared" si="7"/>
        <v>1026.5559594208594</v>
      </c>
      <c r="AV32" s="153">
        <f t="shared" si="3"/>
        <v>14963.870432372933</v>
      </c>
      <c r="AW32" s="273"/>
      <c r="AX32" s="155">
        <f t="shared" si="8"/>
        <v>15990.426391793791</v>
      </c>
      <c r="AZ32" s="146">
        <f>+IF(AZ31&gt;$G$13+$G$14,XX,AZ31+1)</f>
        <v>2019</v>
      </c>
      <c r="BA32" s="117"/>
      <c r="BB32" s="154">
        <f t="shared" si="16"/>
        <v>70.11113050939224</v>
      </c>
      <c r="BD32" s="154">
        <f t="shared" si="17"/>
        <v>11.810328052801289</v>
      </c>
      <c r="BF32" s="153">
        <f t="shared" si="9"/>
        <v>1649.1109207396539</v>
      </c>
      <c r="BH32" s="157"/>
    </row>
    <row r="33" spans="2:60" ht="12">
      <c r="B33" s="2"/>
      <c r="C33">
        <f>+IF(C32&gt;$G$13+$G$14,XX,C32+1)</f>
        <v>2020</v>
      </c>
      <c r="E33" s="169">
        <f>+INDEX('(2.2)_Forward_Price_Curve'!$U:$U,MATCH($C33,'(2.2)_Forward_Price_Curve'!C:C,0))</f>
        <v>1.9E-2</v>
      </c>
      <c r="G33" s="18">
        <v>161444.29642857163</v>
      </c>
      <c r="I33" s="28">
        <f t="shared" si="10"/>
        <v>0</v>
      </c>
      <c r="K33" s="28">
        <v>60.327279878937979</v>
      </c>
      <c r="M33" s="28">
        <f t="shared" si="11"/>
        <v>0</v>
      </c>
      <c r="O33" s="270">
        <f>'(2.2)_Forward_Price_Curve'!Z34</f>
        <v>3.4057133715949464</v>
      </c>
      <c r="Q33" s="28"/>
      <c r="S33" s="18">
        <f t="shared" si="4"/>
        <v>10289.328254619193</v>
      </c>
      <c r="U33" s="18">
        <f t="shared" si="0"/>
        <v>15780.361557110287</v>
      </c>
      <c r="W33" s="18">
        <f t="shared" si="1"/>
        <v>-5491.0333024910942</v>
      </c>
      <c r="Y33" s="271">
        <f t="shared" si="5"/>
        <v>-34.01193739241517</v>
      </c>
      <c r="Z33" s="235"/>
      <c r="AB33" s="146">
        <f>+IF(AB32&gt;$G$13+$G$14,XX,AB32+1)</f>
        <v>2020</v>
      </c>
      <c r="AC33" s="117"/>
      <c r="AD33" s="151">
        <f t="shared" si="2"/>
        <v>161444.29642857163</v>
      </c>
      <c r="AF33" s="154">
        <f t="shared" si="12"/>
        <v>78.820695716143135</v>
      </c>
      <c r="AH33" s="154">
        <f t="shared" si="13"/>
        <v>8.6464295079001161</v>
      </c>
      <c r="AJ33" s="154">
        <f t="shared" si="14"/>
        <v>2.9283086686674911</v>
      </c>
      <c r="AL33" s="153">
        <f t="shared" si="6"/>
        <v>2728.132680045097</v>
      </c>
      <c r="AN33" s="154">
        <f>INDEX('(2.2)_Forward_Price_Curve'!$J:$J,MATCH($AB33,'(2.2)_Forward_Price_Curve'!$C:$C,0),1)</f>
        <v>11.473750000000003</v>
      </c>
      <c r="AP33" s="154">
        <f>AN33*$AF$14/1000+$AJ$14*(1+E33)</f>
        <v>87.749040024856555</v>
      </c>
      <c r="AR33" s="154">
        <f t="shared" si="15"/>
        <v>3.5064160749328042</v>
      </c>
      <c r="AS33" s="154"/>
      <c r="AT33" s="153">
        <f t="shared" si="7"/>
        <v>1047.6886518113897</v>
      </c>
      <c r="AV33" s="153">
        <f t="shared" si="3"/>
        <v>14732.672905298898</v>
      </c>
      <c r="AW33" s="273"/>
      <c r="AX33" s="155">
        <f t="shared" si="8"/>
        <v>15780.361557110287</v>
      </c>
      <c r="AZ33" s="146">
        <f>+IF(AZ32&gt;$G$13+$G$14,XX,AZ32+1)</f>
        <v>2020</v>
      </c>
      <c r="BA33" s="117"/>
      <c r="BB33" s="154">
        <f t="shared" si="16"/>
        <v>71.443241989070685</v>
      </c>
      <c r="BD33" s="154">
        <f t="shared" si="17"/>
        <v>12.034724285804511</v>
      </c>
      <c r="BF33" s="153">
        <f t="shared" si="9"/>
        <v>1680.4440282337073</v>
      </c>
      <c r="BH33" s="157"/>
    </row>
    <row r="34" spans="2:60" ht="12">
      <c r="B34" s="2"/>
      <c r="C34">
        <f>+IF(C33&gt;$G$13+$G$14,XX,C33+1)</f>
        <v>2021</v>
      </c>
      <c r="E34" s="169">
        <f>+INDEX('(2.2)_Forward_Price_Curve'!$U:$U,MATCH($C34,'(2.2)_Forward_Price_Curve'!C:C,0))</f>
        <v>1.7999999999999999E-2</v>
      </c>
      <c r="G34" s="18">
        <v>160888.30000000019</v>
      </c>
      <c r="I34" s="28">
        <f t="shared" si="10"/>
        <v>0</v>
      </c>
      <c r="K34" s="28">
        <v>60.327279878937979</v>
      </c>
      <c r="M34" s="28">
        <f t="shared" si="11"/>
        <v>0</v>
      </c>
      <c r="O34" s="270">
        <f>'(2.2)_Forward_Price_Curve'!Z35</f>
        <v>3.4670162122836556</v>
      </c>
      <c r="Q34" s="28"/>
      <c r="S34" s="18">
        <f t="shared" si="4"/>
        <v>10263.755847813307</v>
      </c>
      <c r="U34" s="18">
        <f t="shared" si="0"/>
        <v>15984.365928305873</v>
      </c>
      <c r="W34" s="18">
        <f t="shared" si="1"/>
        <v>-5720.6100804925663</v>
      </c>
      <c r="Y34" s="271">
        <f t="shared" si="5"/>
        <v>-35.556408268920485</v>
      </c>
      <c r="Z34" s="235"/>
      <c r="AB34" s="146">
        <f>+IF(AB33&gt;$G$13+$G$14,XX,AB33+1)</f>
        <v>2021</v>
      </c>
      <c r="AC34" s="117"/>
      <c r="AD34" s="151">
        <f t="shared" si="2"/>
        <v>160888.30000000019</v>
      </c>
      <c r="AF34" s="154">
        <f t="shared" si="12"/>
        <v>80.239468239033712</v>
      </c>
      <c r="AH34" s="154">
        <f t="shared" si="13"/>
        <v>8.8020652390423191</v>
      </c>
      <c r="AJ34" s="154">
        <f t="shared" si="14"/>
        <v>2.9810182247035057</v>
      </c>
      <c r="AL34" s="153">
        <f t="shared" si="6"/>
        <v>2775.5816327994671</v>
      </c>
      <c r="AN34" s="154">
        <f>INDEX('(2.2)_Forward_Price_Curve'!$J:$J,MATCH($AB34,'(2.2)_Forward_Price_Curve'!$C:$C,0),1)</f>
        <v>11.692083333333334</v>
      </c>
      <c r="AP34" s="154">
        <f t="shared" si="18"/>
        <v>89.162359544321731</v>
      </c>
      <c r="AR34" s="154">
        <f t="shared" si="15"/>
        <v>3.5695315642815948</v>
      </c>
      <c r="AS34" s="154"/>
      <c r="AT34" s="153">
        <f t="shared" si="7"/>
        <v>1064.8896120575528</v>
      </c>
      <c r="AV34" s="153">
        <f t="shared" si="3"/>
        <v>14919.476316248321</v>
      </c>
      <c r="AW34" s="273"/>
      <c r="AX34" s="155">
        <f t="shared" si="8"/>
        <v>15984.365928305873</v>
      </c>
      <c r="AZ34" s="146">
        <f>+IF(AZ33&gt;$G$13+$G$14,XX,AZ33+1)</f>
        <v>2021</v>
      </c>
      <c r="BA34" s="117"/>
      <c r="BB34" s="154">
        <f t="shared" si="16"/>
        <v>72.729220344873966</v>
      </c>
      <c r="BD34" s="154">
        <f t="shared" si="17"/>
        <v>12.251349322948993</v>
      </c>
      <c r="BF34" s="153">
        <f t="shared" si="9"/>
        <v>1710.6920207419143</v>
      </c>
      <c r="BH34" s="157"/>
    </row>
    <row r="35" spans="2:60" ht="12">
      <c r="B35" s="2"/>
      <c r="C35">
        <f>+IF(C34&gt;$G$13+$G$14,XX,C34+1)</f>
        <v>2022</v>
      </c>
      <c r="E35" s="169">
        <f>+INDEX('(2.2)_Forward_Price_Curve'!$U:$U,MATCH($C35,'(2.2)_Forward_Price_Curve'!C:C,0))</f>
        <v>1.7999999999999999E-2</v>
      </c>
      <c r="G35" s="18">
        <v>160888.30000000019</v>
      </c>
      <c r="I35" s="28">
        <f t="shared" si="10"/>
        <v>0</v>
      </c>
      <c r="K35" s="28">
        <v>60.327279878937979</v>
      </c>
      <c r="M35" s="28">
        <f t="shared" si="11"/>
        <v>0</v>
      </c>
      <c r="O35" s="270">
        <f>'(2.2)_Forward_Price_Curve'!Z36</f>
        <v>3.532889520317045</v>
      </c>
      <c r="Q35" s="28"/>
      <c r="S35" s="18">
        <f t="shared" si="4"/>
        <v>10274.354092358173</v>
      </c>
      <c r="U35" s="18">
        <f t="shared" si="0"/>
        <v>16245.908172485546</v>
      </c>
      <c r="W35" s="18">
        <f t="shared" si="1"/>
        <v>-5971.5540801273728</v>
      </c>
      <c r="Y35" s="271">
        <f t="shared" si="5"/>
        <v>-37.116148782275438</v>
      </c>
      <c r="Z35" s="235"/>
      <c r="AB35" s="146">
        <f>+IF(AB34&gt;$G$13+$G$14,XX,AB34+1)</f>
        <v>2022</v>
      </c>
      <c r="AC35" s="117"/>
      <c r="AD35" s="151">
        <f t="shared" si="2"/>
        <v>160888.30000000019</v>
      </c>
      <c r="AF35" s="154">
        <f t="shared" si="12"/>
        <v>81.683778667336327</v>
      </c>
      <c r="AH35" s="154">
        <f t="shared" si="13"/>
        <v>8.9605024133450808</v>
      </c>
      <c r="AJ35" s="154">
        <f t="shared" si="14"/>
        <v>3.0346765527481687</v>
      </c>
      <c r="AL35" s="153">
        <f t="shared" si="6"/>
        <v>2825.5421021898574</v>
      </c>
      <c r="AN35" s="154">
        <f>INDEX('(2.2)_Forward_Price_Curve'!$J:$J,MATCH($AB35,'(2.2)_Forward_Price_Curve'!$C:$C,0),1)</f>
        <v>11.912916666666668</v>
      </c>
      <c r="AP35" s="154">
        <f t="shared" si="18"/>
        <v>90.604583159025282</v>
      </c>
      <c r="AR35" s="154">
        <f t="shared" si="15"/>
        <v>3.6337831324386634</v>
      </c>
      <c r="AS35" s="154"/>
      <c r="AT35" s="153">
        <f t="shared" si="7"/>
        <v>1084.0576250745887</v>
      </c>
      <c r="AV35" s="153">
        <f t="shared" si="3"/>
        <v>15161.850547410957</v>
      </c>
      <c r="AW35" s="273"/>
      <c r="AX35" s="155">
        <f t="shared" si="8"/>
        <v>16245.908172485546</v>
      </c>
      <c r="AZ35" s="146">
        <f>+IF(AZ34&gt;$G$13+$G$14,XX,AZ34+1)</f>
        <v>2022</v>
      </c>
      <c r="BA35" s="117"/>
      <c r="BB35" s="154">
        <f t="shared" si="16"/>
        <v>74.038346311081696</v>
      </c>
      <c r="BD35" s="154">
        <f t="shared" si="17"/>
        <v>12.471873610762076</v>
      </c>
      <c r="BF35" s="153">
        <f t="shared" si="9"/>
        <v>1741.4844771152686</v>
      </c>
      <c r="BH35" s="157"/>
    </row>
    <row r="36" spans="2:60" ht="12">
      <c r="B36" s="2"/>
      <c r="C36">
        <f>+IF(C35&gt;$G$13+$G$14,XX,C35+1)</f>
        <v>2023</v>
      </c>
      <c r="E36" s="169">
        <f>+INDEX('(2.2)_Forward_Price_Curve'!$U:$U,MATCH($C36,'(2.2)_Forward_Price_Curve'!C:C,0))</f>
        <v>1.9E-2</v>
      </c>
      <c r="G36" s="18">
        <v>160888.30000000019</v>
      </c>
      <c r="I36" s="28">
        <f t="shared" si="10"/>
        <v>0</v>
      </c>
      <c r="K36" s="28">
        <v>60.327279878937979</v>
      </c>
      <c r="M36" s="28">
        <f t="shared" si="11"/>
        <v>0</v>
      </c>
      <c r="O36" s="270">
        <f>'(2.2)_Forward_Price_Curve'!Z37</f>
        <v>3.6000144212030687</v>
      </c>
      <c r="Q36" s="28"/>
      <c r="S36" s="18">
        <f t="shared" si="4"/>
        <v>10285.153703549397</v>
      </c>
      <c r="U36" s="18">
        <f t="shared" si="0"/>
        <v>16517.365172697308</v>
      </c>
      <c r="W36" s="18">
        <f t="shared" si="1"/>
        <v>-6232.211469147911</v>
      </c>
      <c r="Y36" s="271">
        <f t="shared" si="5"/>
        <v>-38.736262793179513</v>
      </c>
      <c r="Z36" s="235"/>
      <c r="AB36" s="146">
        <f>+IF(AB35&gt;$G$13+$G$14,XX,AB35+1)</f>
        <v>2023</v>
      </c>
      <c r="AC36" s="117"/>
      <c r="AD36" s="151">
        <f t="shared" si="2"/>
        <v>160888.30000000019</v>
      </c>
      <c r="AF36" s="154">
        <f t="shared" si="12"/>
        <v>83.235770462015708</v>
      </c>
      <c r="AH36" s="154">
        <f t="shared" si="13"/>
        <v>9.130751959198637</v>
      </c>
      <c r="AJ36" s="154">
        <f t="shared" si="14"/>
        <v>3.0923354072503835</v>
      </c>
      <c r="AL36" s="153">
        <f t="shared" si="6"/>
        <v>2879.2274021314643</v>
      </c>
      <c r="AN36" s="154">
        <f>INDEX('(2.2)_Forward_Price_Curve'!$J:$J,MATCH($AB36,'(2.2)_Forward_Price_Curve'!$C:$C,0),1)</f>
        <v>12.139166666666668</v>
      </c>
      <c r="AP36" s="154">
        <f t="shared" si="18"/>
        <v>92.094759105387794</v>
      </c>
      <c r="AR36" s="154">
        <f t="shared" si="15"/>
        <v>3.7028250119549977</v>
      </c>
      <c r="AS36" s="154"/>
      <c r="AT36" s="153">
        <f t="shared" si="7"/>
        <v>1104.6547199510055</v>
      </c>
      <c r="AV36" s="153">
        <f t="shared" si="3"/>
        <v>15412.710452746302</v>
      </c>
      <c r="AW36" s="273"/>
      <c r="AX36" s="155">
        <f t="shared" si="8"/>
        <v>16517.365172697308</v>
      </c>
      <c r="AZ36" s="146">
        <f>+IF(AZ35&gt;$G$13+$G$14,XX,AZ35+1)</f>
        <v>2023</v>
      </c>
      <c r="BA36" s="117"/>
      <c r="BB36" s="154">
        <f t="shared" si="16"/>
        <v>75.445074890992245</v>
      </c>
      <c r="BD36" s="154">
        <f t="shared" si="17"/>
        <v>12.708839209366554</v>
      </c>
      <c r="BF36" s="153">
        <f t="shared" si="9"/>
        <v>1774.5726821804587</v>
      </c>
      <c r="BH36" s="157"/>
    </row>
    <row r="37" spans="2:60" ht="12">
      <c r="B37" s="2"/>
      <c r="C37">
        <f>+IF(C36&gt;$G$13+$G$14,XX,C36+1)</f>
        <v>2024</v>
      </c>
      <c r="E37" s="169">
        <f>+INDEX('(2.2)_Forward_Price_Curve'!$U:$U,MATCH($C37,'(2.2)_Forward_Price_Curve'!C:C,0))</f>
        <v>1.9E-2</v>
      </c>
      <c r="G37" s="18">
        <v>161444.29642857163</v>
      </c>
      <c r="I37" s="28">
        <f t="shared" si="10"/>
        <v>0</v>
      </c>
      <c r="K37" s="28">
        <v>60.327279878937979</v>
      </c>
      <c r="M37" s="28">
        <f t="shared" si="11"/>
        <v>0</v>
      </c>
      <c r="O37" s="270">
        <f>'(2.2)_Forward_Price_Curve'!Z38</f>
        <v>3.6684146952059264</v>
      </c>
      <c r="Q37" s="28"/>
      <c r="S37" s="18">
        <f t="shared" si="4"/>
        <v>10331.739884980421</v>
      </c>
      <c r="U37" s="18">
        <f t="shared" si="0"/>
        <v>16849.427296103659</v>
      </c>
      <c r="W37" s="18">
        <f t="shared" si="1"/>
        <v>-6517.6874111232373</v>
      </c>
      <c r="Y37" s="271">
        <f t="shared" si="5"/>
        <v>-40.371122147426753</v>
      </c>
      <c r="Z37" s="235"/>
      <c r="AB37" s="146">
        <f>+IF(AB36&gt;$G$13+$G$14,XX,AB36+1)</f>
        <v>2024</v>
      </c>
      <c r="AC37" s="117"/>
      <c r="AD37" s="151">
        <f t="shared" si="2"/>
        <v>161444.29642857163</v>
      </c>
      <c r="AF37" s="154">
        <f t="shared" si="12"/>
        <v>84.817250100793999</v>
      </c>
      <c r="AH37" s="154">
        <f t="shared" si="13"/>
        <v>9.304236246423411</v>
      </c>
      <c r="AJ37" s="154">
        <f t="shared" si="14"/>
        <v>3.1510897799881405</v>
      </c>
      <c r="AL37" s="153">
        <f t="shared" si="6"/>
        <v>2935.6847174357436</v>
      </c>
      <c r="AN37" s="154">
        <f>INDEX('(2.2)_Forward_Price_Curve'!$J:$J,MATCH($AB37,'(2.2)_Forward_Price_Curve'!$C:$C,0),1)</f>
        <v>12.371250000000002</v>
      </c>
      <c r="AP37" s="154">
        <f t="shared" si="18"/>
        <v>93.610454489142285</v>
      </c>
      <c r="AR37" s="154">
        <f t="shared" si="15"/>
        <v>3.7731786871821424</v>
      </c>
      <c r="AS37" s="154"/>
      <c r="AT37" s="153">
        <f t="shared" si="7"/>
        <v>1127.3951542938564</v>
      </c>
      <c r="AV37" s="153">
        <f t="shared" si="3"/>
        <v>15722.032141809803</v>
      </c>
      <c r="AW37" s="273"/>
      <c r="AX37" s="155">
        <f t="shared" si="8"/>
        <v>16849.427296103659</v>
      </c>
      <c r="AZ37" s="146">
        <f>+IF(AZ36&gt;$G$13+$G$14,XX,AZ36+1)</f>
        <v>2024</v>
      </c>
      <c r="BA37" s="117"/>
      <c r="BB37" s="154">
        <f t="shared" si="16"/>
        <v>76.878531313921087</v>
      </c>
      <c r="BD37" s="154">
        <f t="shared" si="17"/>
        <v>12.950307154344516</v>
      </c>
      <c r="BF37" s="153">
        <f t="shared" si="9"/>
        <v>1808.2895631418871</v>
      </c>
      <c r="BH37" s="157"/>
    </row>
    <row r="38" spans="2:60" ht="12">
      <c r="B38" s="2"/>
      <c r="C38">
        <f>+IF(C37&gt;$G$13+$G$14,XX,C37+1)</f>
        <v>2025</v>
      </c>
      <c r="E38" s="169">
        <f>+INDEX('(2.2)_Forward_Price_Curve'!$U:$U,MATCH($C38,'(2.2)_Forward_Price_Curve'!C:C,0))</f>
        <v>1.9E-2</v>
      </c>
      <c r="G38" s="18">
        <v>160888.30000000019</v>
      </c>
      <c r="I38" s="28">
        <f t="shared" si="10"/>
        <v>0</v>
      </c>
      <c r="K38" s="28">
        <v>60.327279878937979</v>
      </c>
      <c r="M38" s="28">
        <f t="shared" si="11"/>
        <v>0</v>
      </c>
      <c r="O38" s="270">
        <f>'(2.2)_Forward_Price_Curve'!Z39</f>
        <v>3.7381145744148387</v>
      </c>
      <c r="Q38" s="28"/>
      <c r="S38" s="18">
        <f t="shared" si="4"/>
        <v>10307.372402429377</v>
      </c>
      <c r="U38" s="18">
        <f t="shared" si="0"/>
        <v>17059.364231566458</v>
      </c>
      <c r="W38" s="18">
        <f t="shared" si="1"/>
        <v>-6751.9918291370814</v>
      </c>
      <c r="Y38" s="271">
        <f t="shared" si="5"/>
        <v>-41.966953651303875</v>
      </c>
      <c r="Z38" s="235"/>
      <c r="AB38" s="146">
        <f>+IF(AB37&gt;$G$13+$G$14,XX,AB37+1)</f>
        <v>2025</v>
      </c>
      <c r="AC38" s="117"/>
      <c r="AD38" s="151">
        <f t="shared" si="2"/>
        <v>160888.30000000019</v>
      </c>
      <c r="AF38" s="154">
        <f t="shared" si="12"/>
        <v>86.428777852709075</v>
      </c>
      <c r="AH38" s="154">
        <f t="shared" si="13"/>
        <v>9.4810167351054542</v>
      </c>
      <c r="AJ38" s="154">
        <f t="shared" si="14"/>
        <v>3.2109604858079148</v>
      </c>
      <c r="AL38" s="153">
        <f t="shared" si="6"/>
        <v>2989.6774445046294</v>
      </c>
      <c r="AN38" s="154">
        <f>INDEX('(2.2)_Forward_Price_Curve'!$J:$J,MATCH($AB38,'(2.2)_Forward_Price_Curve'!$C:$C,0),1)</f>
        <v>12.592916666666667</v>
      </c>
      <c r="AP38" s="154">
        <f t="shared" si="18"/>
        <v>95.058120457108828</v>
      </c>
      <c r="AR38" s="154">
        <f t="shared" si="15"/>
        <v>3.8448690822386027</v>
      </c>
      <c r="AS38" s="154"/>
      <c r="AT38" s="153">
        <f t="shared" si="7"/>
        <v>1147.0303796630462</v>
      </c>
      <c r="AV38" s="153">
        <f t="shared" si="3"/>
        <v>15912.333851903411</v>
      </c>
      <c r="AW38" s="273"/>
      <c r="AX38" s="155">
        <f t="shared" si="8"/>
        <v>17059.364231566458</v>
      </c>
      <c r="AZ38" s="146">
        <f>+IF(AZ37&gt;$G$13+$G$14,XX,AZ37+1)</f>
        <v>2025</v>
      </c>
      <c r="BA38" s="117"/>
      <c r="BB38" s="154">
        <f t="shared" si="16"/>
        <v>78.339223408885587</v>
      </c>
      <c r="BD38" s="154">
        <f t="shared" si="17"/>
        <v>13.196362990277061</v>
      </c>
      <c r="BF38" s="153">
        <f t="shared" si="9"/>
        <v>1842.6470648415832</v>
      </c>
      <c r="BH38" s="157"/>
    </row>
    <row r="39" spans="2:60" ht="12">
      <c r="B39" s="2"/>
      <c r="C39">
        <f>+IF(C38&gt;$G$13+$G$14,XX,C38+1)</f>
        <v>2026</v>
      </c>
      <c r="E39" s="169">
        <f>+INDEX('(2.2)_Forward_Price_Curve'!$U:$U,MATCH($C39,'(2.2)_Forward_Price_Curve'!C:C,0))</f>
        <v>1.9E-2</v>
      </c>
      <c r="G39" s="18">
        <v>160888.30000000019</v>
      </c>
      <c r="I39" s="28">
        <f t="shared" si="10"/>
        <v>0</v>
      </c>
      <c r="K39" s="28">
        <v>60.327279878937979</v>
      </c>
      <c r="M39" s="28">
        <f t="shared" si="11"/>
        <v>0</v>
      </c>
      <c r="O39" s="270">
        <f>'(2.2)_Forward_Price_Curve'!Z40</f>
        <v>3.8091387513287205</v>
      </c>
      <c r="Q39" s="28"/>
      <c r="S39" s="18">
        <f t="shared" si="4"/>
        <v>10318.799361511952</v>
      </c>
      <c r="U39" s="18">
        <f t="shared" si="0"/>
        <v>17330.639480195656</v>
      </c>
      <c r="W39" s="18">
        <f t="shared" si="1"/>
        <v>-7011.8401186837036</v>
      </c>
      <c r="Y39" s="271">
        <f t="shared" si="5"/>
        <v>-43.582038710606646</v>
      </c>
      <c r="Z39" s="235"/>
      <c r="AB39" s="146">
        <f>+IF(AB38&gt;$G$13+$G$14,XX,AB38+1)</f>
        <v>2026</v>
      </c>
      <c r="AC39" s="117"/>
      <c r="AD39" s="151">
        <f t="shared" si="2"/>
        <v>160888.30000000019</v>
      </c>
      <c r="AF39" s="154">
        <f t="shared" si="12"/>
        <v>88.070924631910543</v>
      </c>
      <c r="AH39" s="154">
        <f t="shared" si="13"/>
        <v>9.6611560530724567</v>
      </c>
      <c r="AJ39" s="154">
        <f t="shared" si="14"/>
        <v>3.2719687350382647</v>
      </c>
      <c r="AL39" s="153">
        <f t="shared" si="6"/>
        <v>3046.4813159502169</v>
      </c>
      <c r="AN39" s="154">
        <f>INDEX('(2.2)_Forward_Price_Curve'!$J:$J,MATCH($AB39,'(2.2)_Forward_Price_Curve'!$C:$C,0),1)</f>
        <v>12.819166666666668</v>
      </c>
      <c r="AP39" s="154">
        <f t="shared" si="18"/>
        <v>96.535719368022086</v>
      </c>
      <c r="AR39" s="154">
        <f t="shared" si="15"/>
        <v>3.9179215948011357</v>
      </c>
      <c r="AS39" s="154"/>
      <c r="AT39" s="153">
        <f t="shared" si="7"/>
        <v>1168.8239568766442</v>
      </c>
      <c r="AV39" s="153">
        <f t="shared" si="3"/>
        <v>16161.81552331901</v>
      </c>
      <c r="AW39" s="273"/>
      <c r="AX39" s="155">
        <f t="shared" si="8"/>
        <v>17330.639480195656</v>
      </c>
      <c r="AZ39" s="146">
        <f>+IF(AZ38&gt;$G$13+$G$14,XX,AZ38+1)</f>
        <v>2026</v>
      </c>
      <c r="BA39" s="117"/>
      <c r="BB39" s="154">
        <f t="shared" si="16"/>
        <v>79.827668653654399</v>
      </c>
      <c r="BD39" s="154">
        <f t="shared" si="17"/>
        <v>13.447093887092324</v>
      </c>
      <c r="BF39" s="153">
        <f t="shared" si="9"/>
        <v>1877.6573590735727</v>
      </c>
      <c r="BH39" s="157"/>
    </row>
    <row r="40" spans="2:60" ht="12">
      <c r="B40" s="2"/>
      <c r="C40">
        <f>+IF(C39&gt;$G$13+$G$14,XX,C39+1)</f>
        <v>2027</v>
      </c>
      <c r="E40" s="169">
        <f>+INDEX('(2.2)_Forward_Price_Curve'!$U:$U,MATCH($C40,'(2.2)_Forward_Price_Curve'!C:C,0))</f>
        <v>1.9E-2</v>
      </c>
      <c r="G40" s="18">
        <v>160888.30000000019</v>
      </c>
      <c r="I40" s="28">
        <f t="shared" si="10"/>
        <v>0</v>
      </c>
      <c r="K40" s="28">
        <v>60.327279878937979</v>
      </c>
      <c r="M40" s="28">
        <f t="shared" si="11"/>
        <v>0</v>
      </c>
      <c r="O40" s="270">
        <f>'(2.2)_Forward_Price_Curve'!Z41</f>
        <v>3.8815123876039657</v>
      </c>
      <c r="Q40" s="28"/>
      <c r="S40" s="18">
        <f t="shared" si="4"/>
        <v>10330.443432817094</v>
      </c>
      <c r="U40" s="18">
        <f t="shared" si="0"/>
        <v>17621.815560607243</v>
      </c>
      <c r="W40" s="18">
        <f t="shared" si="1"/>
        <v>-7291.3721277901495</v>
      </c>
      <c r="Y40" s="271">
        <f t="shared" si="5"/>
        <v>-45.319467778515531</v>
      </c>
      <c r="Z40" s="235"/>
      <c r="AB40" s="146">
        <f>+IF(AB39&gt;$G$13+$G$14,XX,AB39+1)</f>
        <v>2027</v>
      </c>
      <c r="AC40" s="117"/>
      <c r="AD40" s="151">
        <f t="shared" si="2"/>
        <v>160888.30000000019</v>
      </c>
      <c r="AF40" s="154">
        <f t="shared" si="12"/>
        <v>89.744272199916836</v>
      </c>
      <c r="AH40" s="154">
        <f t="shared" si="13"/>
        <v>9.8447180180808331</v>
      </c>
      <c r="AJ40" s="154">
        <f t="shared" si="14"/>
        <v>3.3341361410039916</v>
      </c>
      <c r="AL40" s="153">
        <f t="shared" si="6"/>
        <v>3104.3644609532707</v>
      </c>
      <c r="AN40" s="154">
        <f>INDEX('(2.2)_Forward_Price_Curve'!$J:$J,MATCH($AB40,'(2.2)_Forward_Price_Curve'!$C:$C,0),1)</f>
        <v>13.063749999999999</v>
      </c>
      <c r="AP40" s="154">
        <f t="shared" si="18"/>
        <v>98.133050050722034</v>
      </c>
      <c r="AR40" s="154">
        <f t="shared" si="15"/>
        <v>3.992362105102357</v>
      </c>
      <c r="AS40" s="154"/>
      <c r="AT40" s="153">
        <f t="shared" si="7"/>
        <v>1191.0316120573002</v>
      </c>
      <c r="AV40" s="153">
        <f t="shared" si="3"/>
        <v>16430.783948549943</v>
      </c>
      <c r="AW40" s="273"/>
      <c r="AX40" s="155">
        <f t="shared" si="8"/>
        <v>17621.815560607243</v>
      </c>
      <c r="AZ40" s="146">
        <f>+IF(AZ39&gt;$G$13+$G$14,XX,AZ39+1)</f>
        <v>2027</v>
      </c>
      <c r="BA40" s="117"/>
      <c r="BB40" s="154">
        <f t="shared" si="16"/>
        <v>81.344394358073828</v>
      </c>
      <c r="BD40" s="154">
        <f t="shared" si="17"/>
        <v>13.702588670947076</v>
      </c>
      <c r="BF40" s="153">
        <f t="shared" si="9"/>
        <v>1913.3328488959705</v>
      </c>
      <c r="BH40" s="157"/>
    </row>
    <row r="41" spans="2:60" ht="12">
      <c r="B41" s="2"/>
      <c r="C41">
        <f>+IF(C40&gt;$G$13+$G$14,XX,C40+1)</f>
        <v>2028</v>
      </c>
      <c r="E41" s="169">
        <f>+INDEX('(2.2)_Forward_Price_Curve'!$U:$U,MATCH($C41,'(2.2)_Forward_Price_Curve'!C:C,0))</f>
        <v>1.9E-2</v>
      </c>
      <c r="G41" s="18">
        <v>161444.29642857163</v>
      </c>
      <c r="I41" s="28">
        <f t="shared" si="10"/>
        <v>0</v>
      </c>
      <c r="K41" s="28">
        <v>60.327279878937979</v>
      </c>
      <c r="M41" s="28">
        <f t="shared" si="11"/>
        <v>0</v>
      </c>
      <c r="O41" s="270">
        <f>'(2.2)_Forward_Price_Curve'!Z42</f>
        <v>3.9552611229684405</v>
      </c>
      <c r="Q41" s="28"/>
      <c r="S41" s="18">
        <f t="shared" si="4"/>
        <v>10378.04960469359</v>
      </c>
      <c r="U41" s="18">
        <f t="shared" si="0"/>
        <v>17976.756328573985</v>
      </c>
      <c r="W41" s="18">
        <f t="shared" si="1"/>
        <v>-7598.7067238803957</v>
      </c>
      <c r="Y41" s="271">
        <f t="shared" si="5"/>
        <v>-47.067049700590182</v>
      </c>
      <c r="Z41" s="235"/>
      <c r="AB41" s="146">
        <f>+IF(AB40&gt;$G$13+$G$14,XX,AB40+1)</f>
        <v>2028</v>
      </c>
      <c r="AC41" s="117"/>
      <c r="AD41" s="151">
        <f t="shared" si="2"/>
        <v>161444.29642857163</v>
      </c>
      <c r="AF41" s="154">
        <f t="shared" si="12"/>
        <v>91.449413371715252</v>
      </c>
      <c r="AH41" s="154">
        <f t="shared" si="13"/>
        <v>10.031767660424368</v>
      </c>
      <c r="AJ41" s="154">
        <f t="shared" si="14"/>
        <v>3.3974847276830671</v>
      </c>
      <c r="AL41" s="153">
        <f t="shared" si="6"/>
        <v>3165.2363750861005</v>
      </c>
      <c r="AN41" s="154">
        <f>INDEX('(2.2)_Forward_Price_Curve'!$J:$J,MATCH($AB41,'(2.2)_Forward_Price_Curve'!$C:$C,0),1)</f>
        <v>13.311666666666667</v>
      </c>
      <c r="AP41" s="154">
        <f t="shared" si="18"/>
        <v>99.75215014647415</v>
      </c>
      <c r="AR41" s="154">
        <f t="shared" si="15"/>
        <v>4.0682169850993013</v>
      </c>
      <c r="AS41" s="154"/>
      <c r="AT41" s="153">
        <f t="shared" si="7"/>
        <v>1215.5502020611068</v>
      </c>
      <c r="AV41" s="153">
        <f t="shared" si="3"/>
        <v>16761.20612651288</v>
      </c>
      <c r="AW41" s="273"/>
      <c r="AX41" s="155">
        <f t="shared" si="8"/>
        <v>17976.756328573985</v>
      </c>
      <c r="AZ41" s="146">
        <f>+IF(AZ40&gt;$G$13+$G$14,XX,AZ40+1)</f>
        <v>2028</v>
      </c>
      <c r="BA41" s="117"/>
      <c r="BB41" s="154">
        <f t="shared" si="16"/>
        <v>82.889937850877217</v>
      </c>
      <c r="BD41" s="154">
        <f t="shared" si="17"/>
        <v>13.962937855695069</v>
      </c>
      <c r="BF41" s="153">
        <f t="shared" si="9"/>
        <v>1949.6861730249936</v>
      </c>
      <c r="BH41" s="157"/>
    </row>
    <row r="42" spans="2:60" ht="12">
      <c r="B42" s="2"/>
      <c r="C42">
        <f>+IF(C41&gt;$G$13+$G$14,XX,C41+1)</f>
        <v>2029</v>
      </c>
      <c r="E42" s="169">
        <f>+INDEX('(2.2)_Forward_Price_Curve'!$U:$U,MATCH($C42,'(2.2)_Forward_Price_Curve'!C:C,0))</f>
        <v>1.7999999999999999E-2</v>
      </c>
      <c r="G42" s="18">
        <v>160888.30000000019</v>
      </c>
      <c r="I42" s="28">
        <f t="shared" si="10"/>
        <v>0</v>
      </c>
      <c r="K42" s="28">
        <v>60.327279878937979</v>
      </c>
      <c r="M42" s="28">
        <f t="shared" si="11"/>
        <v>0</v>
      </c>
      <c r="O42" s="270">
        <f>'(2.2)_Forward_Price_Curve'!Z43</f>
        <v>4.0304110843048404</v>
      </c>
      <c r="Q42" s="28"/>
      <c r="S42" s="18">
        <f t="shared" si="4"/>
        <v>10354.399491001512</v>
      </c>
      <c r="U42" s="18">
        <f t="shared" si="0"/>
        <v>18215.808847271826</v>
      </c>
      <c r="W42" s="18">
        <f t="shared" si="1"/>
        <v>-7861.4093562703147</v>
      </c>
      <c r="Y42" s="271">
        <f t="shared" si="5"/>
        <v>-48.862529818950826</v>
      </c>
      <c r="Z42" s="235"/>
      <c r="AB42" s="146">
        <f>+IF(AB41&gt;$G$13+$G$14,XX,AB41+1)</f>
        <v>2029</v>
      </c>
      <c r="AC42" s="117"/>
      <c r="AD42" s="151">
        <f t="shared" si="2"/>
        <v>160888.30000000019</v>
      </c>
      <c r="AF42" s="154">
        <f t="shared" si="12"/>
        <v>93.095502812406124</v>
      </c>
      <c r="AH42" s="154">
        <f t="shared" si="13"/>
        <v>10.212339478312007</v>
      </c>
      <c r="AJ42" s="154">
        <f t="shared" si="14"/>
        <v>3.4586394527813624</v>
      </c>
      <c r="AL42" s="153">
        <f t="shared" si="6"/>
        <v>3220.2876386541875</v>
      </c>
      <c r="AN42" s="154">
        <f>INDEX('(2.2)_Forward_Price_Curve'!$J:$J,MATCH($AB42,'(2.2)_Forward_Price_Curve'!$C:$C,0),1)</f>
        <v>13.565833333333336</v>
      </c>
      <c r="AP42" s="154">
        <f t="shared" si="18"/>
        <v>101.39949085624971</v>
      </c>
      <c r="AR42" s="154">
        <f t="shared" si="15"/>
        <v>4.1414448908310888</v>
      </c>
      <c r="AS42" s="154"/>
      <c r="AT42" s="153">
        <f t="shared" si="7"/>
        <v>1235.507114514744</v>
      </c>
      <c r="AV42" s="153">
        <f t="shared" si="3"/>
        <v>16980.301732757081</v>
      </c>
      <c r="AW42" s="273"/>
      <c r="AX42" s="155">
        <f t="shared" si="8"/>
        <v>18215.808847271826</v>
      </c>
      <c r="AZ42" s="146">
        <f>+IF(AZ41&gt;$G$13+$G$14,XX,AZ41+1)</f>
        <v>2029</v>
      </c>
      <c r="BA42" s="117"/>
      <c r="BB42" s="154">
        <f t="shared" si="16"/>
        <v>84.381956732193004</v>
      </c>
      <c r="BD42" s="154">
        <f t="shared" si="17"/>
        <v>14.21427073709758</v>
      </c>
      <c r="BF42" s="153">
        <f t="shared" si="9"/>
        <v>1984.7805241394435</v>
      </c>
      <c r="BH42" s="157"/>
    </row>
    <row r="43" spans="2:60" ht="12">
      <c r="B43" s="2"/>
      <c r="C43">
        <f>+IF(C42&gt;$G$13+$G$14,XX,C42+1)</f>
        <v>2030</v>
      </c>
      <c r="E43" s="169">
        <f>+INDEX('(2.2)_Forward_Price_Curve'!$U:$U,MATCH($C43,'(2.2)_Forward_Price_Curve'!C:C,0))</f>
        <v>1.7999999999999999E-2</v>
      </c>
      <c r="G43" s="18">
        <v>160888.30000000019</v>
      </c>
      <c r="I43" s="28">
        <f t="shared" si="10"/>
        <v>0</v>
      </c>
      <c r="K43" s="28">
        <v>60.327279878937979</v>
      </c>
      <c r="M43" s="28">
        <f t="shared" si="11"/>
        <v>0</v>
      </c>
      <c r="O43" s="270">
        <f>'(2.2)_Forward_Price_Curve'!Z44</f>
        <v>4.1110193059909372</v>
      </c>
      <c r="Q43" s="28"/>
      <c r="S43" s="18">
        <f t="shared" si="4"/>
        <v>10367.368410754612</v>
      </c>
      <c r="U43" s="18">
        <f t="shared" si="0"/>
        <v>18519.2919274179</v>
      </c>
      <c r="W43" s="18">
        <f t="shared" si="1"/>
        <v>-8151.923516663288</v>
      </c>
      <c r="Y43" s="271">
        <f t="shared" si="5"/>
        <v>-50.668218364314114</v>
      </c>
      <c r="Z43" s="235"/>
      <c r="AB43" s="146">
        <f>+IF(AB42&gt;$G$13+$G$14,XX,AB42+1)</f>
        <v>2030</v>
      </c>
      <c r="AC43" s="117"/>
      <c r="AD43" s="151">
        <f t="shared" si="2"/>
        <v>160888.30000000019</v>
      </c>
      <c r="AF43" s="154">
        <f t="shared" si="12"/>
        <v>94.771221863029439</v>
      </c>
      <c r="AH43" s="154">
        <f t="shared" si="13"/>
        <v>10.396161588921624</v>
      </c>
      <c r="AJ43" s="154">
        <f t="shared" si="14"/>
        <v>3.5208949629314268</v>
      </c>
      <c r="AL43" s="153">
        <f t="shared" si="6"/>
        <v>3278.2528161499631</v>
      </c>
      <c r="AN43" s="154">
        <f>INDEX('(2.2)_Forward_Price_Curve'!$J:$J,MATCH($AB43,'(2.2)_Forward_Price_Curve'!$C:$C,0),1)</f>
        <v>13.822083333333332</v>
      </c>
      <c r="AP43" s="154">
        <f t="shared" si="18"/>
        <v>103.07301448463211</v>
      </c>
      <c r="AR43" s="154">
        <f t="shared" si="15"/>
        <v>4.2159908988660488</v>
      </c>
      <c r="AS43" s="154"/>
      <c r="AT43" s="153">
        <f>AL43-BF43</f>
        <v>1257.7462425760098</v>
      </c>
      <c r="AV43" s="153">
        <f t="shared" si="3"/>
        <v>17261.545684841891</v>
      </c>
      <c r="AW43" s="273"/>
      <c r="AX43" s="155">
        <f t="shared" si="8"/>
        <v>18519.2919274179</v>
      </c>
      <c r="AZ43" s="146">
        <f>+IF(AZ42&gt;$G$13+$G$14,XX,AZ42+1)</f>
        <v>2030</v>
      </c>
      <c r="BA43" s="117"/>
      <c r="BB43" s="154">
        <f t="shared" si="16"/>
        <v>85.900831953372474</v>
      </c>
      <c r="BD43" s="154">
        <f t="shared" si="17"/>
        <v>14.470127610365337</v>
      </c>
      <c r="BF43" s="153">
        <f t="shared" si="9"/>
        <v>2020.5065735739533</v>
      </c>
      <c r="BH43" s="157"/>
    </row>
    <row r="44" spans="2:60" ht="12">
      <c r="B44" s="2"/>
      <c r="C44">
        <f>+IF(C43&gt;$G$13+$G$14,XX,C43+1)</f>
        <v>2031</v>
      </c>
      <c r="E44" s="169">
        <f>+INDEX('(2.2)_Forward_Price_Curve'!$U:$U,MATCH($C44,'(2.2)_Forward_Price_Curve'!C:C,0))</f>
        <v>1.7999999999999999E-2</v>
      </c>
      <c r="G44" s="18">
        <v>160888.30000000019</v>
      </c>
      <c r="I44" s="28">
        <f t="shared" si="10"/>
        <v>0</v>
      </c>
      <c r="K44" s="28">
        <v>60.327279878937979</v>
      </c>
      <c r="M44" s="28">
        <f t="shared" si="11"/>
        <v>0</v>
      </c>
      <c r="O44" s="270">
        <f>'(2.2)_Forward_Price_Curve'!Z45</f>
        <v>4.1932396921107564</v>
      </c>
      <c r="Q44" s="28"/>
      <c r="S44" s="18">
        <f t="shared" si="4"/>
        <v>10380.596708902773</v>
      </c>
      <c r="U44" s="18">
        <f t="shared" si="0"/>
        <v>18830.39608403407</v>
      </c>
      <c r="W44" s="18">
        <f t="shared" si="1"/>
        <v>-8449.799375131297</v>
      </c>
      <c r="Y44" s="271">
        <f t="shared" si="5"/>
        <v>-52.519663487843978</v>
      </c>
      <c r="Z44" s="235"/>
      <c r="AB44" s="146">
        <f>+IF(AB43&gt;$G$13+$G$14,XX,AB43+1)</f>
        <v>2031</v>
      </c>
      <c r="AC44" s="117"/>
      <c r="AD44" s="151">
        <f t="shared" si="2"/>
        <v>160888.30000000019</v>
      </c>
      <c r="AF44" s="154">
        <f t="shared" si="12"/>
        <v>96.477103856563971</v>
      </c>
      <c r="AH44" s="154">
        <f t="shared" si="13"/>
        <v>10.583292497522214</v>
      </c>
      <c r="AJ44" s="154">
        <f t="shared" si="14"/>
        <v>3.5842710722641926</v>
      </c>
      <c r="AL44" s="153">
        <f t="shared" si="6"/>
        <v>3337.2613668406625</v>
      </c>
      <c r="AN44" s="154">
        <f>INDEX('(2.2)_Forward_Price_Curve'!$J:$J,MATCH($AB44,'(2.2)_Forward_Price_Curve'!$C:$C,0),1)</f>
        <v>14.084999999999999</v>
      </c>
      <c r="AP44" s="154">
        <f t="shared" si="18"/>
        <v>104.79007693911878</v>
      </c>
      <c r="AR44" s="154">
        <f t="shared" si="15"/>
        <v>4.2918787350456382</v>
      </c>
      <c r="AS44" s="154"/>
      <c r="AT44" s="153">
        <f t="shared" si="7"/>
        <v>1280.385674942378</v>
      </c>
      <c r="AV44" s="153">
        <f t="shared" si="3"/>
        <v>17550.01040909169</v>
      </c>
      <c r="AW44" s="273"/>
      <c r="AX44" s="155">
        <f t="shared" si="8"/>
        <v>18830.39608403407</v>
      </c>
      <c r="AZ44" s="146">
        <f>+IF(AZ43&gt;$G$13+$G$14,XX,AZ43+1)</f>
        <v>2031</v>
      </c>
      <c r="BA44" s="117"/>
      <c r="BB44" s="154">
        <f t="shared" si="16"/>
        <v>87.447046928533183</v>
      </c>
      <c r="BD44" s="154">
        <f t="shared" si="17"/>
        <v>14.730589907351913</v>
      </c>
      <c r="BF44" s="153">
        <f t="shared" si="9"/>
        <v>2056.8756918982845</v>
      </c>
      <c r="BH44" s="157"/>
    </row>
    <row r="45" spans="2:60" ht="12">
      <c r="B45" s="2"/>
      <c r="C45">
        <f>+IF(C44&gt;$G$13+$G$14,XX,C44+1)</f>
        <v>2032</v>
      </c>
      <c r="E45" s="169">
        <f>+INDEX('(2.2)_Forward_Price_Curve'!$U:$U,MATCH($C45,'(2.2)_Forward_Price_Curve'!C:C,0))</f>
        <v>1.7999999999999999E-2</v>
      </c>
      <c r="G45" s="18">
        <v>161444.29642857163</v>
      </c>
      <c r="I45" s="28">
        <f t="shared" si="10"/>
        <v>0</v>
      </c>
      <c r="K45" s="28">
        <v>60.327279878937979</v>
      </c>
      <c r="M45" s="28">
        <f t="shared" si="11"/>
        <v>0</v>
      </c>
      <c r="O45" s="270">
        <f>'(2.2)_Forward_Price_Curve'!Z46</f>
        <v>4.2812977256450822</v>
      </c>
      <c r="Q45" s="28"/>
      <c r="S45" s="18">
        <f t="shared" si="4"/>
        <v>10430.686354622683</v>
      </c>
      <c r="U45" s="18">
        <f t="shared" si="0"/>
        <v>19209.756911107503</v>
      </c>
      <c r="W45" s="18">
        <f t="shared" si="1"/>
        <v>-8779.0705564848195</v>
      </c>
      <c r="Y45" s="271">
        <f t="shared" si="5"/>
        <v>-54.378325841749238</v>
      </c>
      <c r="Z45" s="235"/>
      <c r="AB45" s="146">
        <f>+IF(AB44&gt;$G$13+$G$14,XX,AB44+1)</f>
        <v>2032</v>
      </c>
      <c r="AC45" s="117"/>
      <c r="AD45" s="151">
        <f t="shared" si="2"/>
        <v>161444.29642857163</v>
      </c>
      <c r="AF45" s="154">
        <f t="shared" si="12"/>
        <v>98.21369172598213</v>
      </c>
      <c r="AH45" s="154">
        <f t="shared" si="13"/>
        <v>10.773791762477614</v>
      </c>
      <c r="AJ45" s="154">
        <f t="shared" si="14"/>
        <v>3.6487879515649482</v>
      </c>
      <c r="AL45" s="153">
        <f t="shared" si="6"/>
        <v>3399.3607845134793</v>
      </c>
      <c r="AN45" s="154">
        <f>INDEX('(2.2)_Forward_Price_Curve'!$J:$J,MATCH($AB45,'(2.2)_Forward_Price_Curve'!$C:$C,0),1)</f>
        <v>14.351666666666667</v>
      </c>
      <c r="AP45" s="154">
        <f t="shared" si="18"/>
        <v>106.53162998328909</v>
      </c>
      <c r="AR45" s="154">
        <f t="shared" si="15"/>
        <v>4.3691325522764597</v>
      </c>
      <c r="AS45" s="154"/>
      <c r="AT45" s="153">
        <f t="shared" si="7"/>
        <v>1305.4613301610257</v>
      </c>
      <c r="AV45" s="153">
        <f t="shared" si="3"/>
        <v>17904.295580946477</v>
      </c>
      <c r="AW45" s="273"/>
      <c r="AX45" s="155">
        <f t="shared" si="8"/>
        <v>19209.756911107503</v>
      </c>
      <c r="AZ45" s="146">
        <f>+IF(AZ44&gt;$G$13+$G$14,XX,AZ44+1)</f>
        <v>2032</v>
      </c>
      <c r="BA45" s="117"/>
      <c r="BB45" s="154">
        <f t="shared" si="16"/>
        <v>89.021093773246776</v>
      </c>
      <c r="BD45" s="154">
        <f t="shared" si="17"/>
        <v>14.995740525684248</v>
      </c>
      <c r="BF45" s="153">
        <f t="shared" si="9"/>
        <v>2093.8994543524536</v>
      </c>
      <c r="BH45" s="157"/>
    </row>
    <row r="46" spans="2:60" ht="12">
      <c r="B46" s="2"/>
      <c r="C46">
        <f>+IF(C45&gt;$G$13+$G$14,XX,C45+1)</f>
        <v>2033</v>
      </c>
      <c r="E46" s="169">
        <f>+INDEX('(2.2)_Forward_Price_Curve'!$U:$U,MATCH($C46,'(2.2)_Forward_Price_Curve'!C:C,0))</f>
        <v>1.9E-2</v>
      </c>
      <c r="G46" s="18">
        <v>160888.30000000019</v>
      </c>
      <c r="I46" s="28">
        <f t="shared" si="10"/>
        <v>0</v>
      </c>
      <c r="K46" s="28">
        <v>60.327279878937979</v>
      </c>
      <c r="M46" s="28">
        <f t="shared" si="11"/>
        <v>0</v>
      </c>
      <c r="O46" s="270">
        <f>'(2.2)_Forward_Price_Curve'!Z47</f>
        <v>4.3712049778836288</v>
      </c>
      <c r="Q46" s="28"/>
      <c r="S46" s="18">
        <f t="shared" si="4"/>
        <v>10409.229241189783</v>
      </c>
      <c r="U46" s="18">
        <f t="shared" si="0"/>
        <v>19458.527401542786</v>
      </c>
      <c r="W46" s="18">
        <f t="shared" si="1"/>
        <v>-9049.2981603530025</v>
      </c>
      <c r="Y46" s="271">
        <f t="shared" si="5"/>
        <v>-56.245843609218269</v>
      </c>
      <c r="Z46" s="235"/>
      <c r="AB46" s="146">
        <f>+IF(AB45&gt;$G$13+$G$14,XX,AB45+1)</f>
        <v>2033</v>
      </c>
      <c r="AC46" s="117"/>
      <c r="AD46" s="151">
        <f t="shared" si="2"/>
        <v>160888.30000000019</v>
      </c>
      <c r="AF46" s="154">
        <f t="shared" si="12"/>
        <v>100.07975186877579</v>
      </c>
      <c r="AH46" s="154">
        <f t="shared" si="13"/>
        <v>10.978493805964689</v>
      </c>
      <c r="AJ46" s="154">
        <f t="shared" si="14"/>
        <v>3.7181149226446819</v>
      </c>
      <c r="AL46" s="153">
        <f t="shared" si="6"/>
        <v>3461.8813808012264</v>
      </c>
      <c r="AN46" s="154">
        <f>INDEX('(2.2)_Forward_Price_Curve'!$J:$J,MATCH($AB46,'(2.2)_Forward_Price_Curve'!$C:$C,0),1)</f>
        <v>14.610833333333332</v>
      </c>
      <c r="AP46" s="154">
        <f t="shared" si="18"/>
        <v>108.23677888354138</v>
      </c>
      <c r="AR46" s="154">
        <f t="shared" si="15"/>
        <v>4.4521460707697118</v>
      </c>
      <c r="AS46" s="154"/>
      <c r="AT46" s="153">
        <f t="shared" si="7"/>
        <v>1328.1978368160762</v>
      </c>
      <c r="AV46" s="153">
        <f t="shared" si="3"/>
        <v>18130.329564726711</v>
      </c>
      <c r="AW46" s="273"/>
      <c r="AX46" s="155">
        <f t="shared" si="8"/>
        <v>19458.527401542786</v>
      </c>
      <c r="AZ46" s="146">
        <f>+IF(AZ45&gt;$G$13+$G$14,XX,AZ45+1)</f>
        <v>2033</v>
      </c>
      <c r="BA46" s="117"/>
      <c r="BB46" s="154">
        <f t="shared" si="16"/>
        <v>90.712494554938459</v>
      </c>
      <c r="BD46" s="154">
        <f t="shared" si="17"/>
        <v>15.280659595672248</v>
      </c>
      <c r="BF46" s="153">
        <f t="shared" si="9"/>
        <v>2133.6835439851502</v>
      </c>
      <c r="BH46" s="157"/>
    </row>
    <row r="47" spans="2:60" ht="12">
      <c r="B47" s="2"/>
      <c r="C47">
        <f>+IF(C46&gt;$G$13+$G$14,XX,C46+1)</f>
        <v>2034</v>
      </c>
      <c r="E47" s="169">
        <f>+INDEX('(2.2)_Forward_Price_Curve'!$U:$U,MATCH($C47,'(2.2)_Forward_Price_Curve'!C:C,0))</f>
        <v>1.7999999999999999E-2</v>
      </c>
      <c r="G47" s="18">
        <v>160888.30000000019</v>
      </c>
      <c r="I47" s="28">
        <f t="shared" si="10"/>
        <v>0</v>
      </c>
      <c r="K47" s="28">
        <v>60.327279878937979</v>
      </c>
      <c r="M47" s="28"/>
      <c r="O47" s="270">
        <f>'(2.2)_Forward_Price_Curve'!Z48</f>
        <v>4.463000282419185</v>
      </c>
      <c r="Q47" s="28"/>
      <c r="S47" s="18">
        <f t="shared" si="4"/>
        <v>10423.998031684492</v>
      </c>
      <c r="U47" s="18">
        <f t="shared" si="0"/>
        <v>19770.873508324134</v>
      </c>
      <c r="W47" s="18">
        <f t="shared" si="1"/>
        <v>-9346.8754766396414</v>
      </c>
      <c r="Y47" s="271">
        <f t="shared" si="5"/>
        <v>-58.095433146099687</v>
      </c>
      <c r="Z47" s="235"/>
      <c r="AB47" s="146">
        <f>+IF(AB46&gt;$G$13+$G$14,XX,AB46+1)</f>
        <v>2034</v>
      </c>
      <c r="AC47" s="117"/>
      <c r="AD47" s="151">
        <f t="shared" si="2"/>
        <v>160888.30000000019</v>
      </c>
      <c r="AF47" s="154">
        <f t="shared" si="12"/>
        <v>101.88118740241376</v>
      </c>
      <c r="AH47" s="154">
        <f t="shared" si="13"/>
        <v>11.176106694472054</v>
      </c>
      <c r="AJ47" s="154">
        <f t="shared" si="14"/>
        <v>3.7850409912522864</v>
      </c>
      <c r="AL47" s="153">
        <f t="shared" si="6"/>
        <v>3524.1952456556492</v>
      </c>
      <c r="AN47" s="154">
        <f>INDEX('(2.2)_Forward_Price_Curve'!$J:$J,MATCH($AB47,'(2.2)_Forward_Price_Curve'!$C:$C,0),1)</f>
        <v>14.875000000000002</v>
      </c>
      <c r="AP47" s="154">
        <f t="shared" si="18"/>
        <v>109.94942783247336</v>
      </c>
      <c r="AR47" s="154">
        <f t="shared" si="15"/>
        <v>4.5322847000435669</v>
      </c>
      <c r="AS47" s="154"/>
      <c r="AT47" s="153">
        <f t="shared" si="7"/>
        <v>1352.1053978787663</v>
      </c>
      <c r="AV47" s="153">
        <f t="shared" si="3"/>
        <v>18418.768110445366</v>
      </c>
      <c r="AW47" s="273"/>
      <c r="AX47" s="155">
        <f t="shared" si="8"/>
        <v>19770.873508324134</v>
      </c>
      <c r="AZ47" s="146">
        <f>+IF(AZ46&gt;$G$13+$G$14,XX,AZ46+1)</f>
        <v>2034</v>
      </c>
      <c r="BA47" s="117"/>
      <c r="BB47" s="154">
        <f t="shared" si="16"/>
        <v>92.345319456927356</v>
      </c>
      <c r="BD47" s="154">
        <f t="shared" si="17"/>
        <v>15.555711468394348</v>
      </c>
      <c r="BF47" s="153">
        <f t="shared" si="9"/>
        <v>2172.0898477768828</v>
      </c>
      <c r="BH47" s="157"/>
    </row>
    <row r="48" spans="2:60" ht="12">
      <c r="B48" s="2"/>
      <c r="E48" s="169"/>
      <c r="G48" s="18"/>
      <c r="I48" s="28"/>
      <c r="K48" s="28"/>
      <c r="M48" s="28"/>
      <c r="O48" s="270"/>
      <c r="Q48" s="28"/>
      <c r="S48" s="18"/>
      <c r="U48" s="18"/>
      <c r="W48" s="18"/>
      <c r="Y48" s="271"/>
      <c r="Z48" s="235"/>
      <c r="AB48" s="146"/>
      <c r="AC48" s="117"/>
      <c r="AD48" s="151"/>
      <c r="AF48" s="154"/>
      <c r="AH48" s="154"/>
      <c r="AJ48" s="154"/>
      <c r="AL48" s="153"/>
      <c r="AN48" s="154"/>
      <c r="AP48" s="154"/>
      <c r="AR48" s="154"/>
      <c r="AS48" s="154"/>
      <c r="AT48" s="153"/>
      <c r="AV48" s="153"/>
      <c r="AW48" s="273"/>
      <c r="AX48" s="155"/>
      <c r="AZ48" s="146"/>
      <c r="BA48" s="117"/>
      <c r="BB48" s="154"/>
      <c r="BD48" s="154"/>
      <c r="BF48" s="153"/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E50" s="169"/>
      <c r="G50" s="18"/>
      <c r="I50" s="28"/>
      <c r="K50" s="28"/>
      <c r="M50" s="28"/>
      <c r="O50" s="270"/>
      <c r="Q50" s="28"/>
      <c r="S50" s="18"/>
      <c r="U50" s="18"/>
      <c r="W50" s="18"/>
      <c r="Y50" s="271"/>
      <c r="Z50" s="235"/>
      <c r="AB50" s="146"/>
      <c r="AC50" s="117"/>
      <c r="AD50" s="151"/>
      <c r="AF50" s="154"/>
      <c r="AH50" s="154"/>
      <c r="AJ50" s="154"/>
      <c r="AL50" s="153"/>
      <c r="AN50" s="154"/>
      <c r="AP50" s="154"/>
      <c r="AR50" s="154"/>
      <c r="AS50" s="154"/>
      <c r="AT50" s="153"/>
      <c r="AV50" s="153"/>
      <c r="AW50" s="273"/>
      <c r="AX50" s="155"/>
      <c r="AZ50" s="146"/>
      <c r="BA50" s="117"/>
      <c r="BB50" s="154"/>
      <c r="BD50" s="154"/>
      <c r="BF50" s="153"/>
      <c r="BH50" s="157"/>
    </row>
    <row r="51" spans="2:60" ht="12">
      <c r="B51" s="2"/>
      <c r="E51" s="169"/>
      <c r="G51" s="18"/>
      <c r="I51" s="28"/>
      <c r="K51" s="28"/>
      <c r="M51" s="28"/>
      <c r="O51" s="270"/>
      <c r="Q51" s="28"/>
      <c r="S51" s="18"/>
      <c r="U51" s="18"/>
      <c r="W51" s="18"/>
      <c r="Y51" s="271"/>
      <c r="Z51" s="235"/>
      <c r="AB51" s="146"/>
      <c r="AC51" s="117"/>
      <c r="AD51" s="151"/>
      <c r="AF51" s="154"/>
      <c r="AH51" s="154"/>
      <c r="AJ51" s="154"/>
      <c r="AL51" s="153"/>
      <c r="AN51" s="154"/>
      <c r="AP51" s="154"/>
      <c r="AR51" s="154"/>
      <c r="AS51" s="154"/>
      <c r="AT51" s="153"/>
      <c r="AV51" s="153"/>
      <c r="AW51" s="273"/>
      <c r="AX51" s="155"/>
      <c r="AZ51" s="146"/>
      <c r="BA51" s="117"/>
      <c r="BB51" s="154"/>
      <c r="BD51" s="154"/>
      <c r="BF51" s="153"/>
      <c r="BH51" s="157"/>
    </row>
    <row r="52" spans="2:60" ht="12">
      <c r="B52" s="2"/>
      <c r="E52" s="169"/>
      <c r="G52" s="18"/>
      <c r="I52" s="28"/>
      <c r="K52" s="28"/>
      <c r="M52" s="28"/>
      <c r="O52" s="270"/>
      <c r="Q52" s="28" t="s">
        <v>299</v>
      </c>
      <c r="S52" s="18"/>
      <c r="U52" s="18"/>
      <c r="W52" s="18"/>
      <c r="Y52" s="271"/>
      <c r="Z52" s="235"/>
      <c r="AB52" s="146"/>
      <c r="AC52" s="117"/>
      <c r="AD52" s="151"/>
      <c r="AF52" s="154"/>
      <c r="AH52" s="154"/>
      <c r="AJ52" s="154"/>
      <c r="AL52" s="153"/>
      <c r="AN52" s="154"/>
      <c r="AP52" s="154"/>
      <c r="AR52" s="154"/>
      <c r="AS52" s="154"/>
      <c r="AT52" s="153"/>
      <c r="AV52" s="153"/>
      <c r="AW52" s="273"/>
      <c r="AX52" s="155"/>
      <c r="AZ52" s="146"/>
      <c r="BA52" s="117"/>
      <c r="BB52" s="154"/>
      <c r="BD52" s="154"/>
      <c r="BF52" s="153"/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20-year Nominal Levelized at 6.66%</v>
      </c>
      <c r="E58" s="169"/>
      <c r="G58" s="18">
        <f>+-PMT($G$18,$G$14,NPV($G$18,G28:G56))</f>
        <v>161031.48089411904</v>
      </c>
      <c r="I58" s="28">
        <f>+-PMT($G$18,$G$14,NPV($G$18,I28:I56))</f>
        <v>0</v>
      </c>
      <c r="J58" s="28"/>
      <c r="K58" s="28">
        <f>+-PMT($G$18,$G$14,NPV($G$18,K28:K56))</f>
        <v>60.327279878937993</v>
      </c>
      <c r="M58" s="28">
        <f>+-PMT($G$18,$G$14,NPV($G$18,M28:M56))</f>
        <v>0</v>
      </c>
      <c r="O58" s="28">
        <f>+-PMT($G$18,$G$14,NPV($G$18,O28:O56))</f>
        <v>3.5877214328050853</v>
      </c>
      <c r="Q58" s="28">
        <f>+-PMT($G$18,$G$14,NPV($G$18,Q28:Q56))</f>
        <v>0</v>
      </c>
      <c r="S58" s="18">
        <f>+-PMT($G$18,$G$14,NPV($G$18,S28:S56))</f>
        <v>10292.323167750461</v>
      </c>
      <c r="U58" s="18">
        <f>+-PMT($G$18,$G$14,NPV($G$18,U28:U56))</f>
        <v>16145.776679071489</v>
      </c>
      <c r="W58" s="18">
        <f>+-PMT($G$18,$G$14,NPV($G$18,W28:W56))</f>
        <v>-5853.4535113210322</v>
      </c>
      <c r="Y58" s="271">
        <f>+-PMT($G$18,$G$14,NPV($G$18,Y28:Y56))</f>
        <v>-36.351856688816731</v>
      </c>
      <c r="Z58" s="235"/>
      <c r="AB58" s="2"/>
      <c r="AD58" s="151">
        <f>+-PMT($G$18,$G$14,NPV($G$18,AD28:AD56))</f>
        <v>161031.48089411904</v>
      </c>
      <c r="AF58" s="154">
        <f>+-PMT($G$18,$G$14,NPV($G$18,AF28:AF56))</f>
        <v>82.787826728430943</v>
      </c>
      <c r="AH58" s="154">
        <f>+-PMT($G$18,$G$14,NPV($G$18,AH28:AH56))</f>
        <v>9.0816136728544716</v>
      </c>
      <c r="AJ58" s="154">
        <f>+-PMT($G$18,$G$14,NPV($G$18,AJ28:AJ56))</f>
        <v>3.0756936165859683</v>
      </c>
      <c r="AL58" s="153">
        <f>+-PMT($G$18,$G$14,NPV($G$18,AL28:AL56))</f>
        <v>2864.1694494880758</v>
      </c>
      <c r="AN58" s="154">
        <f>+-PMT($G$18,$G$14,NPV($G$18,AN28:AN56))</f>
        <v>11.791274282340385</v>
      </c>
      <c r="AP58" s="154">
        <f>+-PMT($G$18,$G$14,NPV($G$18,AP28:AP56))</f>
        <v>89.758240282177098</v>
      </c>
      <c r="AR58" s="154">
        <f>+-PMT($G$18,$G$14,NPV($G$18,AR28:AR56))</f>
        <v>3.6828977949489019</v>
      </c>
      <c r="AS58" s="154"/>
      <c r="AT58" s="153">
        <f>+-PMT($G$18,$G$14,NPV($G$18,AT28:AT56))</f>
        <v>1099.1468526658862</v>
      </c>
      <c r="AV58" s="153">
        <f>+-PMT($G$18,$G$14,NPV($G$18,AV28:AV56))</f>
        <v>15046.629826405609</v>
      </c>
      <c r="AW58" s="273"/>
      <c r="AX58" s="155">
        <f>+-PMT($G$18,$G$14,NPV($G$18,AX28:AX56))</f>
        <v>16145.776679071489</v>
      </c>
      <c r="AZ58" s="2"/>
      <c r="BB58" s="154">
        <f>+-PMT($G$18,$G$14,NPV($G$18,BB28:BB56))</f>
        <v>75.039057762302633</v>
      </c>
      <c r="BD58" s="154">
        <f>+-PMT($G$18,$G$14,NPV($G$18,BD28:BD56))</f>
        <v>12.640444997919083</v>
      </c>
      <c r="BF58" s="153">
        <f>+-PMT($G$18,$G$14,NPV($G$18,BF28:BF56))</f>
        <v>1765.0225968221901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549E6-3D79-4155-A685-947C30E450E7}">
  <sheetPr codeName="Sheet24">
    <tabColor theme="0" tint="-0.249977111117893"/>
    <pageSetUpPr fitToPage="1"/>
  </sheetPr>
  <dimension ref="A1:BL99"/>
  <sheetViews>
    <sheetView zoomScale="85" zoomScaleNormal="85" workbookViewId="0"/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0" bestFit="1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3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231" customFormat="1">
      <c r="A1" s="231" t="s">
        <v>0</v>
      </c>
    </row>
    <row r="2" spans="1:64" s="231" customFormat="1">
      <c r="A2" s="231" t="s">
        <v>143</v>
      </c>
    </row>
    <row r="3" spans="1:64" s="231" customFormat="1">
      <c r="A3" s="231" t="s">
        <v>1</v>
      </c>
    </row>
    <row r="4" spans="1:64" s="231" customFormat="1"/>
    <row r="5" spans="1:64" s="231" customFormat="1"/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85" t="s">
        <v>96</v>
      </c>
      <c r="AO8" s="386"/>
      <c r="AP8" s="386"/>
      <c r="AQ8" s="386"/>
      <c r="AR8" s="386"/>
      <c r="AS8" s="386"/>
      <c r="AT8" s="386"/>
      <c r="AU8" s="386"/>
      <c r="AV8" s="386"/>
      <c r="AW8" s="387"/>
      <c r="AZ8" s="244" t="s">
        <v>97</v>
      </c>
      <c r="BA8" s="245"/>
      <c r="BB8" s="245"/>
      <c r="BC8" s="245"/>
      <c r="BD8" s="245"/>
      <c r="BE8" s="246"/>
      <c r="BG8" s="385" t="s">
        <v>97</v>
      </c>
      <c r="BH8" s="386"/>
      <c r="BI8" s="386"/>
      <c r="BJ8" s="386"/>
      <c r="BK8" s="386"/>
      <c r="BL8" s="38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436"/>
      <c r="AO9" s="437"/>
      <c r="AP9" s="437"/>
      <c r="AQ9" s="437"/>
      <c r="AR9" s="438"/>
      <c r="AS9" s="437"/>
      <c r="AT9" s="437"/>
      <c r="AU9" s="437"/>
      <c r="AV9" s="439"/>
      <c r="AW9" s="440"/>
      <c r="AZ9" s="116"/>
      <c r="BA9" s="117"/>
      <c r="BB9" s="117"/>
      <c r="BC9" s="117"/>
      <c r="BD9" s="118"/>
      <c r="BE9" s="121"/>
      <c r="BG9" s="436"/>
      <c r="BH9" s="437"/>
      <c r="BI9" s="437"/>
      <c r="BJ9" s="437"/>
      <c r="BK9" s="438"/>
      <c r="BL9" s="441"/>
    </row>
    <row r="10" spans="1:64" ht="12">
      <c r="B10" s="250"/>
      <c r="C10" s="231" t="s">
        <v>98</v>
      </c>
      <c r="D10" s="231"/>
      <c r="E10" s="231"/>
      <c r="F10" s="231"/>
      <c r="G10" s="251" t="s">
        <v>13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230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388" t="s">
        <v>230</v>
      </c>
      <c r="BH10" s="389"/>
      <c r="BI10" s="389"/>
      <c r="BJ10" s="389"/>
      <c r="BK10" s="390"/>
      <c r="BL10" s="398"/>
    </row>
    <row r="11" spans="1:64" ht="12">
      <c r="B11" s="250"/>
      <c r="C11" s="231" t="s">
        <v>31</v>
      </c>
      <c r="D11" s="231"/>
      <c r="E11" s="231"/>
      <c r="F11" s="231"/>
      <c r="G11" s="251">
        <v>100.5</v>
      </c>
      <c r="H11" s="252"/>
      <c r="I11" s="442">
        <v>100.5</v>
      </c>
      <c r="AB11" s="122" t="s">
        <v>99</v>
      </c>
      <c r="AC11" s="123"/>
      <c r="AD11" s="123"/>
      <c r="AE11" s="123"/>
      <c r="AF11" s="443">
        <f>+G11*(G12/AJ16)</f>
        <v>71.617618009583211</v>
      </c>
      <c r="AG11" s="127"/>
      <c r="AH11" s="123" t="s">
        <v>100</v>
      </c>
      <c r="AI11" s="124"/>
      <c r="AJ11" s="129">
        <v>7.9126910299003335</v>
      </c>
      <c r="AK11" s="235"/>
      <c r="AN11" s="444" t="s">
        <v>99</v>
      </c>
      <c r="AO11" s="445"/>
      <c r="AP11" s="445"/>
      <c r="AQ11" s="445"/>
      <c r="AR11" s="446">
        <f>+I11*(I12/AV16)</f>
        <v>38.727200100981563</v>
      </c>
      <c r="AS11" s="447"/>
      <c r="AT11" s="445" t="s">
        <v>100</v>
      </c>
      <c r="AU11" s="448"/>
      <c r="AV11" s="396">
        <f>'(2.1)_Proxy Resources'!N53</f>
        <v>19.805241420865066</v>
      </c>
      <c r="AW11" s="235"/>
      <c r="AZ11" s="122" t="s">
        <v>99</v>
      </c>
      <c r="BA11" s="123"/>
      <c r="BB11" s="123"/>
      <c r="BC11" s="123"/>
      <c r="BD11" s="134">
        <f>(AF11*AF13-G11*G19)</f>
        <v>66.927618009583213</v>
      </c>
      <c r="BE11" s="130"/>
      <c r="BG11" s="444" t="s">
        <v>99</v>
      </c>
      <c r="BH11" s="445"/>
      <c r="BI11" s="445"/>
      <c r="BJ11" s="445"/>
      <c r="BK11" s="368">
        <f>(AR11*AR13-I11*I19)</f>
        <v>26.868200100981561</v>
      </c>
      <c r="BL11" s="449"/>
    </row>
    <row r="12" spans="1:64" ht="12">
      <c r="B12" s="250"/>
      <c r="C12" s="231" t="s">
        <v>32</v>
      </c>
      <c r="D12" s="231"/>
      <c r="E12" s="231"/>
      <c r="F12" s="231"/>
      <c r="G12" s="254">
        <v>0.34697866466618793</v>
      </c>
      <c r="H12" s="252"/>
      <c r="I12" s="349">
        <v>0.27084213635021243</v>
      </c>
      <c r="AB12" s="122" t="s">
        <v>32</v>
      </c>
      <c r="AC12" s="123"/>
      <c r="AD12" s="123"/>
      <c r="AE12" s="123"/>
      <c r="AF12" s="131">
        <f>AD73/8760/AF11</f>
        <v>0.4472227402899614</v>
      </c>
      <c r="AG12" s="127"/>
      <c r="AH12" s="117" t="s">
        <v>101</v>
      </c>
      <c r="AI12" s="118"/>
      <c r="AJ12" s="117">
        <v>2006</v>
      </c>
      <c r="AK12" s="235"/>
      <c r="AN12" s="444" t="s">
        <v>32</v>
      </c>
      <c r="AO12" s="445"/>
      <c r="AP12" s="445"/>
      <c r="AQ12" s="445"/>
      <c r="AR12" s="131">
        <f>AD73/8760/AR11</f>
        <v>0.82704216405444975</v>
      </c>
      <c r="AS12" s="447"/>
      <c r="AT12" s="437" t="s">
        <v>101</v>
      </c>
      <c r="AU12" s="438"/>
      <c r="AV12" s="450">
        <v>2016</v>
      </c>
      <c r="AW12" s="235"/>
      <c r="AZ12" s="122"/>
      <c r="BA12" s="123"/>
      <c r="BB12" s="123"/>
      <c r="BC12" s="123"/>
      <c r="BD12" s="131"/>
      <c r="BE12" s="132"/>
      <c r="BG12" s="444"/>
      <c r="BH12" s="445"/>
      <c r="BI12" s="445"/>
      <c r="BJ12" s="445"/>
      <c r="BK12" s="451"/>
      <c r="BL12" s="452"/>
    </row>
    <row r="13" spans="1:64" ht="12">
      <c r="B13" s="250"/>
      <c r="C13" s="231" t="s">
        <v>33</v>
      </c>
      <c r="D13" s="231"/>
      <c r="E13" s="231"/>
      <c r="F13" s="231"/>
      <c r="G13" s="251">
        <v>2006</v>
      </c>
      <c r="H13" s="252"/>
      <c r="I13" s="350">
        <v>2019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N13" s="444" t="s">
        <v>102</v>
      </c>
      <c r="AO13" s="445"/>
      <c r="AP13" s="445"/>
      <c r="AQ13" s="445"/>
      <c r="AR13" s="453">
        <v>1</v>
      </c>
      <c r="AS13" s="447"/>
      <c r="AT13" s="437" t="s">
        <v>103</v>
      </c>
      <c r="AU13" s="438"/>
      <c r="AV13" s="396">
        <f>'(2.1)_Proxy Resources'!O53</f>
        <v>2.02116486562735</v>
      </c>
      <c r="AW13" s="235"/>
      <c r="AZ13" s="122" t="s">
        <v>102</v>
      </c>
      <c r="BA13" s="123"/>
      <c r="BB13" s="123"/>
      <c r="BC13" s="123"/>
      <c r="BD13" s="133">
        <v>1</v>
      </c>
      <c r="BE13" s="132"/>
      <c r="BG13" s="444" t="s">
        <v>102</v>
      </c>
      <c r="BH13" s="445"/>
      <c r="BI13" s="445"/>
      <c r="BJ13" s="445"/>
      <c r="BK13" s="453">
        <v>1</v>
      </c>
      <c r="BL13" s="452"/>
    </row>
    <row r="14" spans="1:64" ht="12">
      <c r="B14" s="250"/>
      <c r="C14" s="231" t="s">
        <v>34</v>
      </c>
      <c r="D14" s="231"/>
      <c r="E14" s="231"/>
      <c r="F14" s="231"/>
      <c r="G14" s="251">
        <v>25</v>
      </c>
      <c r="H14" s="252"/>
      <c r="I14" s="351">
        <v>31</v>
      </c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N14" s="444" t="s">
        <v>104</v>
      </c>
      <c r="AO14" s="445"/>
      <c r="AP14" s="445"/>
      <c r="AQ14" s="445"/>
      <c r="AR14" s="454">
        <f>'(2.1)_Proxy Resources'!H53</f>
        <v>6414.883554173548</v>
      </c>
      <c r="AS14" s="447"/>
      <c r="AT14" s="437"/>
      <c r="AU14" s="438"/>
      <c r="AV14" s="396"/>
      <c r="AW14" s="235"/>
      <c r="AZ14" s="122" t="s">
        <v>105</v>
      </c>
      <c r="BA14" s="123"/>
      <c r="BB14" s="123"/>
      <c r="BC14" s="123"/>
      <c r="BD14" s="135">
        <v>454</v>
      </c>
      <c r="BE14" s="132"/>
      <c r="BG14" s="444" t="s">
        <v>232</v>
      </c>
      <c r="BH14" s="445"/>
      <c r="BI14" s="445"/>
      <c r="BJ14" s="445"/>
      <c r="BK14" s="397">
        <f>'(2.1)_Proxy Resources'!J54</f>
        <v>702</v>
      </c>
      <c r="BL14" s="452"/>
    </row>
    <row r="15" spans="1:64" ht="12">
      <c r="A15" t="s">
        <v>139</v>
      </c>
      <c r="B15" s="250"/>
      <c r="C15" s="231" t="s">
        <v>107</v>
      </c>
      <c r="D15" s="231"/>
      <c r="E15" s="231"/>
      <c r="F15" s="231"/>
      <c r="G15" s="255">
        <v>187.53573564552991</v>
      </c>
      <c r="H15" s="252"/>
      <c r="I15" s="382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N15" s="444" t="s">
        <v>231</v>
      </c>
      <c r="AO15" s="445"/>
      <c r="AP15" s="445"/>
      <c r="AQ15" s="445"/>
      <c r="AR15" s="397">
        <f>'(2.1)_Proxy Resources'!J53</f>
        <v>1362.6215812395926</v>
      </c>
      <c r="AS15" s="447"/>
      <c r="AT15" s="437" t="s">
        <v>141</v>
      </c>
      <c r="AU15" s="438"/>
      <c r="AV15" s="396"/>
      <c r="AW15" s="235"/>
      <c r="AZ15" s="122" t="s">
        <v>108</v>
      </c>
      <c r="BA15" s="123"/>
      <c r="BB15" s="123"/>
      <c r="BC15" s="123"/>
      <c r="BD15" s="136">
        <v>8.3299999999999999E-2</v>
      </c>
      <c r="BE15" s="132"/>
      <c r="BG15" s="444" t="s">
        <v>108</v>
      </c>
      <c r="BH15" s="445"/>
      <c r="BI15" s="445"/>
      <c r="BJ15" s="445"/>
      <c r="BK15" s="455">
        <f>'(2.1)_Proxy Resources'!K54</f>
        <v>7.3700000000000002E-2</v>
      </c>
      <c r="BL15" s="452"/>
    </row>
    <row r="16" spans="1:64" ht="12">
      <c r="A16" t="s">
        <v>139</v>
      </c>
      <c r="B16" s="250"/>
      <c r="C16" s="231" t="s">
        <v>109</v>
      </c>
      <c r="D16" s="231"/>
      <c r="E16" s="231"/>
      <c r="F16" s="231"/>
      <c r="G16" s="255">
        <v>12.630108405506199</v>
      </c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N16" s="444" t="s">
        <v>108</v>
      </c>
      <c r="AO16" s="445"/>
      <c r="AP16" s="445"/>
      <c r="AQ16" s="445"/>
      <c r="AR16" s="455">
        <f>'(2.1)_Proxy Resources'!K52</f>
        <v>7.2562879502455491E-2</v>
      </c>
      <c r="AS16" s="447"/>
      <c r="AT16" s="437" t="s">
        <v>110</v>
      </c>
      <c r="AU16" s="448"/>
      <c r="AV16" s="456">
        <f>'(2.1)_Proxy Resources'!D53</f>
        <v>0.70285573530285894</v>
      </c>
      <c r="AW16" s="235"/>
      <c r="AZ16" s="122" t="s">
        <v>100</v>
      </c>
      <c r="BA16" s="124"/>
      <c r="BB16" s="129">
        <v>5.75</v>
      </c>
      <c r="BE16" s="130"/>
      <c r="BG16" s="444" t="s">
        <v>100</v>
      </c>
      <c r="BH16" s="448"/>
      <c r="BI16" s="396">
        <f>'(2.1)_Proxy Resources'!L54</f>
        <v>15.97</v>
      </c>
      <c r="BL16" s="449"/>
    </row>
    <row r="17" spans="1:64" ht="12">
      <c r="A17" t="s">
        <v>139</v>
      </c>
      <c r="B17" s="250"/>
      <c r="C17" s="231" t="s">
        <v>111</v>
      </c>
      <c r="D17" s="231"/>
      <c r="E17" s="231"/>
      <c r="F17" s="231"/>
      <c r="G17" s="255">
        <v>3.0220510108288803</v>
      </c>
      <c r="H17" s="252"/>
      <c r="AB17" s="2"/>
      <c r="AG17" s="127"/>
      <c r="AI17" s="127"/>
      <c r="AJ17" s="123"/>
      <c r="AK17" s="130"/>
      <c r="AN17" s="2"/>
      <c r="AS17" s="447"/>
      <c r="AU17" s="447"/>
      <c r="AV17" s="445"/>
      <c r="AW17" s="449"/>
      <c r="AZ17" s="116" t="s">
        <v>101</v>
      </c>
      <c r="BA17" s="118"/>
      <c r="BB17" s="117">
        <v>2006</v>
      </c>
      <c r="BE17" s="128"/>
      <c r="BG17" s="436" t="s">
        <v>101</v>
      </c>
      <c r="BH17" s="438"/>
      <c r="BI17" s="450">
        <v>2016</v>
      </c>
      <c r="BL17" s="457"/>
    </row>
    <row r="18" spans="1:64" ht="12">
      <c r="B18" s="250"/>
      <c r="C18" s="231" t="s">
        <v>112</v>
      </c>
      <c r="D18" s="231"/>
      <c r="E18" s="231"/>
      <c r="F18" s="231"/>
      <c r="G18" s="254">
        <v>7.125514275E-2</v>
      </c>
      <c r="H18" s="252"/>
      <c r="I18" s="458">
        <v>6.5699999999999995E-2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459"/>
      <c r="AO18" s="460"/>
      <c r="AP18" s="460"/>
      <c r="AQ18" s="460"/>
      <c r="AR18" s="460"/>
      <c r="AS18" s="460"/>
      <c r="AT18" s="460"/>
      <c r="AU18" s="460"/>
      <c r="AV18" s="460"/>
      <c r="AW18" s="461"/>
      <c r="AZ18" s="138"/>
      <c r="BA18" s="139"/>
      <c r="BB18" s="139"/>
      <c r="BC18" s="139"/>
      <c r="BD18" s="139"/>
      <c r="BE18" s="141"/>
      <c r="BG18" s="459"/>
      <c r="BH18" s="460"/>
      <c r="BI18" s="460"/>
      <c r="BJ18" s="460"/>
      <c r="BK18" s="460"/>
      <c r="BL18" s="462"/>
    </row>
    <row r="19" spans="1:64" ht="12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s="458">
        <v>0.11799999999999999</v>
      </c>
      <c r="S19" s="271"/>
    </row>
    <row r="20" spans="1:64">
      <c r="B20" s="231"/>
      <c r="C20" s="231"/>
      <c r="D20" s="231"/>
      <c r="E20" s="231"/>
      <c r="F20" s="231"/>
      <c r="G20" t="s">
        <v>113</v>
      </c>
      <c r="H20" s="231"/>
    </row>
    <row r="23" spans="1:64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302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f>+G13</f>
        <v>2006</v>
      </c>
      <c r="E28" s="169">
        <v>3.1E-2</v>
      </c>
      <c r="G28" s="18">
        <f>G29</f>
        <v>305473.07679881854</v>
      </c>
      <c r="I28" s="268">
        <f>$G$15</f>
        <v>187.53573564552991</v>
      </c>
      <c r="J28" s="268"/>
      <c r="K28" s="268">
        <f>$G$16</f>
        <v>12.630108405506199</v>
      </c>
      <c r="L28" s="269"/>
      <c r="M28" s="268">
        <f>$G$17</f>
        <v>3.0220510108288803</v>
      </c>
      <c r="O28" s="270">
        <v>4.9466537342386037</v>
      </c>
      <c r="Q28" s="28">
        <v>-30.620467365028201</v>
      </c>
      <c r="S28" s="18">
        <f>(I28*$G$11*1000+(K28+M28+O28+Q28)*G28)/1000</f>
        <v>15785.995884872487</v>
      </c>
      <c r="U28" s="18">
        <f t="shared" ref="U28:U71" si="0">AX28</f>
        <v>19141.802578211958</v>
      </c>
      <c r="W28" s="18">
        <f t="shared" ref="W28:W71" si="1">S28-U28</f>
        <v>-3355.8066933394712</v>
      </c>
      <c r="Y28" s="271">
        <f>+W28*1000/G28</f>
        <v>-10.985605437004098</v>
      </c>
      <c r="Z28" s="235"/>
      <c r="AB28" s="146">
        <f>$C$28</f>
        <v>2006</v>
      </c>
      <c r="AC28" s="117"/>
      <c r="AD28" s="151">
        <f t="shared" ref="AD28:AD71" si="2">G28</f>
        <v>305473.07679881854</v>
      </c>
      <c r="AF28" s="152">
        <f>$AF$15*$AF$16</f>
        <v>56.124791362126246</v>
      </c>
      <c r="AG28" s="272"/>
      <c r="AH28" s="152">
        <f>$AJ$11</f>
        <v>7.9126910299003335</v>
      </c>
      <c r="AI28" s="272"/>
      <c r="AJ28" s="152">
        <f>$AJ$13</f>
        <v>2.2243013100436677</v>
      </c>
      <c r="AK28" s="272"/>
      <c r="AL28" s="153">
        <f>((AF28+AH28)*$AF$11*1000+AJ28*AD28)/1000</f>
        <v>5265.6761171542521</v>
      </c>
      <c r="AN28" s="154">
        <v>7.2485597127461476</v>
      </c>
      <c r="AO28" s="279"/>
      <c r="AP28" s="154">
        <f>AN28*$AF$14/1000</f>
        <v>52.668189489255148</v>
      </c>
      <c r="AQ28" s="272"/>
      <c r="AR28" s="152">
        <f>$AJ$15</f>
        <v>2.302423580786026</v>
      </c>
      <c r="AS28" s="152"/>
      <c r="AT28" s="153">
        <f t="shared" ref="AT28:AT71" si="3">AL28-BF28</f>
        <v>2349.7602701891287</v>
      </c>
      <c r="AU28" s="272"/>
      <c r="AV28" s="153">
        <f t="shared" ref="AV28:AV71" si="4">(AP28+AR28)*AD28/1000</f>
        <v>16792.042308022828</v>
      </c>
      <c r="AW28" s="273"/>
      <c r="AX28" s="155">
        <f>AT28+AV28</f>
        <v>19141.802578211958</v>
      </c>
      <c r="AZ28" s="146">
        <f>$C$28</f>
        <v>2006</v>
      </c>
      <c r="BA28" s="117"/>
      <c r="BB28" s="152">
        <f>$BD$14*$BD$15</f>
        <v>37.818199999999997</v>
      </c>
      <c r="BD28" s="152">
        <f>$BB$16</f>
        <v>5.75</v>
      </c>
      <c r="BE28" s="272"/>
      <c r="BF28" s="153">
        <f>(BB28+BD28)*$BD$11</f>
        <v>2915.9158469651234</v>
      </c>
      <c r="BG28" s="272"/>
      <c r="BH28" s="156"/>
    </row>
    <row r="29" spans="1:64" ht="12">
      <c r="B29" s="2"/>
      <c r="C29">
        <f>+IF(C28&gt;$G$13+$G$14,XX,C28+1)</f>
        <v>2007</v>
      </c>
      <c r="E29" s="169">
        <v>1.9E-2</v>
      </c>
      <c r="G29" s="18">
        <v>305473.07679881854</v>
      </c>
      <c r="I29" s="28">
        <f>I28*(1+$E29)</f>
        <v>191.09891462279495</v>
      </c>
      <c r="K29" s="28">
        <f>K28*(1+$E29)</f>
        <v>12.870080465210815</v>
      </c>
      <c r="M29" s="28">
        <f>M28*(1+$E29)</f>
        <v>3.0794699800346286</v>
      </c>
      <c r="O29" s="270">
        <v>5.0999999999999996</v>
      </c>
      <c r="Q29" s="28">
        <v>-31.232876712328764</v>
      </c>
      <c r="S29" s="18">
        <f t="shared" ref="S29:S39" si="5">(I29*$G$11*1000+(K29+M29+O29+Q29)*G29)/1000</f>
        <v>16094.708912738723</v>
      </c>
      <c r="U29" s="18">
        <f t="shared" si="0"/>
        <v>20932.347502540681</v>
      </c>
      <c r="W29" s="18">
        <f t="shared" si="1"/>
        <v>-4837.638589801958</v>
      </c>
      <c r="Y29" s="271">
        <f t="shared" ref="Y29:Y71" si="6">+W29*1000/G29</f>
        <v>-15.836546514991163</v>
      </c>
      <c r="Z29" s="235"/>
      <c r="AB29" s="146">
        <f>+IF(AB28&gt;$G$13+$G$14,XX,AB28+1)</f>
        <v>2007</v>
      </c>
      <c r="AC29" s="117"/>
      <c r="AD29" s="151">
        <f t="shared" si="2"/>
        <v>305473.07679881854</v>
      </c>
      <c r="AF29" s="154">
        <f>AF28*(1+$E29)</f>
        <v>57.191162398006639</v>
      </c>
      <c r="AH29" s="154">
        <f>AH28*(1+$E29)</f>
        <v>8.0630321594684382</v>
      </c>
      <c r="AJ29" s="154">
        <f>AJ28*(1+$E29)</f>
        <v>2.2665630349344972</v>
      </c>
      <c r="AL29" s="153">
        <f t="shared" ref="AL29:AL40" si="7">((AF29+AH29)*$AF$11*1000+AJ29*AD29)/1000</f>
        <v>5365.7239633801828</v>
      </c>
      <c r="AN29" s="154">
        <v>8.0291312655031408</v>
      </c>
      <c r="AP29" s="154">
        <f t="shared" ref="AP29:AP40" si="8">AN29*$AF$14/1000</f>
        <v>58.339839041680825</v>
      </c>
      <c r="AR29" s="154">
        <f>AR28*(1+$E29)</f>
        <v>2.3461696288209604</v>
      </c>
      <c r="AS29" s="154"/>
      <c r="AT29" s="153">
        <f t="shared" si="3"/>
        <v>2394.4057153227227</v>
      </c>
      <c r="AV29" s="153">
        <f t="shared" si="4"/>
        <v>18537.941787217958</v>
      </c>
      <c r="AW29" s="273"/>
      <c r="AX29" s="155">
        <f t="shared" ref="AX29:AX71" si="9">AT29+AV29</f>
        <v>20932.347502540681</v>
      </c>
      <c r="AZ29" s="146">
        <f>+IF(AZ28&gt;$G$13+$G$14,XX,AZ28+1)</f>
        <v>2007</v>
      </c>
      <c r="BA29" s="117"/>
      <c r="BB29" s="154">
        <f>BB28*(1+$E29)</f>
        <v>38.536745799999991</v>
      </c>
      <c r="BD29" s="154">
        <f>BD28*(1+$E29)</f>
        <v>5.8592499999999994</v>
      </c>
      <c r="BF29" s="153">
        <f t="shared" ref="BF29:BF40" si="10">(BB29+BD29)*$BD$11</f>
        <v>2971.3182480574601</v>
      </c>
      <c r="BH29" s="157"/>
    </row>
    <row r="30" spans="1:64" ht="12">
      <c r="B30" s="2"/>
      <c r="C30">
        <f>+IF(C29&gt;$G$13+$G$14,XX,C29+1)</f>
        <v>2008</v>
      </c>
      <c r="E30" s="169">
        <v>1.7000000000000001E-2</v>
      </c>
      <c r="G30" s="18">
        <v>306096.90139893163</v>
      </c>
      <c r="I30" s="28">
        <f t="shared" ref="I30:I40" si="11">I29*(1+$E30)</f>
        <v>194.34759617138243</v>
      </c>
      <c r="K30" s="28">
        <f t="shared" ref="K30:K40" si="12">K29*(1+$E30)</f>
        <v>13.088871833119399</v>
      </c>
      <c r="M30" s="28">
        <f t="shared" ref="M30:M71" si="13">M29*(1+$E30)</f>
        <v>3.1318209696952168</v>
      </c>
      <c r="O30" s="270">
        <v>5.1866999999999992</v>
      </c>
      <c r="Q30" s="28">
        <v>-31.857534246575337</v>
      </c>
      <c r="S30" s="18">
        <f t="shared" si="5"/>
        <v>16333.177500108217</v>
      </c>
      <c r="U30" s="18">
        <f t="shared" si="0"/>
        <v>20894.644842978014</v>
      </c>
      <c r="W30" s="18">
        <f t="shared" si="1"/>
        <v>-4561.467342869797</v>
      </c>
      <c r="Y30" s="271">
        <f t="shared" si="6"/>
        <v>-14.902036975947375</v>
      </c>
      <c r="Z30" s="235"/>
      <c r="AB30" s="146">
        <f>+IF(AB29&gt;$G$13+$G$14,XX,AB29+1)</f>
        <v>2008</v>
      </c>
      <c r="AC30" s="117"/>
      <c r="AD30" s="151">
        <f t="shared" si="2"/>
        <v>306096.90139893163</v>
      </c>
      <c r="AF30" s="154">
        <f t="shared" ref="AF30:AF71" si="14">AF29*(1+$E30)</f>
        <v>58.163412158772744</v>
      </c>
      <c r="AH30" s="154">
        <f t="shared" ref="AH30:AH71" si="15">AH29*(1+$E30)</f>
        <v>8.2001037061794015</v>
      </c>
      <c r="AJ30" s="154">
        <f t="shared" ref="AJ30:AJ71" si="16">AJ29*(1+$E30)</f>
        <v>2.3050946065283835</v>
      </c>
      <c r="AL30" s="153">
        <f t="shared" si="7"/>
        <v>5458.3792454787863</v>
      </c>
      <c r="AN30" s="154">
        <v>7.9707205782722266</v>
      </c>
      <c r="AP30" s="154">
        <f t="shared" si="8"/>
        <v>57.915425742323464</v>
      </c>
      <c r="AR30" s="154">
        <f t="shared" ref="AR30:AR71" si="17">AR29*(1+$E30)</f>
        <v>2.3860545125109165</v>
      </c>
      <c r="AS30" s="154"/>
      <c r="AT30" s="153">
        <f t="shared" si="3"/>
        <v>2436.5485872043496</v>
      </c>
      <c r="AV30" s="153">
        <f t="shared" si="4"/>
        <v>18458.096255773664</v>
      </c>
      <c r="AW30" s="273"/>
      <c r="AX30" s="155">
        <f t="shared" si="9"/>
        <v>20894.644842978014</v>
      </c>
      <c r="AZ30" s="146">
        <f>+IF(AZ29&gt;$G$13+$G$14,XX,AZ29+1)</f>
        <v>2008</v>
      </c>
      <c r="BA30" s="117"/>
      <c r="BB30" s="154">
        <f t="shared" ref="BB30:BB71" si="18">BB29*(1+$E30)</f>
        <v>39.191870478599988</v>
      </c>
      <c r="BD30" s="154">
        <f t="shared" ref="BD30:BD71" si="19">BD29*(1+$E30)</f>
        <v>5.9588572499999986</v>
      </c>
      <c r="BF30" s="153">
        <f t="shared" si="10"/>
        <v>3021.8306582744367</v>
      </c>
      <c r="BH30" s="157"/>
    </row>
    <row r="31" spans="1:64" ht="12">
      <c r="B31" s="2"/>
      <c r="C31">
        <f>+IF(C30&gt;$G$13+$G$14,XX,C30+1)</f>
        <v>2009</v>
      </c>
      <c r="E31" s="169">
        <v>1.7000000000000001E-2</v>
      </c>
      <c r="G31" s="18">
        <v>305473.07679881854</v>
      </c>
      <c r="I31" s="28">
        <f t="shared" si="11"/>
        <v>197.65150530629592</v>
      </c>
      <c r="K31" s="28">
        <f t="shared" si="12"/>
        <v>13.311382654282427</v>
      </c>
      <c r="M31" s="28">
        <f t="shared" si="13"/>
        <v>3.185061926180035</v>
      </c>
      <c r="O31" s="270">
        <v>5.2748738999999985</v>
      </c>
      <c r="Q31" s="28">
        <v>-32.494684931506839</v>
      </c>
      <c r="S31" s="18">
        <f t="shared" si="5"/>
        <v>16588.27653984099</v>
      </c>
      <c r="U31" s="18">
        <f t="shared" si="0"/>
        <v>20476.7978363478</v>
      </c>
      <c r="W31" s="18">
        <f t="shared" si="1"/>
        <v>-3888.5212965068094</v>
      </c>
      <c r="Y31" s="271">
        <f t="shared" si="6"/>
        <v>-12.729505779220439</v>
      </c>
      <c r="Z31" s="235"/>
      <c r="AB31" s="146">
        <f>+IF(AB30&gt;$G$13+$G$14,XX,AB30+1)</f>
        <v>2009</v>
      </c>
      <c r="AC31" s="117"/>
      <c r="AD31" s="151">
        <f t="shared" si="2"/>
        <v>305473.07679881854</v>
      </c>
      <c r="AF31" s="154">
        <f t="shared" si="14"/>
        <v>59.152190165471872</v>
      </c>
      <c r="AH31" s="154">
        <f t="shared" si="15"/>
        <v>8.3395054691844503</v>
      </c>
      <c r="AJ31" s="154">
        <f t="shared" si="16"/>
        <v>2.3442812148393659</v>
      </c>
      <c r="AL31" s="153">
        <f t="shared" si="7"/>
        <v>5549.7092723605238</v>
      </c>
      <c r="AN31" s="154">
        <v>7.7758276535043622</v>
      </c>
      <c r="AP31" s="154">
        <f t="shared" si="8"/>
        <v>56.499329593768707</v>
      </c>
      <c r="AR31" s="154">
        <f t="shared" si="17"/>
        <v>2.4266174392236017</v>
      </c>
      <c r="AS31" s="154"/>
      <c r="AT31" s="153">
        <f t="shared" si="3"/>
        <v>2476.5074928954223</v>
      </c>
      <c r="AV31" s="153">
        <f t="shared" si="4"/>
        <v>18000.290343452376</v>
      </c>
      <c r="AW31" s="273"/>
      <c r="AX31" s="155">
        <f t="shared" si="9"/>
        <v>20476.7978363478</v>
      </c>
      <c r="AZ31" s="146">
        <f>+IF(AZ30&gt;$G$13+$G$14,XX,AZ30+1)</f>
        <v>2009</v>
      </c>
      <c r="BA31" s="117"/>
      <c r="BB31" s="154">
        <f t="shared" si="18"/>
        <v>39.858132276736185</v>
      </c>
      <c r="BD31" s="154">
        <f t="shared" si="19"/>
        <v>6.0601578232499982</v>
      </c>
      <c r="BF31" s="153">
        <f t="shared" si="10"/>
        <v>3073.2017794651015</v>
      </c>
      <c r="BH31" s="157"/>
    </row>
    <row r="32" spans="1:64" ht="12">
      <c r="B32" s="2"/>
      <c r="C32">
        <f>+IF(C31&gt;$G$13+$G$14,XX,C31+1)</f>
        <v>2010</v>
      </c>
      <c r="E32" s="169">
        <v>1.9E-2</v>
      </c>
      <c r="G32" s="18">
        <v>305473.07679881854</v>
      </c>
      <c r="I32" s="28">
        <f t="shared" si="11"/>
        <v>201.40688390711551</v>
      </c>
      <c r="K32" s="28">
        <f t="shared" si="12"/>
        <v>13.564298924713793</v>
      </c>
      <c r="M32" s="28">
        <f t="shared" si="13"/>
        <v>3.2455781027774555</v>
      </c>
      <c r="O32" s="270">
        <v>5.3750965040999983</v>
      </c>
      <c r="Q32" s="28">
        <v>-33.144578630136984</v>
      </c>
      <c r="S32" s="18">
        <f t="shared" si="5"/>
        <v>16893.527542712323</v>
      </c>
      <c r="U32" s="18">
        <f t="shared" si="0"/>
        <v>19875.654862083324</v>
      </c>
      <c r="W32" s="18">
        <f t="shared" si="1"/>
        <v>-2982.1273193710003</v>
      </c>
      <c r="Y32" s="271">
        <f t="shared" si="6"/>
        <v>-9.7623245577710893</v>
      </c>
      <c r="Z32" s="235"/>
      <c r="AB32" s="146">
        <f>+IF(AB31&gt;$G$13+$G$14,XX,AB31+1)</f>
        <v>2010</v>
      </c>
      <c r="AC32" s="117"/>
      <c r="AD32" s="151">
        <f t="shared" si="2"/>
        <v>305473.07679881854</v>
      </c>
      <c r="AF32" s="154">
        <f t="shared" si="14"/>
        <v>60.276081778615833</v>
      </c>
      <c r="AH32" s="154">
        <f t="shared" si="15"/>
        <v>8.4979560730989547</v>
      </c>
      <c r="AJ32" s="154">
        <f t="shared" si="16"/>
        <v>2.3888225579213138</v>
      </c>
      <c r="AL32" s="153">
        <f t="shared" si="7"/>
        <v>5655.1537485353738</v>
      </c>
      <c r="AN32" s="154">
        <v>7.4774457529777205</v>
      </c>
      <c r="AP32" s="154">
        <f t="shared" si="8"/>
        <v>54.331280339864243</v>
      </c>
      <c r="AR32" s="154">
        <f t="shared" si="17"/>
        <v>2.4727231705688499</v>
      </c>
      <c r="AS32" s="154"/>
      <c r="AT32" s="153">
        <f t="shared" si="3"/>
        <v>2523.5611352604351</v>
      </c>
      <c r="AV32" s="153">
        <f t="shared" si="4"/>
        <v>17352.093726822888</v>
      </c>
      <c r="AW32" s="273"/>
      <c r="AX32" s="155">
        <f t="shared" si="9"/>
        <v>19875.654862083324</v>
      </c>
      <c r="AZ32" s="146">
        <f>+IF(AZ31&gt;$G$13+$G$14,XX,AZ31+1)</f>
        <v>2010</v>
      </c>
      <c r="BA32" s="117"/>
      <c r="BB32" s="154">
        <f t="shared" si="18"/>
        <v>40.61543678999417</v>
      </c>
      <c r="BD32" s="154">
        <f t="shared" si="19"/>
        <v>6.1753008218917476</v>
      </c>
      <c r="BF32" s="153">
        <f t="shared" si="10"/>
        <v>3131.5926132749387</v>
      </c>
      <c r="BH32" s="157"/>
    </row>
    <row r="33" spans="2:60" ht="12">
      <c r="B33" s="2"/>
      <c r="C33">
        <f>+IF(C32&gt;$G$13+$G$14,XX,C32+1)</f>
        <v>2011</v>
      </c>
      <c r="E33" s="169">
        <v>1.9E-2</v>
      </c>
      <c r="G33" s="18">
        <v>305473.07679881854</v>
      </c>
      <c r="I33" s="28">
        <f t="shared" si="11"/>
        <v>205.23361470135069</v>
      </c>
      <c r="K33" s="28">
        <f t="shared" si="12"/>
        <v>13.822020604283354</v>
      </c>
      <c r="M33" s="28">
        <f t="shared" si="13"/>
        <v>3.3072440867302269</v>
      </c>
      <c r="O33" s="270">
        <v>5.4772233376778976</v>
      </c>
      <c r="Q33" s="28">
        <v>-33.807470202739722</v>
      </c>
      <c r="S33" s="18">
        <f t="shared" si="5"/>
        <v>17204.379789610506</v>
      </c>
      <c r="U33" s="18">
        <f t="shared" si="0"/>
        <v>19060.551893977183</v>
      </c>
      <c r="W33" s="18">
        <f t="shared" si="1"/>
        <v>-1856.1721043666766</v>
      </c>
      <c r="Y33" s="271">
        <f t="shared" si="6"/>
        <v>-6.076385270408406</v>
      </c>
      <c r="Z33" s="235"/>
      <c r="AB33" s="146">
        <f>+IF(AB32&gt;$G$13+$G$14,XX,AB32+1)</f>
        <v>2011</v>
      </c>
      <c r="AC33" s="117"/>
      <c r="AD33" s="151">
        <f t="shared" si="2"/>
        <v>305473.07679881854</v>
      </c>
      <c r="AF33" s="154">
        <f t="shared" si="14"/>
        <v>61.421327332409525</v>
      </c>
      <c r="AH33" s="154">
        <f t="shared" si="15"/>
        <v>8.6594172384878334</v>
      </c>
      <c r="AJ33" s="154">
        <f t="shared" si="16"/>
        <v>2.4342101865218186</v>
      </c>
      <c r="AL33" s="153">
        <f t="shared" si="7"/>
        <v>5762.6016697575469</v>
      </c>
      <c r="AN33" s="154">
        <v>7.0821436233211914</v>
      </c>
      <c r="AP33" s="154">
        <f t="shared" si="8"/>
        <v>51.459006633731178</v>
      </c>
      <c r="AR33" s="154">
        <f t="shared" si="17"/>
        <v>2.5197049108096579</v>
      </c>
      <c r="AS33" s="154"/>
      <c r="AT33" s="153">
        <f t="shared" si="3"/>
        <v>2571.5087968303851</v>
      </c>
      <c r="AV33" s="153">
        <f t="shared" si="4"/>
        <v>16489.043097146798</v>
      </c>
      <c r="AW33" s="273"/>
      <c r="AX33" s="155">
        <f t="shared" si="9"/>
        <v>19060.551893977183</v>
      </c>
      <c r="AZ33" s="146">
        <f>+IF(AZ32&gt;$G$13+$G$14,XX,AZ32+1)</f>
        <v>2011</v>
      </c>
      <c r="BA33" s="117"/>
      <c r="BB33" s="154">
        <f t="shared" si="18"/>
        <v>41.387130089004053</v>
      </c>
      <c r="BD33" s="154">
        <f t="shared" si="19"/>
        <v>6.29263153750769</v>
      </c>
      <c r="BF33" s="153">
        <f t="shared" si="10"/>
        <v>3191.0928729271618</v>
      </c>
      <c r="BH33" s="157"/>
    </row>
    <row r="34" spans="2:60" ht="12">
      <c r="B34" s="2"/>
      <c r="C34">
        <f>+IF(C33&gt;$G$13+$G$14,XX,C33+1)</f>
        <v>2012</v>
      </c>
      <c r="E34" s="169">
        <v>0.02</v>
      </c>
      <c r="G34" s="18">
        <v>306096.90139893163</v>
      </c>
      <c r="I34" s="28">
        <f t="shared" si="11"/>
        <v>209.3382869953777</v>
      </c>
      <c r="K34" s="28">
        <f t="shared" si="12"/>
        <v>14.098461016369022</v>
      </c>
      <c r="M34" s="28">
        <f t="shared" si="13"/>
        <v>3.3733889684648313</v>
      </c>
      <c r="O34" s="270">
        <v>5.5867678044314557</v>
      </c>
      <c r="Q34" s="28">
        <v>-34.48361960679452</v>
      </c>
      <c r="S34" s="18">
        <f t="shared" si="5"/>
        <v>17541.340188212605</v>
      </c>
      <c r="U34" s="18">
        <f t="shared" si="0"/>
        <v>18318.194854876459</v>
      </c>
      <c r="W34" s="18">
        <f t="shared" si="1"/>
        <v>-776.854666663854</v>
      </c>
      <c r="Y34" s="271">
        <f t="shared" si="6"/>
        <v>-2.5379370490633968</v>
      </c>
      <c r="Z34" s="235"/>
      <c r="AB34" s="146">
        <f>+IF(AB33&gt;$G$13+$G$14,XX,AB33+1)</f>
        <v>2012</v>
      </c>
      <c r="AC34" s="117"/>
      <c r="AD34" s="151">
        <f t="shared" si="2"/>
        <v>306096.90139893163</v>
      </c>
      <c r="AF34" s="154">
        <f t="shared" si="14"/>
        <v>62.64975387905772</v>
      </c>
      <c r="AH34" s="154">
        <f t="shared" si="15"/>
        <v>8.8326055832575907</v>
      </c>
      <c r="AJ34" s="154">
        <f t="shared" si="16"/>
        <v>2.4828943902522549</v>
      </c>
      <c r="AL34" s="153">
        <f t="shared" si="7"/>
        <v>5879.4025937528195</v>
      </c>
      <c r="AN34" s="154">
        <v>6.7024699037828679</v>
      </c>
      <c r="AP34" s="154">
        <f t="shared" si="8"/>
        <v>48.700289288881038</v>
      </c>
      <c r="AR34" s="154">
        <f t="shared" si="17"/>
        <v>2.5700990090258511</v>
      </c>
      <c r="AS34" s="154"/>
      <c r="AT34" s="153">
        <f t="shared" si="3"/>
        <v>2624.4878633671146</v>
      </c>
      <c r="AV34" s="153">
        <f t="shared" si="4"/>
        <v>15693.706991509345</v>
      </c>
      <c r="AW34" s="273"/>
      <c r="AX34" s="155">
        <f t="shared" si="9"/>
        <v>18318.194854876459</v>
      </c>
      <c r="AZ34" s="146">
        <f>+IF(AZ33&gt;$G$13+$G$14,XX,AZ33+1)</f>
        <v>2012</v>
      </c>
      <c r="BA34" s="117"/>
      <c r="BB34" s="154">
        <f t="shared" si="18"/>
        <v>42.214872690784134</v>
      </c>
      <c r="BD34" s="154">
        <f t="shared" si="19"/>
        <v>6.4184841682578435</v>
      </c>
      <c r="BF34" s="153">
        <f t="shared" si="10"/>
        <v>3254.9147303857048</v>
      </c>
      <c r="BH34" s="157"/>
    </row>
    <row r="35" spans="2:60" ht="12">
      <c r="B35" s="2"/>
      <c r="C35">
        <f>+IF(C34&gt;$G$13+$G$14,XX,C34+1)</f>
        <v>2013</v>
      </c>
      <c r="E35" s="169">
        <v>1.9E-2</v>
      </c>
      <c r="G35" s="18">
        <v>305473.07679881854</v>
      </c>
      <c r="I35" s="28">
        <f t="shared" si="11"/>
        <v>213.31571444828987</v>
      </c>
      <c r="K35" s="28">
        <f t="shared" si="12"/>
        <v>14.366331775680033</v>
      </c>
      <c r="M35" s="28">
        <f t="shared" si="13"/>
        <v>3.4374833588656628</v>
      </c>
      <c r="O35" s="270">
        <v>5.6929163927156532</v>
      </c>
      <c r="Q35" s="28">
        <v>-35.173291998930409</v>
      </c>
      <c r="S35" s="18">
        <f t="shared" si="5"/>
        <v>17871.354448344919</v>
      </c>
      <c r="U35" s="18">
        <f t="shared" si="0"/>
        <v>18342.811616613639</v>
      </c>
      <c r="W35" s="18">
        <f t="shared" si="1"/>
        <v>-471.45716826872012</v>
      </c>
      <c r="Y35" s="271">
        <f t="shared" si="6"/>
        <v>-1.5433673343959444</v>
      </c>
      <c r="Z35" s="235"/>
      <c r="AB35" s="146">
        <f>+IF(AB34&gt;$G$13+$G$14,XX,AB34+1)</f>
        <v>2013</v>
      </c>
      <c r="AC35" s="117"/>
      <c r="AD35" s="151">
        <f t="shared" si="2"/>
        <v>305473.07679881854</v>
      </c>
      <c r="AF35" s="154">
        <f t="shared" si="14"/>
        <v>63.840099202759809</v>
      </c>
      <c r="AH35" s="154">
        <f t="shared" si="15"/>
        <v>9.0004250893394833</v>
      </c>
      <c r="AJ35" s="154">
        <f t="shared" si="16"/>
        <v>2.5300693836670476</v>
      </c>
      <c r="AL35" s="153">
        <f t="shared" si="7"/>
        <v>5989.5329235125964</v>
      </c>
      <c r="AN35" s="154">
        <v>6.6994948806584134</v>
      </c>
      <c r="AP35" s="154">
        <f t="shared" si="8"/>
        <v>48.678672707399592</v>
      </c>
      <c r="AR35" s="154">
        <f t="shared" si="17"/>
        <v>2.6189308901973418</v>
      </c>
      <c r="AS35" s="154"/>
      <c r="AT35" s="153">
        <f t="shared" si="3"/>
        <v>2672.7748132495635</v>
      </c>
      <c r="AV35" s="153">
        <f t="shared" si="4"/>
        <v>15670.036803364077</v>
      </c>
      <c r="AW35" s="273"/>
      <c r="AX35" s="155">
        <f t="shared" si="9"/>
        <v>18342.811616613639</v>
      </c>
      <c r="AZ35" s="146">
        <f>+IF(AZ34&gt;$G$13+$G$14,XX,AZ34+1)</f>
        <v>2013</v>
      </c>
      <c r="BA35" s="117"/>
      <c r="BB35" s="154">
        <f t="shared" si="18"/>
        <v>43.016955271909026</v>
      </c>
      <c r="BD35" s="154">
        <f t="shared" si="19"/>
        <v>6.5404353674547417</v>
      </c>
      <c r="BF35" s="153">
        <f t="shared" si="10"/>
        <v>3316.7581102630329</v>
      </c>
      <c r="BH35" s="157"/>
    </row>
    <row r="36" spans="2:60" ht="12">
      <c r="B36" s="2"/>
      <c r="C36">
        <f>+IF(C35&gt;$G$13+$G$14,XX,C35+1)</f>
        <v>2014</v>
      </c>
      <c r="E36" s="169">
        <v>1.7999999999999999E-2</v>
      </c>
      <c r="G36" s="18">
        <v>305473.07679881854</v>
      </c>
      <c r="I36" s="28">
        <f t="shared" si="11"/>
        <v>217.15539730835908</v>
      </c>
      <c r="K36" s="28">
        <f t="shared" si="12"/>
        <v>14.624925747642274</v>
      </c>
      <c r="M36" s="28">
        <f t="shared" si="13"/>
        <v>3.4993580593252447</v>
      </c>
      <c r="O36" s="270">
        <v>5.7953888877845348</v>
      </c>
      <c r="Q36" s="28">
        <v>-35.876757838909015</v>
      </c>
      <c r="S36" s="18">
        <f t="shared" si="5"/>
        <v>18171.549840959015</v>
      </c>
      <c r="U36" s="18">
        <f t="shared" si="0"/>
        <v>18881.450804220665</v>
      </c>
      <c r="W36" s="18">
        <f t="shared" si="1"/>
        <v>-709.90096326165076</v>
      </c>
      <c r="Y36" s="271">
        <f t="shared" si="6"/>
        <v>-2.3239395455108611</v>
      </c>
      <c r="Z36" s="235"/>
      <c r="AB36" s="146">
        <f>+IF(AB35&gt;$G$13+$G$14,XX,AB35+1)</f>
        <v>2014</v>
      </c>
      <c r="AC36" s="117"/>
      <c r="AD36" s="151">
        <f t="shared" si="2"/>
        <v>305473.07679881854</v>
      </c>
      <c r="AF36" s="154">
        <f t="shared" si="14"/>
        <v>64.989220988409485</v>
      </c>
      <c r="AH36" s="154">
        <f t="shared" si="15"/>
        <v>9.1624327409475939</v>
      </c>
      <c r="AJ36" s="154">
        <f t="shared" si="16"/>
        <v>2.5756106325730546</v>
      </c>
      <c r="AL36" s="153">
        <f t="shared" si="7"/>
        <v>6097.3445161358241</v>
      </c>
      <c r="AN36" s="154">
        <v>6.9140085811973453</v>
      </c>
      <c r="AP36" s="154">
        <f t="shared" si="8"/>
        <v>50.2373338312307</v>
      </c>
      <c r="AR36" s="154">
        <f t="shared" si="17"/>
        <v>2.6660716462208942</v>
      </c>
      <c r="AS36" s="154"/>
      <c r="AT36" s="153">
        <f t="shared" si="3"/>
        <v>2720.8847598880566</v>
      </c>
      <c r="AV36" s="153">
        <f t="shared" si="4"/>
        <v>16160.566044332609</v>
      </c>
      <c r="AW36" s="273"/>
      <c r="AX36" s="155">
        <f t="shared" si="9"/>
        <v>18881.450804220665</v>
      </c>
      <c r="AZ36" s="146">
        <f>+IF(AZ35&gt;$G$13+$G$14,XX,AZ35+1)</f>
        <v>2014</v>
      </c>
      <c r="BA36" s="117"/>
      <c r="BB36" s="154">
        <f t="shared" si="18"/>
        <v>43.791260466803386</v>
      </c>
      <c r="BD36" s="154">
        <f t="shared" si="19"/>
        <v>6.6581632040689271</v>
      </c>
      <c r="BF36" s="153">
        <f t="shared" si="10"/>
        <v>3376.4597562477675</v>
      </c>
      <c r="BH36" s="157"/>
    </row>
    <row r="37" spans="2:60" ht="12">
      <c r="B37" s="2"/>
      <c r="C37">
        <f>+IF(C36&gt;$G$13+$G$14,XX,C36+1)</f>
        <v>2015</v>
      </c>
      <c r="E37" s="169">
        <v>1.7999999999999999E-2</v>
      </c>
      <c r="G37" s="18">
        <v>305473.07679881854</v>
      </c>
      <c r="I37" s="28">
        <f t="shared" si="11"/>
        <v>221.06419445990954</v>
      </c>
      <c r="K37" s="28">
        <f t="shared" si="12"/>
        <v>14.888174411099836</v>
      </c>
      <c r="M37" s="28">
        <f t="shared" si="13"/>
        <v>3.5623465043930991</v>
      </c>
      <c r="O37" s="270">
        <v>5.8997058877646564</v>
      </c>
      <c r="Q37" s="28">
        <v>-36.594292995687191</v>
      </c>
      <c r="S37" s="18">
        <f t="shared" si="5"/>
        <v>18476.718970891045</v>
      </c>
      <c r="U37" s="18">
        <f t="shared" si="0"/>
        <v>19838.226285512537</v>
      </c>
      <c r="W37" s="18">
        <f t="shared" si="1"/>
        <v>-1361.5073146214927</v>
      </c>
      <c r="Y37" s="271">
        <f t="shared" si="6"/>
        <v>-4.4570452129179543</v>
      </c>
      <c r="Z37" s="235"/>
      <c r="AB37" s="146">
        <f>+IF(AB36&gt;$G$13+$G$14,XX,AB36+1)</f>
        <v>2015</v>
      </c>
      <c r="AC37" s="117"/>
      <c r="AD37" s="151">
        <f t="shared" si="2"/>
        <v>305473.07679881854</v>
      </c>
      <c r="AF37" s="154">
        <f t="shared" si="14"/>
        <v>66.159026966200855</v>
      </c>
      <c r="AH37" s="154">
        <f t="shared" si="15"/>
        <v>9.3273565302846499</v>
      </c>
      <c r="AJ37" s="154">
        <f t="shared" si="16"/>
        <v>2.6219716239593698</v>
      </c>
      <c r="AL37" s="153">
        <f t="shared" si="7"/>
        <v>6207.0967174262696</v>
      </c>
      <c r="AN37" s="154">
        <v>7.3164011858738007</v>
      </c>
      <c r="AP37" s="154">
        <f t="shared" si="8"/>
        <v>53.161127080102943</v>
      </c>
      <c r="AR37" s="154">
        <f t="shared" si="17"/>
        <v>2.7140609358528702</v>
      </c>
      <c r="AS37" s="154"/>
      <c r="AT37" s="153">
        <f t="shared" si="3"/>
        <v>2769.8606855660423</v>
      </c>
      <c r="AV37" s="153">
        <f t="shared" si="4"/>
        <v>17068.365599946494</v>
      </c>
      <c r="AW37" s="273"/>
      <c r="AX37" s="155">
        <f t="shared" si="9"/>
        <v>19838.226285512537</v>
      </c>
      <c r="AZ37" s="146">
        <f>+IF(AZ36&gt;$G$13+$G$14,XX,AZ36+1)</f>
        <v>2015</v>
      </c>
      <c r="BA37" s="117"/>
      <c r="BB37" s="154">
        <f t="shared" si="18"/>
        <v>44.579503155205849</v>
      </c>
      <c r="BD37" s="154">
        <f t="shared" si="19"/>
        <v>6.7780101417421683</v>
      </c>
      <c r="BF37" s="153">
        <f>(BB37+BD37)*$BD$11</f>
        <v>3437.2360318602273</v>
      </c>
      <c r="BH37" s="157"/>
    </row>
    <row r="38" spans="2:60" ht="12">
      <c r="B38" s="2"/>
      <c r="C38">
        <f>+IF(C37&gt;$G$13+$G$14,XX,C37+1)</f>
        <v>2016</v>
      </c>
      <c r="E38" s="169">
        <v>1.7999999999999999E-2</v>
      </c>
      <c r="G38" s="18">
        <v>306096.90139893163</v>
      </c>
      <c r="I38" s="28">
        <f t="shared" si="11"/>
        <v>225.04334996018792</v>
      </c>
      <c r="K38" s="28">
        <f t="shared" si="12"/>
        <v>15.156161550499634</v>
      </c>
      <c r="M38" s="28">
        <f t="shared" si="13"/>
        <v>3.6264687414721748</v>
      </c>
      <c r="O38" s="270">
        <v>6.0059005937444203</v>
      </c>
      <c r="Q38" s="28">
        <v>0</v>
      </c>
      <c r="S38" s="18">
        <f t="shared" si="5"/>
        <v>30204.549165348344</v>
      </c>
      <c r="U38" s="18">
        <f t="shared" si="0"/>
        <v>21284.657849604559</v>
      </c>
      <c r="W38" s="18">
        <f t="shared" si="1"/>
        <v>8919.8913157437855</v>
      </c>
      <c r="Y38" s="271">
        <f t="shared" si="6"/>
        <v>29.140743584720646</v>
      </c>
      <c r="Z38" s="235"/>
      <c r="AB38" s="146">
        <f>+IF(AB37&gt;$G$13+$G$14,XX,AB37+1)</f>
        <v>2016</v>
      </c>
      <c r="AC38" s="117"/>
      <c r="AD38" s="151">
        <f t="shared" si="2"/>
        <v>306096.90139893163</v>
      </c>
      <c r="AF38" s="154">
        <f t="shared" si="14"/>
        <v>67.349889451592475</v>
      </c>
      <c r="AH38" s="154">
        <f t="shared" si="15"/>
        <v>9.4952489478297739</v>
      </c>
      <c r="AJ38" s="154">
        <f t="shared" si="16"/>
        <v>2.6691671131906385</v>
      </c>
      <c r="AL38" s="153">
        <f t="shared" si="7"/>
        <v>6320.4895504469632</v>
      </c>
      <c r="AN38" s="154">
        <v>7.9211828417083421</v>
      </c>
      <c r="AP38" s="154">
        <f t="shared" si="8"/>
        <v>57.555483491778489</v>
      </c>
      <c r="AR38" s="154">
        <f t="shared" si="17"/>
        <v>2.7629140326982218</v>
      </c>
      <c r="AS38" s="154"/>
      <c r="AT38" s="153">
        <f t="shared" si="3"/>
        <v>2821.3832700132511</v>
      </c>
      <c r="AV38" s="153">
        <f t="shared" si="4"/>
        <v>18463.274579591307</v>
      </c>
      <c r="AW38" s="273"/>
      <c r="AX38" s="155">
        <f t="shared" si="9"/>
        <v>21284.657849604559</v>
      </c>
      <c r="AZ38" s="146">
        <f>+IF(AZ37&gt;$G$13+$G$14,XX,AZ37+1)</f>
        <v>2016</v>
      </c>
      <c r="BA38" s="117"/>
      <c r="BB38" s="154">
        <f t="shared" si="18"/>
        <v>45.381934211999557</v>
      </c>
      <c r="BD38" s="154">
        <f t="shared" si="19"/>
        <v>6.9000143242935277</v>
      </c>
      <c r="BF38" s="153">
        <f t="shared" si="10"/>
        <v>3499.1062804337121</v>
      </c>
      <c r="BH38" s="157"/>
    </row>
    <row r="39" spans="2:60" ht="12">
      <c r="B39" s="2"/>
      <c r="C39">
        <f>+IF(C38&gt;$G$13+$G$14,XX,C38+1)</f>
        <v>2017</v>
      </c>
      <c r="E39" s="169">
        <v>1.7999999999999999E-2</v>
      </c>
      <c r="G39" s="18">
        <v>305473.07679881854</v>
      </c>
      <c r="I39" s="28">
        <f t="shared" si="11"/>
        <v>229.09413025947131</v>
      </c>
      <c r="K39" s="28">
        <f t="shared" si="12"/>
        <v>15.428972458408628</v>
      </c>
      <c r="M39" s="28">
        <f t="shared" si="13"/>
        <v>3.6917451788186741</v>
      </c>
      <c r="O39" s="270">
        <v>6.1140068044318197</v>
      </c>
      <c r="Q39" s="28">
        <v>0</v>
      </c>
      <c r="S39" s="18">
        <f t="shared" si="5"/>
        <v>30732.489008440829</v>
      </c>
      <c r="U39" s="18">
        <f t="shared" si="0"/>
        <v>22699.814172911068</v>
      </c>
      <c r="W39" s="18">
        <f t="shared" si="1"/>
        <v>8032.6748355297605</v>
      </c>
      <c r="Y39" s="271">
        <f t="shared" si="6"/>
        <v>26.295852059067052</v>
      </c>
      <c r="Z39" s="235"/>
      <c r="AB39" s="146">
        <f>+IF(AB38&gt;$G$13+$G$14,XX,AB38+1)</f>
        <v>2017</v>
      </c>
      <c r="AC39" s="117"/>
      <c r="AD39" s="151">
        <f t="shared" si="2"/>
        <v>305473.07679881854</v>
      </c>
      <c r="AF39" s="154">
        <f t="shared" si="14"/>
        <v>68.562187461721138</v>
      </c>
      <c r="AH39" s="154">
        <f t="shared" si="15"/>
        <v>9.6661634288907106</v>
      </c>
      <c r="AJ39" s="154">
        <f t="shared" si="16"/>
        <v>2.7172121212280702</v>
      </c>
      <c r="AL39" s="153">
        <f t="shared" si="7"/>
        <v>6432.5632985900611</v>
      </c>
      <c r="AN39" s="154">
        <v>8.5467545643478058</v>
      </c>
      <c r="AP39" s="154">
        <f t="shared" si="8"/>
        <v>62.100900972324112</v>
      </c>
      <c r="AR39" s="154">
        <f t="shared" si="17"/>
        <v>2.8126464852867898</v>
      </c>
      <c r="AS39" s="154"/>
      <c r="AT39" s="153">
        <f t="shared" si="3"/>
        <v>2870.4731051085428</v>
      </c>
      <c r="AV39" s="153">
        <f t="shared" si="4"/>
        <v>19829.341067802525</v>
      </c>
      <c r="AW39" s="273"/>
      <c r="AX39" s="155">
        <f t="shared" si="9"/>
        <v>22699.814172911068</v>
      </c>
      <c r="AZ39" s="146">
        <f>+IF(AZ38&gt;$G$13+$G$14,XX,AZ38+1)</f>
        <v>2017</v>
      </c>
      <c r="BA39" s="117"/>
      <c r="BB39" s="154">
        <f t="shared" si="18"/>
        <v>46.19880902781555</v>
      </c>
      <c r="BD39" s="154">
        <f t="shared" si="19"/>
        <v>7.0242145821308108</v>
      </c>
      <c r="BF39" s="153">
        <f t="shared" si="10"/>
        <v>3562.0901934815183</v>
      </c>
      <c r="BH39" s="157"/>
    </row>
    <row r="40" spans="2:60" ht="12">
      <c r="B40" s="2"/>
      <c r="C40">
        <f>+IF(C39&gt;$G$13+$G$14,XX,C39+1)</f>
        <v>2018</v>
      </c>
      <c r="E40" s="169">
        <v>1.7999999999999999E-2</v>
      </c>
      <c r="G40" s="18">
        <v>305473.07679881854</v>
      </c>
      <c r="I40" s="28">
        <f t="shared" si="11"/>
        <v>233.21782460414181</v>
      </c>
      <c r="K40" s="28">
        <f t="shared" si="12"/>
        <v>15.706693962659983</v>
      </c>
      <c r="M40" s="28">
        <f t="shared" si="13"/>
        <v>3.7581965920374105</v>
      </c>
      <c r="O40" s="270">
        <v>6.2240589269115922</v>
      </c>
      <c r="Q40" s="28">
        <v>0</v>
      </c>
      <c r="S40" s="18">
        <f>(I40*$G$11*1000+(K40+M40+O40+Q40)*G40)/1000</f>
        <v>31285.673810592762</v>
      </c>
      <c r="U40" s="18">
        <f t="shared" si="0"/>
        <v>24010.784566859322</v>
      </c>
      <c r="W40" s="18">
        <f t="shared" si="1"/>
        <v>7274.8892437334398</v>
      </c>
      <c r="Y40" s="271">
        <f t="shared" si="6"/>
        <v>23.815156870680973</v>
      </c>
      <c r="Z40" s="235"/>
      <c r="AB40" s="146">
        <f>+IF(AB39&gt;$G$13+$G$14,XX,AB39+1)</f>
        <v>2018</v>
      </c>
      <c r="AC40" s="117"/>
      <c r="AD40" s="151">
        <f t="shared" si="2"/>
        <v>305473.07679881854</v>
      </c>
      <c r="AF40" s="154">
        <f t="shared" si="14"/>
        <v>69.796306836032116</v>
      </c>
      <c r="AH40" s="154">
        <f t="shared" si="15"/>
        <v>9.8401543706107439</v>
      </c>
      <c r="AJ40" s="154">
        <f t="shared" si="16"/>
        <v>2.7661219394101755</v>
      </c>
      <c r="AL40" s="153">
        <f t="shared" si="7"/>
        <v>6548.3494379646818</v>
      </c>
      <c r="AN40" s="154">
        <v>9.1071488375904099</v>
      </c>
      <c r="AP40" s="154">
        <f t="shared" si="8"/>
        <v>66.172737715275218</v>
      </c>
      <c r="AR40" s="154">
        <f t="shared" si="17"/>
        <v>2.8632741220219522</v>
      </c>
      <c r="AS40" s="154"/>
      <c r="AT40" s="153">
        <f t="shared" si="3"/>
        <v>2922.1416210004959</v>
      </c>
      <c r="AV40" s="153">
        <f t="shared" si="4"/>
        <v>21088.642945858825</v>
      </c>
      <c r="AW40" s="273"/>
      <c r="AX40" s="155">
        <f t="shared" si="9"/>
        <v>24010.784566859322</v>
      </c>
      <c r="AZ40" s="146">
        <f>+IF(AZ39&gt;$G$13+$G$14,XX,AZ39+1)</f>
        <v>2018</v>
      </c>
      <c r="BA40" s="117"/>
      <c r="BB40" s="154">
        <f t="shared" si="18"/>
        <v>47.030387590316231</v>
      </c>
      <c r="BD40" s="154">
        <f t="shared" si="19"/>
        <v>7.1506504446091652</v>
      </c>
      <c r="BF40" s="153">
        <f t="shared" si="10"/>
        <v>3626.2078169641859</v>
      </c>
      <c r="BH40" s="157"/>
    </row>
    <row r="41" spans="2:60" ht="12">
      <c r="B41" s="2"/>
      <c r="C41" s="353">
        <f>+IF(C40&gt;$G$13+$G$14,XX,C40+1)</f>
        <v>2019</v>
      </c>
      <c r="E41" s="355">
        <v>2.3E-2</v>
      </c>
      <c r="G41" s="357">
        <f>G40</f>
        <v>305473.07679881854</v>
      </c>
      <c r="I41" s="463">
        <v>243.60175692578935</v>
      </c>
      <c r="K41" s="464">
        <v>1.6105570387117911</v>
      </c>
      <c r="M41" s="28">
        <f>M40*(1+$E41)</f>
        <v>3.8446351136542707</v>
      </c>
      <c r="O41" s="464">
        <v>0.60999999999999988</v>
      </c>
      <c r="Q41" s="464">
        <v>-4.5124346875317691</v>
      </c>
      <c r="S41" s="464">
        <f>(I41*$I$11*1000+(K41*I11+M41+O41+Q41)*G41)/1000</f>
        <v>73908.49266188794</v>
      </c>
      <c r="U41" s="18">
        <f>AX41</f>
        <v>9535.9591644431966</v>
      </c>
      <c r="W41" s="18">
        <f t="shared" si="1"/>
        <v>64372.533497444747</v>
      </c>
      <c r="Y41" s="271">
        <f t="shared" si="6"/>
        <v>210.73062861065117</v>
      </c>
      <c r="Z41" s="235"/>
      <c r="AB41" s="383">
        <f>+IF(AB40&gt;$G$13+$G$14,XX,AB40+1)</f>
        <v>2019</v>
      </c>
      <c r="AC41" s="117"/>
      <c r="AD41" s="151">
        <f t="shared" si="2"/>
        <v>305473.07679881854</v>
      </c>
      <c r="AF41" s="399">
        <f>AR15*AR16*(1+E41)</f>
        <v>101.14988775589339</v>
      </c>
      <c r="AH41" s="399">
        <f>AV11*(1+E41)</f>
        <v>20.260761973544962</v>
      </c>
      <c r="AJ41" s="399">
        <f>AV13*(1+E41)</f>
        <v>2.0676516575367789</v>
      </c>
      <c r="AL41" s="413">
        <f>((AF41+AH41)*$AR$11*1000+AJ41*AD41)/1000</f>
        <v>5333.5064400380788</v>
      </c>
      <c r="AN41" s="399">
        <v>2.6163124999999998</v>
      </c>
      <c r="AP41" s="399">
        <f>AN41*$AR$14/1000</f>
        <v>16.783340028828679</v>
      </c>
      <c r="AR41" s="154">
        <f>AR40*(1+$E41)</f>
        <v>2.9291294268284567</v>
      </c>
      <c r="AS41" s="154"/>
      <c r="AT41" s="153">
        <f>AL41-BF41</f>
        <v>3514.3304685208795</v>
      </c>
      <c r="AV41" s="153">
        <f>(AP41+AR41)*AD41/1000</f>
        <v>6021.6286959223171</v>
      </c>
      <c r="AW41" s="273"/>
      <c r="AX41" s="155">
        <f>AT41+AV41</f>
        <v>9535.9591644431966</v>
      </c>
      <c r="AZ41" s="383">
        <f>+IF(AZ40&gt;$G$13+$G$14,XX,AZ40+1)</f>
        <v>2019</v>
      </c>
      <c r="BA41" s="117"/>
      <c r="BB41" s="399">
        <f>BK14*BK15</f>
        <v>51.737400000000001</v>
      </c>
      <c r="BD41" s="399">
        <f>BI16</f>
        <v>15.97</v>
      </c>
      <c r="BF41" s="413">
        <f>(BB41+BD41)*$BK$11</f>
        <v>1819.1759715171991</v>
      </c>
      <c r="BH41" s="157"/>
    </row>
    <row r="42" spans="2:60" ht="12">
      <c r="B42" s="2"/>
      <c r="C42" s="354">
        <f>+IF(C41&gt;$I$13+$I$14,XX,C41+1)</f>
        <v>2020</v>
      </c>
      <c r="E42" s="356">
        <v>2.5999999999999999E-2</v>
      </c>
      <c r="G42" s="414">
        <v>238484</v>
      </c>
      <c r="I42" s="465">
        <v>317.33177722749872</v>
      </c>
      <c r="K42" s="465">
        <v>2.222548469383288</v>
      </c>
      <c r="M42" s="28">
        <f t="shared" si="13"/>
        <v>3.9445956266092819</v>
      </c>
      <c r="O42" s="465">
        <v>0.63</v>
      </c>
      <c r="Q42" s="465">
        <v>-40.290737965156566</v>
      </c>
      <c r="S42" s="465">
        <f t="shared" ref="S42:S71" si="20">(I42*$I$11*1000+(K42+M42+O42+Q42)*G42)/1000</f>
        <v>23904.157371069916</v>
      </c>
      <c r="U42" s="18">
        <f>AX42</f>
        <v>8302.356408193984</v>
      </c>
      <c r="W42" s="18">
        <f t="shared" si="1"/>
        <v>15601.800962875932</v>
      </c>
      <c r="Y42" s="271">
        <f t="shared" si="6"/>
        <v>65.420745051558725</v>
      </c>
      <c r="Z42" s="235"/>
      <c r="AB42" s="384">
        <f>+IF(AB41&gt;$I$13+$I$14,XX,AB41+1)</f>
        <v>2020</v>
      </c>
      <c r="AC42" s="117"/>
      <c r="AD42" s="151">
        <f t="shared" si="2"/>
        <v>238484</v>
      </c>
      <c r="AF42" s="154">
        <f t="shared" si="14"/>
        <v>103.77978483754661</v>
      </c>
      <c r="AH42" s="154">
        <f t="shared" si="15"/>
        <v>20.787541784857133</v>
      </c>
      <c r="AJ42" s="154">
        <f t="shared" si="16"/>
        <v>2.1214106006327351</v>
      </c>
      <c r="AL42" s="153">
        <f t="shared" ref="AL42:AL71" si="21">((AF42+AH42)*$AR$11*1000+AJ42*AD42)/1000</f>
        <v>5330.0662698314554</v>
      </c>
      <c r="AN42" s="154">
        <v>2.6944208333333339</v>
      </c>
      <c r="AP42" s="154">
        <f>AN42*$AR$14/1000</f>
        <v>17.28439589177259</v>
      </c>
      <c r="AR42" s="154">
        <f t="shared" si="17"/>
        <v>3.0052867919259967</v>
      </c>
      <c r="AS42" s="154"/>
      <c r="AT42" s="153">
        <f t="shared" si="3"/>
        <v>3463.5917230548093</v>
      </c>
      <c r="AV42" s="153">
        <f t="shared" si="4"/>
        <v>4838.7646851391737</v>
      </c>
      <c r="AW42" s="273"/>
      <c r="AX42" s="155">
        <f t="shared" si="9"/>
        <v>8302.356408193984</v>
      </c>
      <c r="AZ42" s="384">
        <f>+IF(AZ41&gt;$I$13+$I$14,XX,AZ41+1)</f>
        <v>2020</v>
      </c>
      <c r="BA42" s="117"/>
      <c r="BB42" s="154">
        <f t="shared" si="18"/>
        <v>53.082572400000004</v>
      </c>
      <c r="BD42" s="154">
        <f t="shared" si="19"/>
        <v>16.38522</v>
      </c>
      <c r="BF42" s="153">
        <f>(BB42+BD42)*$BK$11</f>
        <v>1866.4745467766463</v>
      </c>
      <c r="BH42" s="157"/>
    </row>
    <row r="43" spans="2:60" ht="12">
      <c r="B43" s="2"/>
      <c r="C43" s="354">
        <f>+IF(C42&gt;$I$13+$I$14,XX,C42+1)</f>
        <v>2021</v>
      </c>
      <c r="E43" s="356">
        <v>2.4E-2</v>
      </c>
      <c r="G43" s="414">
        <v>238444</v>
      </c>
      <c r="I43" s="465">
        <v>323.1193917659561</v>
      </c>
      <c r="K43" s="465">
        <v>2.2696713549636556</v>
      </c>
      <c r="M43" s="28">
        <f t="shared" si="13"/>
        <v>4.039265921647905</v>
      </c>
      <c r="O43" s="465">
        <v>0.6399999999999999</v>
      </c>
      <c r="Q43" s="465">
        <v>-41.902367483762823</v>
      </c>
      <c r="S43" s="465">
        <f t="shared" si="20"/>
        <v>24139.063160164609</v>
      </c>
      <c r="U43" s="18">
        <f t="shared" si="0"/>
        <v>8680.6904317816261</v>
      </c>
      <c r="W43" s="18">
        <f t="shared" si="1"/>
        <v>15458.372728382983</v>
      </c>
      <c r="Y43" s="271">
        <f t="shared" si="6"/>
        <v>64.830202179056641</v>
      </c>
      <c r="Z43" s="235"/>
      <c r="AB43" s="384">
        <f>+IF(AB42&gt;$I$13+$I$14,XX,AB42+1)</f>
        <v>2021</v>
      </c>
      <c r="AC43" s="117"/>
      <c r="AD43" s="151">
        <f t="shared" si="2"/>
        <v>238444</v>
      </c>
      <c r="AF43" s="154">
        <f t="shared" si="14"/>
        <v>106.27049967364773</v>
      </c>
      <c r="AH43" s="154">
        <f t="shared" si="15"/>
        <v>21.286442787693705</v>
      </c>
      <c r="AJ43" s="154">
        <f t="shared" si="16"/>
        <v>2.1723244550479208</v>
      </c>
      <c r="AL43" s="153">
        <f t="shared" si="21"/>
        <v>5457.9009673292076</v>
      </c>
      <c r="AN43" s="154">
        <v>2.8767624999999999</v>
      </c>
      <c r="AP43" s="154">
        <f t="shared" ref="AP43:AP71" si="22">AN43*$AR$14/1000</f>
        <v>18.45409645051318</v>
      </c>
      <c r="AR43" s="154">
        <f t="shared" si="17"/>
        <v>3.0774136749322207</v>
      </c>
      <c r="AS43" s="154"/>
      <c r="AT43" s="153">
        <f t="shared" si="3"/>
        <v>3546.6310314299217</v>
      </c>
      <c r="AV43" s="153">
        <f t="shared" si="4"/>
        <v>5134.0594003517035</v>
      </c>
      <c r="AW43" s="273"/>
      <c r="AX43" s="155">
        <f t="shared" si="9"/>
        <v>8680.6904317816261</v>
      </c>
      <c r="AZ43" s="384">
        <f>+IF(AZ42&gt;$I$13+$I$14,XX,AZ42+1)</f>
        <v>2021</v>
      </c>
      <c r="BA43" s="117"/>
      <c r="BB43" s="154">
        <f t="shared" si="18"/>
        <v>54.356554137600007</v>
      </c>
      <c r="BD43" s="154">
        <f t="shared" si="19"/>
        <v>16.778465279999999</v>
      </c>
      <c r="BF43" s="153">
        <f t="shared" ref="BF43:BF71" si="23">(BB43+BD43)*$BK$11</f>
        <v>1911.2699358992857</v>
      </c>
      <c r="BH43" s="157"/>
    </row>
    <row r="44" spans="2:60" ht="12">
      <c r="B44" s="2"/>
      <c r="C44" s="354">
        <f>+IF(C43&gt;$I$13+$I$14,XX,C43+1)</f>
        <v>2022</v>
      </c>
      <c r="E44" s="356">
        <v>2.3E-2</v>
      </c>
      <c r="G44" s="414">
        <v>238444</v>
      </c>
      <c r="I44" s="465">
        <v>329.25866020950923</v>
      </c>
      <c r="K44" s="465">
        <v>2.3218737961278193</v>
      </c>
      <c r="M44" s="28">
        <f t="shared" si="13"/>
        <v>4.1321690378458067</v>
      </c>
      <c r="O44" s="465">
        <v>0.66</v>
      </c>
      <c r="Q44" s="465">
        <v>-41.902367483762823</v>
      </c>
      <c r="S44" s="465">
        <f t="shared" si="20"/>
        <v>24795.428068261346</v>
      </c>
      <c r="U44" s="18">
        <f t="shared" si="0"/>
        <v>8982.715882698958</v>
      </c>
      <c r="W44" s="18">
        <f t="shared" si="1"/>
        <v>15812.712185562388</v>
      </c>
      <c r="Y44" s="271">
        <f t="shared" si="6"/>
        <v>66.316251134699925</v>
      </c>
      <c r="Z44" s="235"/>
      <c r="AB44" s="384">
        <f>+IF(AB43&gt;$I$13+$I$14,XX,AB43+1)</f>
        <v>2022</v>
      </c>
      <c r="AC44" s="117"/>
      <c r="AD44" s="151">
        <f t="shared" si="2"/>
        <v>238444</v>
      </c>
      <c r="AF44" s="154">
        <f t="shared" si="14"/>
        <v>108.71472116614163</v>
      </c>
      <c r="AH44" s="154">
        <f t="shared" si="15"/>
        <v>21.776030971810659</v>
      </c>
      <c r="AJ44" s="154">
        <f t="shared" si="16"/>
        <v>2.2222879175140227</v>
      </c>
      <c r="AL44" s="153">
        <f t="shared" si="21"/>
        <v>5583.4326895777795</v>
      </c>
      <c r="AN44" s="154">
        <v>3.0098541666666665</v>
      </c>
      <c r="AP44" s="154">
        <f t="shared" si="22"/>
        <v>19.307863994210731</v>
      </c>
      <c r="AR44" s="154">
        <f t="shared" si="17"/>
        <v>3.1481941894556615</v>
      </c>
      <c r="AS44" s="154"/>
      <c r="AT44" s="153">
        <f t="shared" si="3"/>
        <v>3628.20354515281</v>
      </c>
      <c r="AV44" s="153">
        <f t="shared" si="4"/>
        <v>5354.512337546149</v>
      </c>
      <c r="AW44" s="273"/>
      <c r="AX44" s="155">
        <f t="shared" si="9"/>
        <v>8982.715882698958</v>
      </c>
      <c r="AZ44" s="384">
        <f>+IF(AZ43&gt;$I$13+$I$14,XX,AZ43+1)</f>
        <v>2022</v>
      </c>
      <c r="BA44" s="117"/>
      <c r="BB44" s="154">
        <f t="shared" si="18"/>
        <v>55.606754882764804</v>
      </c>
      <c r="BD44" s="154">
        <f t="shared" si="19"/>
        <v>17.164369981439997</v>
      </c>
      <c r="BF44" s="153">
        <f t="shared" si="23"/>
        <v>1955.2291444249695</v>
      </c>
      <c r="BH44" s="157"/>
    </row>
    <row r="45" spans="2:60" ht="12">
      <c r="B45" s="2"/>
      <c r="C45" s="354">
        <f>+IF(C44&gt;$I$13+$I$14,XX,C44+1)</f>
        <v>2023</v>
      </c>
      <c r="E45" s="356">
        <v>2.3E-2</v>
      </c>
      <c r="G45" s="414">
        <v>238444</v>
      </c>
      <c r="I45" s="465">
        <v>335.51457475348991</v>
      </c>
      <c r="K45" s="465">
        <v>2.3752768934387585</v>
      </c>
      <c r="M45" s="28">
        <f t="shared" si="13"/>
        <v>4.2272089257162602</v>
      </c>
      <c r="O45" s="465">
        <v>0.67</v>
      </c>
      <c r="Q45" s="465">
        <v>-43.513997002369095</v>
      </c>
      <c r="S45" s="465">
        <f t="shared" si="20"/>
        <v>25077.64387015544</v>
      </c>
      <c r="U45" s="18">
        <f t="shared" si="0"/>
        <v>9798.1247137068058</v>
      </c>
      <c r="W45" s="18">
        <f t="shared" si="1"/>
        <v>15279.519156448634</v>
      </c>
      <c r="Y45" s="271">
        <f t="shared" si="6"/>
        <v>64.080115903309093</v>
      </c>
      <c r="Z45" s="235"/>
      <c r="AB45" s="384">
        <f>+IF(AB44&gt;$I$13+$I$14,XX,AB44+1)</f>
        <v>2023</v>
      </c>
      <c r="AC45" s="117"/>
      <c r="AD45" s="151">
        <f t="shared" si="2"/>
        <v>238444</v>
      </c>
      <c r="AF45" s="154">
        <f t="shared" si="14"/>
        <v>111.21515975296288</v>
      </c>
      <c r="AH45" s="154">
        <f t="shared" si="15"/>
        <v>22.276879684162303</v>
      </c>
      <c r="AJ45" s="154">
        <f t="shared" si="16"/>
        <v>2.2734005396168451</v>
      </c>
      <c r="AL45" s="153">
        <f t="shared" si="21"/>
        <v>5711.8516414380692</v>
      </c>
      <c r="AN45" s="154">
        <v>3.4771000000000001</v>
      </c>
      <c r="AP45" s="154">
        <f t="shared" si="22"/>
        <v>22.305191606216844</v>
      </c>
      <c r="AR45" s="154">
        <f t="shared" si="17"/>
        <v>3.2206026558131415</v>
      </c>
      <c r="AS45" s="154"/>
      <c r="AT45" s="153">
        <f t="shared" si="3"/>
        <v>3711.6522266913262</v>
      </c>
      <c r="AV45" s="153">
        <f t="shared" si="4"/>
        <v>6086.4724870154787</v>
      </c>
      <c r="AW45" s="273"/>
      <c r="AX45" s="155">
        <f t="shared" si="9"/>
        <v>9798.1247137068058</v>
      </c>
      <c r="AZ45" s="384">
        <f>+IF(AZ44&gt;$I$13+$I$14,XX,AZ44+1)</f>
        <v>2023</v>
      </c>
      <c r="BA45" s="117"/>
      <c r="BB45" s="154">
        <f t="shared" si="18"/>
        <v>56.885710245068388</v>
      </c>
      <c r="BD45" s="154">
        <f t="shared" si="19"/>
        <v>17.559150491013114</v>
      </c>
      <c r="BF45" s="153">
        <f t="shared" si="23"/>
        <v>2000.1994147467431</v>
      </c>
      <c r="BH45" s="157"/>
    </row>
    <row r="46" spans="2:60" ht="12">
      <c r="B46" s="2"/>
      <c r="C46" s="354">
        <f>+IF(C45&gt;$I$13+$I$14,XX,C45+1)</f>
        <v>2024</v>
      </c>
      <c r="E46" s="356">
        <v>2.3E-2</v>
      </c>
      <c r="G46" s="414">
        <v>238484</v>
      </c>
      <c r="I46" s="465">
        <v>341.88935167380617</v>
      </c>
      <c r="K46" s="465">
        <v>2.4365655448974057</v>
      </c>
      <c r="M46" s="28">
        <f t="shared" si="13"/>
        <v>4.3244347310077336</v>
      </c>
      <c r="O46" s="465">
        <v>0.69</v>
      </c>
      <c r="Q46" s="465">
        <v>-43.513997002369088</v>
      </c>
      <c r="S46" s="465">
        <f t="shared" si="20"/>
        <v>25759.432131903486</v>
      </c>
      <c r="U46" s="18">
        <f t="shared" si="0"/>
        <v>10631.524815057088</v>
      </c>
      <c r="W46" s="18">
        <f t="shared" si="1"/>
        <v>15127.907316846398</v>
      </c>
      <c r="Y46" s="271">
        <f t="shared" si="6"/>
        <v>63.433636289421507</v>
      </c>
      <c r="Z46" s="235"/>
      <c r="AB46" s="384">
        <f>+IF(AB45&gt;$I$13+$I$14,XX,AB45+1)</f>
        <v>2024</v>
      </c>
      <c r="AC46" s="117"/>
      <c r="AD46" s="151">
        <f t="shared" si="2"/>
        <v>238484</v>
      </c>
      <c r="AF46" s="154">
        <f t="shared" si="14"/>
        <v>113.77310842728102</v>
      </c>
      <c r="AH46" s="154">
        <f t="shared" si="15"/>
        <v>22.789247916898034</v>
      </c>
      <c r="AJ46" s="154">
        <f t="shared" si="16"/>
        <v>2.3256887520280323</v>
      </c>
      <c r="AL46" s="153">
        <f t="shared" si="21"/>
        <v>5843.3172567412239</v>
      </c>
      <c r="AN46" s="154">
        <v>3.9537833333333325</v>
      </c>
      <c r="AP46" s="154">
        <f t="shared" si="22"/>
        <v>25.363059681765467</v>
      </c>
      <c r="AR46" s="154">
        <f t="shared" si="17"/>
        <v>3.2946765168968435</v>
      </c>
      <c r="AS46" s="154"/>
      <c r="AT46" s="153">
        <f t="shared" si="3"/>
        <v>3797.113255455306</v>
      </c>
      <c r="AV46" s="153">
        <f t="shared" si="4"/>
        <v>6834.4115596017818</v>
      </c>
      <c r="AW46" s="273"/>
      <c r="AX46" s="155">
        <f t="shared" si="9"/>
        <v>10631.524815057088</v>
      </c>
      <c r="AZ46" s="384">
        <f>+IF(AZ45&gt;$I$13+$I$14,XX,AZ45+1)</f>
        <v>2024</v>
      </c>
      <c r="BA46" s="117"/>
      <c r="BB46" s="154">
        <f t="shared" si="18"/>
        <v>58.194081580704953</v>
      </c>
      <c r="BD46" s="154">
        <f t="shared" si="19"/>
        <v>17.963010952306412</v>
      </c>
      <c r="BF46" s="153">
        <f t="shared" si="23"/>
        <v>2046.2040012859181</v>
      </c>
      <c r="BH46" s="157"/>
    </row>
    <row r="47" spans="2:60" ht="12">
      <c r="B47" s="2"/>
      <c r="C47" s="354">
        <f>+IF(C46&gt;$I$13+$I$14,XX,C46+1)</f>
        <v>2025</v>
      </c>
      <c r="E47" s="356">
        <v>2.3E-2</v>
      </c>
      <c r="G47" s="414">
        <v>238444</v>
      </c>
      <c r="I47" s="465">
        <v>348.38524935560849</v>
      </c>
      <c r="K47" s="465">
        <v>2.4833662437515831</v>
      </c>
      <c r="M47" s="28">
        <f t="shared" si="13"/>
        <v>4.4238967298209113</v>
      </c>
      <c r="O47" s="465">
        <v>0.69999999999999984</v>
      </c>
      <c r="Q47" s="465">
        <v>-45.125626520975359</v>
      </c>
      <c r="S47" s="465">
        <f t="shared" si="20"/>
        <v>26066.68888254173</v>
      </c>
      <c r="U47" s="18">
        <f t="shared" si="0"/>
        <v>10972.600095460029</v>
      </c>
      <c r="W47" s="18">
        <f t="shared" si="1"/>
        <v>15094.088787081701</v>
      </c>
      <c r="Y47" s="271">
        <f t="shared" si="6"/>
        <v>63.30244748067345</v>
      </c>
      <c r="Z47" s="235"/>
      <c r="AB47" s="384">
        <f>+IF(AB46&gt;$I$13+$I$14,XX,AB46+1)</f>
        <v>2025</v>
      </c>
      <c r="AC47" s="117"/>
      <c r="AD47" s="151">
        <f t="shared" si="2"/>
        <v>238444</v>
      </c>
      <c r="AF47" s="154">
        <f t="shared" si="14"/>
        <v>116.38988992110846</v>
      </c>
      <c r="AH47" s="154">
        <f t="shared" si="15"/>
        <v>23.313400618986687</v>
      </c>
      <c r="AJ47" s="154">
        <f t="shared" si="16"/>
        <v>2.3791795933246767</v>
      </c>
      <c r="AL47" s="153">
        <f t="shared" si="21"/>
        <v>5977.6183864625382</v>
      </c>
      <c r="AN47" s="154">
        <v>4.1086708333333339</v>
      </c>
      <c r="AP47" s="154">
        <f t="shared" si="22"/>
        <v>26.356644958262532</v>
      </c>
      <c r="AR47" s="154">
        <f t="shared" si="17"/>
        <v>3.3704540767854705</v>
      </c>
      <c r="AS47" s="154"/>
      <c r="AT47" s="153">
        <f t="shared" si="3"/>
        <v>3884.3516931470444</v>
      </c>
      <c r="AV47" s="153">
        <f t="shared" si="4"/>
        <v>7088.2484023129855</v>
      </c>
      <c r="AW47" s="273"/>
      <c r="AX47" s="155">
        <f t="shared" si="9"/>
        <v>10972.600095460029</v>
      </c>
      <c r="AZ47" s="384">
        <f>+IF(AZ46&gt;$I$13+$I$14,XX,AZ46+1)</f>
        <v>2025</v>
      </c>
      <c r="BA47" s="117"/>
      <c r="BB47" s="154">
        <f t="shared" si="18"/>
        <v>59.532545457061161</v>
      </c>
      <c r="BD47" s="154">
        <f t="shared" si="19"/>
        <v>18.376160204209459</v>
      </c>
      <c r="BF47" s="153">
        <f t="shared" si="23"/>
        <v>2093.2666933154937</v>
      </c>
      <c r="BH47" s="157"/>
    </row>
    <row r="48" spans="2:60" ht="12">
      <c r="B48" s="2"/>
      <c r="C48" s="354">
        <f>+IF(C47&gt;$I$13+$I$14,XX,C47+1)</f>
        <v>2026</v>
      </c>
      <c r="E48" s="356">
        <v>2.1999999999999999E-2</v>
      </c>
      <c r="G48" s="414">
        <v>238444</v>
      </c>
      <c r="I48" s="465">
        <v>355.00456909336503</v>
      </c>
      <c r="K48" s="465">
        <v>2.5380003011141175</v>
      </c>
      <c r="M48" s="28">
        <f t="shared" si="13"/>
        <v>4.5212224578769717</v>
      </c>
      <c r="O48" s="465">
        <v>0.72</v>
      </c>
      <c r="Q48" s="465">
        <v>-46.737256039581631</v>
      </c>
      <c r="S48" s="465">
        <f t="shared" si="20"/>
        <v>26388.649906326056</v>
      </c>
      <c r="U48" s="18">
        <f t="shared" si="0"/>
        <v>11194.783206354903</v>
      </c>
      <c r="W48" s="18">
        <f t="shared" si="1"/>
        <v>15193.866699971153</v>
      </c>
      <c r="Y48" s="271">
        <f t="shared" si="6"/>
        <v>63.720901762976432</v>
      </c>
      <c r="Z48" s="235"/>
      <c r="AB48" s="384">
        <f>+IF(AB47&gt;$I$13+$I$14,XX,AB47+1)</f>
        <v>2026</v>
      </c>
      <c r="AC48" s="117"/>
      <c r="AD48" s="151">
        <f t="shared" si="2"/>
        <v>238444</v>
      </c>
      <c r="AF48" s="154">
        <f t="shared" si="14"/>
        <v>118.95046749937285</v>
      </c>
      <c r="AH48" s="154">
        <f t="shared" si="15"/>
        <v>23.826295432604393</v>
      </c>
      <c r="AJ48" s="154">
        <f t="shared" si="16"/>
        <v>2.4315215443778198</v>
      </c>
      <c r="AL48" s="153">
        <f t="shared" si="21"/>
        <v>6109.1259909647142</v>
      </c>
      <c r="AN48" s="154">
        <v>4.1864999999999997</v>
      </c>
      <c r="AP48" s="154">
        <f t="shared" si="22"/>
        <v>26.855909999547556</v>
      </c>
      <c r="AR48" s="154">
        <f t="shared" si="17"/>
        <v>3.444604066474751</v>
      </c>
      <c r="AS48" s="154"/>
      <c r="AT48" s="153">
        <f t="shared" si="3"/>
        <v>3969.8074303962794</v>
      </c>
      <c r="AV48" s="153">
        <f t="shared" si="4"/>
        <v>7224.9757759586237</v>
      </c>
      <c r="AW48" s="273"/>
      <c r="AX48" s="155">
        <f t="shared" si="9"/>
        <v>11194.783206354903</v>
      </c>
      <c r="AZ48" s="384">
        <f>+IF(AZ47&gt;$I$13+$I$14,XX,AZ47+1)</f>
        <v>2026</v>
      </c>
      <c r="BA48" s="117"/>
      <c r="BB48" s="154">
        <f t="shared" si="18"/>
        <v>60.842261457116507</v>
      </c>
      <c r="BD48" s="154">
        <f t="shared" si="19"/>
        <v>18.780435728702066</v>
      </c>
      <c r="BF48" s="153">
        <f t="shared" si="23"/>
        <v>2139.3185605684348</v>
      </c>
      <c r="BH48" s="157"/>
    </row>
    <row r="49" spans="2:60" ht="12">
      <c r="B49" s="2"/>
      <c r="C49" s="354">
        <f>+IF(C48&gt;$I$13+$I$14,XX,C48+1)</f>
        <v>2027</v>
      </c>
      <c r="E49" s="356">
        <v>2.1999999999999999E-2</v>
      </c>
      <c r="G49" s="414">
        <v>238444</v>
      </c>
      <c r="I49" s="465">
        <v>361.74965590613891</v>
      </c>
      <c r="K49" s="465">
        <v>2.5938363077386275</v>
      </c>
      <c r="M49" s="28">
        <f t="shared" si="13"/>
        <v>4.620689351950265</v>
      </c>
      <c r="O49" s="465">
        <v>0.74</v>
      </c>
      <c r="Q49" s="465">
        <v>-46.737256039581631</v>
      </c>
      <c r="S49" s="465">
        <f t="shared" si="20"/>
        <v>27108.331055863819</v>
      </c>
      <c r="U49" s="18">
        <f t="shared" si="0"/>
        <v>11714.420789316404</v>
      </c>
      <c r="W49" s="18">
        <f t="shared" si="1"/>
        <v>15393.910266547415</v>
      </c>
      <c r="Y49" s="271">
        <f t="shared" si="6"/>
        <v>64.559855842660809</v>
      </c>
      <c r="Z49" s="235"/>
      <c r="AB49" s="384">
        <f>+IF(AB48&gt;$I$13+$I$14,XX,AB48+1)</f>
        <v>2027</v>
      </c>
      <c r="AC49" s="117"/>
      <c r="AD49" s="151">
        <f t="shared" si="2"/>
        <v>238444</v>
      </c>
      <c r="AF49" s="154">
        <f t="shared" si="14"/>
        <v>121.56737778435905</v>
      </c>
      <c r="AH49" s="154">
        <f t="shared" si="15"/>
        <v>24.350473932121691</v>
      </c>
      <c r="AJ49" s="154">
        <f t="shared" si="16"/>
        <v>2.4850150183541317</v>
      </c>
      <c r="AL49" s="153">
        <f t="shared" si="21"/>
        <v>6243.5267627659387</v>
      </c>
      <c r="AN49" s="154">
        <v>4.4573125000000005</v>
      </c>
      <c r="AP49" s="154">
        <f t="shared" si="22"/>
        <v>28.593140652062186</v>
      </c>
      <c r="AR49" s="154">
        <f t="shared" si="17"/>
        <v>3.5203853559371958</v>
      </c>
      <c r="AS49" s="154"/>
      <c r="AT49" s="153">
        <f t="shared" si="3"/>
        <v>4057.143193864998</v>
      </c>
      <c r="AV49" s="153">
        <f t="shared" si="4"/>
        <v>7657.2775954514054</v>
      </c>
      <c r="AW49" s="273"/>
      <c r="AX49" s="155">
        <f t="shared" si="9"/>
        <v>11714.420789316404</v>
      </c>
      <c r="AZ49" s="384">
        <f>+IF(AZ48&gt;$I$13+$I$14,XX,AZ48+1)</f>
        <v>2027</v>
      </c>
      <c r="BA49" s="117"/>
      <c r="BB49" s="154">
        <f t="shared" si="18"/>
        <v>62.180791209173073</v>
      </c>
      <c r="BD49" s="154">
        <f t="shared" si="19"/>
        <v>19.193605314733514</v>
      </c>
      <c r="BF49" s="153">
        <f t="shared" si="23"/>
        <v>2186.3835689009406</v>
      </c>
      <c r="BH49" s="157"/>
    </row>
    <row r="50" spans="2:60" ht="12">
      <c r="B50" s="2"/>
      <c r="C50" s="354">
        <f>+IF(C49&gt;$I$13+$I$14,XX,C49+1)</f>
        <v>2028</v>
      </c>
      <c r="E50" s="356">
        <v>2.1999999999999999E-2</v>
      </c>
      <c r="G50" s="414">
        <v>238484</v>
      </c>
      <c r="I50" s="465">
        <v>368.62289936835555</v>
      </c>
      <c r="K50" s="465">
        <v>2.6581634481705465</v>
      </c>
      <c r="M50" s="28">
        <f t="shared" si="13"/>
        <v>4.7223445176931707</v>
      </c>
      <c r="O50" s="465">
        <v>0.75000000000000011</v>
      </c>
      <c r="Q50" s="465">
        <v>-48.348885558187881</v>
      </c>
      <c r="S50" s="465">
        <f t="shared" si="20"/>
        <v>27455.161824791892</v>
      </c>
      <c r="U50" s="18">
        <f t="shared" si="0"/>
        <v>12062.636642191002</v>
      </c>
      <c r="W50" s="18">
        <f t="shared" si="1"/>
        <v>15392.52518260089</v>
      </c>
      <c r="Y50" s="271">
        <f t="shared" si="6"/>
        <v>64.543219597964182</v>
      </c>
      <c r="Z50" s="235"/>
      <c r="AB50" s="384">
        <f>+IF(AB49&gt;$I$13+$I$14,XX,AB49+1)</f>
        <v>2028</v>
      </c>
      <c r="AC50" s="117"/>
      <c r="AD50" s="151">
        <f t="shared" si="2"/>
        <v>238484</v>
      </c>
      <c r="AF50" s="154">
        <f t="shared" si="14"/>
        <v>124.24186009561495</v>
      </c>
      <c r="AH50" s="154">
        <f t="shared" si="15"/>
        <v>24.88618435862837</v>
      </c>
      <c r="AJ50" s="154">
        <f t="shared" si="16"/>
        <v>2.5396853487579225</v>
      </c>
      <c r="AL50" s="153">
        <f t="shared" si="21"/>
        <v>6380.9859389607391</v>
      </c>
      <c r="AN50" s="154">
        <v>4.6136041666666676</v>
      </c>
      <c r="AP50" s="154">
        <f t="shared" si="22"/>
        <v>29.59573349421656</v>
      </c>
      <c r="AR50" s="154">
        <f t="shared" si="17"/>
        <v>3.5978338337678144</v>
      </c>
      <c r="AS50" s="154"/>
      <c r="AT50" s="153">
        <f t="shared" si="3"/>
        <v>4146.5019315439777</v>
      </c>
      <c r="AV50" s="153">
        <f>(AP50+AR50)*AD50/1000</f>
        <v>7916.1347106470257</v>
      </c>
      <c r="AW50" s="273"/>
      <c r="AX50" s="155">
        <f t="shared" si="9"/>
        <v>12062.636642191002</v>
      </c>
      <c r="AZ50" s="384">
        <f>+IF(AZ49&gt;$I$13+$I$14,XX,AZ49+1)</f>
        <v>2028</v>
      </c>
      <c r="BA50" s="117"/>
      <c r="BB50" s="154">
        <f t="shared" si="18"/>
        <v>63.548768615774883</v>
      </c>
      <c r="BD50" s="154">
        <f t="shared" si="19"/>
        <v>19.615864631657651</v>
      </c>
      <c r="BF50" s="153">
        <f t="shared" si="23"/>
        <v>2234.4840074167614</v>
      </c>
      <c r="BH50" s="157"/>
    </row>
    <row r="51" spans="2:60" ht="12">
      <c r="B51" s="2"/>
      <c r="C51" s="354">
        <f>+IF(C50&gt;$I$13+$I$14,XX,C50+1)</f>
        <v>2029</v>
      </c>
      <c r="E51" s="356">
        <v>2.1999999999999999E-2</v>
      </c>
      <c r="G51" s="414">
        <v>238444</v>
      </c>
      <c r="I51" s="465">
        <v>375.62673445635426</v>
      </c>
      <c r="K51" s="465">
        <v>2.7065696213455639</v>
      </c>
      <c r="M51" s="28">
        <f t="shared" si="13"/>
        <v>4.8262360970824201</v>
      </c>
      <c r="O51" s="465">
        <v>0.76999999999999991</v>
      </c>
      <c r="Q51" s="465">
        <v>-48.348885558187881</v>
      </c>
      <c r="S51" s="465">
        <f t="shared" si="20"/>
        <v>28201.739351551892</v>
      </c>
      <c r="U51" s="18">
        <f t="shared" si="0"/>
        <v>12386.304585089065</v>
      </c>
      <c r="W51" s="18">
        <f t="shared" si="1"/>
        <v>15815.434766462828</v>
      </c>
      <c r="Y51" s="271">
        <f t="shared" si="6"/>
        <v>66.327669249227611</v>
      </c>
      <c r="Z51" s="235"/>
      <c r="AB51" s="384">
        <f>+IF(AB50&gt;$I$13+$I$14,XX,AB50+1)</f>
        <v>2029</v>
      </c>
      <c r="AC51" s="117"/>
      <c r="AD51" s="151">
        <f t="shared" si="2"/>
        <v>238444</v>
      </c>
      <c r="AF51" s="154">
        <f t="shared" si="14"/>
        <v>126.97518101771848</v>
      </c>
      <c r="AH51" s="154">
        <f t="shared" si="15"/>
        <v>25.433680414518193</v>
      </c>
      <c r="AJ51" s="154">
        <f t="shared" si="16"/>
        <v>2.5955584264305966</v>
      </c>
      <c r="AL51" s="153">
        <f t="shared" si="21"/>
        <v>6521.2638072808186</v>
      </c>
      <c r="AN51" s="154">
        <v>4.7541666666666673</v>
      </c>
      <c r="AP51" s="154">
        <f t="shared" si="22"/>
        <v>30.497425563800078</v>
      </c>
      <c r="AR51" s="154">
        <f t="shared" si="17"/>
        <v>3.6769861781107065</v>
      </c>
      <c r="AS51" s="154"/>
      <c r="AT51" s="153">
        <f t="shared" si="3"/>
        <v>4237.6211517008887</v>
      </c>
      <c r="AV51" s="153">
        <f t="shared" si="4"/>
        <v>8148.6834333881761</v>
      </c>
      <c r="AW51" s="273"/>
      <c r="AX51" s="155">
        <f t="shared" si="9"/>
        <v>12386.304585089065</v>
      </c>
      <c r="AZ51" s="384">
        <f>+IF(AZ50&gt;$I$13+$I$14,XX,AZ50+1)</f>
        <v>2029</v>
      </c>
      <c r="BA51" s="117"/>
      <c r="BB51" s="154">
        <f t="shared" si="18"/>
        <v>64.946841525321929</v>
      </c>
      <c r="BD51" s="154">
        <f t="shared" si="19"/>
        <v>20.04741365355412</v>
      </c>
      <c r="BF51" s="153">
        <f t="shared" si="23"/>
        <v>2283.6426555799299</v>
      </c>
      <c r="BH51" s="157"/>
    </row>
    <row r="52" spans="2:60" ht="12">
      <c r="B52" s="2"/>
      <c r="C52" s="354">
        <f>+IF(C51&gt;$I$13+$I$14,XX,C51+1)</f>
        <v>2030</v>
      </c>
      <c r="E52" s="356">
        <v>2.1999999999999999E-2</v>
      </c>
      <c r="G52" s="414">
        <v>238444</v>
      </c>
      <c r="I52" s="465">
        <v>383.04966382289695</v>
      </c>
      <c r="K52" s="465">
        <v>2.7661141530151663</v>
      </c>
      <c r="M52" s="28">
        <f t="shared" si="13"/>
        <v>4.932413291218233</v>
      </c>
      <c r="O52" s="465">
        <v>0.78</v>
      </c>
      <c r="Q52" s="465">
        <v>0</v>
      </c>
      <c r="S52" s="465">
        <f t="shared" si="20"/>
        <v>40518.14521211393</v>
      </c>
      <c r="U52" s="18">
        <f t="shared" si="0"/>
        <v>12955.193310679228</v>
      </c>
      <c r="W52" s="18">
        <f t="shared" si="1"/>
        <v>27562.951901434702</v>
      </c>
      <c r="Y52" s="271">
        <f>+W52*1000/G52</f>
        <v>115.59507432116011</v>
      </c>
      <c r="Z52" s="235"/>
      <c r="AB52" s="384">
        <f>+IF(AB51&gt;$I$13+$I$14,XX,AB51+1)</f>
        <v>2030</v>
      </c>
      <c r="AC52" s="117"/>
      <c r="AD52" s="151">
        <f t="shared" si="2"/>
        <v>238444</v>
      </c>
      <c r="AF52" s="154">
        <f t="shared" si="14"/>
        <v>129.7686350001083</v>
      </c>
      <c r="AH52" s="154">
        <f t="shared" si="15"/>
        <v>25.993221383637593</v>
      </c>
      <c r="AJ52" s="154">
        <f t="shared" si="16"/>
        <v>2.6526607118120697</v>
      </c>
      <c r="AL52" s="153">
        <f t="shared" si="21"/>
        <v>6664.7316110409965</v>
      </c>
      <c r="AN52" s="154">
        <v>5.052529166666667</v>
      </c>
      <c r="AP52" s="154">
        <f t="shared" si="22"/>
        <v>32.411386258232184</v>
      </c>
      <c r="AR52" s="154">
        <f t="shared" si="17"/>
        <v>3.7578798740291419</v>
      </c>
      <c r="AS52" s="154"/>
      <c r="AT52" s="153">
        <f t="shared" si="3"/>
        <v>4330.848817038308</v>
      </c>
      <c r="AV52" s="153">
        <f t="shared" si="4"/>
        <v>8624.3444936409196</v>
      </c>
      <c r="AW52" s="273"/>
      <c r="AX52" s="155">
        <f t="shared" si="9"/>
        <v>12955.193310679228</v>
      </c>
      <c r="AZ52" s="384">
        <f>+IF(AZ51&gt;$I$13+$I$14,XX,AZ51+1)</f>
        <v>2030</v>
      </c>
      <c r="BA52" s="117"/>
      <c r="BB52" s="154">
        <f t="shared" si="18"/>
        <v>66.375672038879017</v>
      </c>
      <c r="BD52" s="154">
        <f t="shared" si="19"/>
        <v>20.488456753932311</v>
      </c>
      <c r="BF52" s="153">
        <f t="shared" si="23"/>
        <v>2333.8827940026886</v>
      </c>
      <c r="BH52" s="157"/>
    </row>
    <row r="53" spans="2:60" ht="12">
      <c r="B53" s="2"/>
      <c r="C53" s="354">
        <f>+IF(C52&gt;$I$13+$I$14,XX,C52+1)</f>
        <v>2031</v>
      </c>
      <c r="E53" s="356">
        <v>2.1999999999999999E-2</v>
      </c>
      <c r="G53" s="414">
        <v>238444</v>
      </c>
      <c r="I53" s="465">
        <v>93.042672364042517</v>
      </c>
      <c r="K53" s="465">
        <v>2.8269686643815</v>
      </c>
      <c r="M53" s="28">
        <f t="shared" si="13"/>
        <v>5.0409263836250346</v>
      </c>
      <c r="O53" s="465">
        <v>0.8</v>
      </c>
      <c r="Q53" s="465">
        <v>0</v>
      </c>
      <c r="S53" s="465">
        <f t="shared" si="20"/>
        <v>11417.596139413143</v>
      </c>
      <c r="U53" s="18">
        <f t="shared" si="0"/>
        <v>13280.274205022277</v>
      </c>
      <c r="W53" s="18">
        <f t="shared" si="1"/>
        <v>-1862.6780656091341</v>
      </c>
      <c r="Y53" s="271">
        <f t="shared" si="6"/>
        <v>-7.8118051433843334</v>
      </c>
      <c r="Z53" s="235"/>
      <c r="AB53" s="384">
        <f>+IF(AB52&gt;$I$13+$I$14,XX,AB52+1)</f>
        <v>2031</v>
      </c>
      <c r="AC53" s="117"/>
      <c r="AD53" s="151">
        <f t="shared" si="2"/>
        <v>238444</v>
      </c>
      <c r="AF53" s="154">
        <f t="shared" si="14"/>
        <v>132.62354497011069</v>
      </c>
      <c r="AH53" s="154">
        <f t="shared" si="15"/>
        <v>26.56507225407762</v>
      </c>
      <c r="AJ53" s="154">
        <f t="shared" si="16"/>
        <v>2.7110192474719352</v>
      </c>
      <c r="AL53" s="153">
        <f t="shared" si="21"/>
        <v>6811.3557064838988</v>
      </c>
      <c r="AN53" s="154">
        <v>5.1898791666666666</v>
      </c>
      <c r="AP53" s="154">
        <f t="shared" si="22"/>
        <v>33.292470514397912</v>
      </c>
      <c r="AR53" s="154">
        <f t="shared" si="17"/>
        <v>3.840553231257783</v>
      </c>
      <c r="AS53" s="154"/>
      <c r="AT53" s="153">
        <f t="shared" si="3"/>
        <v>4426.1274910131506</v>
      </c>
      <c r="AV53" s="153">
        <f t="shared" si="4"/>
        <v>8854.1467140091263</v>
      </c>
      <c r="AW53" s="273"/>
      <c r="AX53" s="155">
        <f t="shared" si="9"/>
        <v>13280.274205022277</v>
      </c>
      <c r="AZ53" s="384">
        <f>+IF(AZ52&gt;$I$13+$I$14,XX,AZ52+1)</f>
        <v>2031</v>
      </c>
      <c r="BA53" s="117"/>
      <c r="BB53" s="154">
        <f t="shared" si="18"/>
        <v>67.835936823734357</v>
      </c>
      <c r="BD53" s="154">
        <f t="shared" si="19"/>
        <v>20.939202802518821</v>
      </c>
      <c r="BF53" s="153">
        <f t="shared" si="23"/>
        <v>2385.2282154707477</v>
      </c>
      <c r="BH53" s="157"/>
    </row>
    <row r="54" spans="2:60" ht="12">
      <c r="B54" s="2"/>
      <c r="C54" s="354">
        <f>+IF(C53&gt;$I$13+$I$14,XX,C53+1)</f>
        <v>2032</v>
      </c>
      <c r="E54" s="356">
        <v>2.1999999999999999E-2</v>
      </c>
      <c r="G54" s="414">
        <v>238484</v>
      </c>
      <c r="I54" s="465">
        <v>315.78385809248942</v>
      </c>
      <c r="K54" s="465">
        <v>2.8970774872581617</v>
      </c>
      <c r="M54" s="28">
        <f t="shared" si="13"/>
        <v>5.1518267640647855</v>
      </c>
      <c r="O54" s="465">
        <v>0.82</v>
      </c>
      <c r="Q54" s="465">
        <v>0</v>
      </c>
      <c r="S54" s="465">
        <f t="shared" si="20"/>
        <v>33851.369499767694</v>
      </c>
      <c r="U54" s="18">
        <f t="shared" si="0"/>
        <v>13617.870101282035</v>
      </c>
      <c r="W54" s="18">
        <f t="shared" si="1"/>
        <v>20233.499398485659</v>
      </c>
      <c r="Y54" s="271">
        <f t="shared" si="6"/>
        <v>84.842167183063268</v>
      </c>
      <c r="Z54" s="235"/>
      <c r="AB54" s="384">
        <f>+IF(AB53&gt;$I$13+$I$14,XX,AB53+1)</f>
        <v>2032</v>
      </c>
      <c r="AC54" s="117"/>
      <c r="AD54" s="151">
        <f t="shared" si="2"/>
        <v>238484</v>
      </c>
      <c r="AF54" s="154">
        <f t="shared" si="14"/>
        <v>135.54126295945312</v>
      </c>
      <c r="AH54" s="154">
        <f t="shared" si="15"/>
        <v>27.149503843667329</v>
      </c>
      <c r="AJ54" s="154">
        <f t="shared" si="16"/>
        <v>2.7706616709163177</v>
      </c>
      <c r="AL54" s="153">
        <f t="shared" si="21"/>
        <v>6961.3163584933818</v>
      </c>
      <c r="AN54" s="154">
        <v>5.3326874999999996</v>
      </c>
      <c r="AP54" s="154">
        <f t="shared" si="22"/>
        <v>34.208569343296844</v>
      </c>
      <c r="AR54" s="154">
        <f t="shared" si="17"/>
        <v>3.9250454023454542</v>
      </c>
      <c r="AS54" s="154"/>
      <c r="AT54" s="153">
        <f t="shared" si="3"/>
        <v>4523.6131222822769</v>
      </c>
      <c r="AV54" s="153">
        <f t="shared" si="4"/>
        <v>9094.2569789997578</v>
      </c>
      <c r="AW54" s="273"/>
      <c r="AX54" s="155">
        <f t="shared" si="9"/>
        <v>13617.870101282035</v>
      </c>
      <c r="AZ54" s="384">
        <f>+IF(AZ53&gt;$I$13+$I$14,XX,AZ53+1)</f>
        <v>2032</v>
      </c>
      <c r="BA54" s="117"/>
      <c r="BB54" s="154">
        <f t="shared" si="18"/>
        <v>69.328327433856515</v>
      </c>
      <c r="BD54" s="154">
        <f t="shared" si="19"/>
        <v>21.399865264174235</v>
      </c>
      <c r="BF54" s="153">
        <f t="shared" si="23"/>
        <v>2437.7032362111045</v>
      </c>
      <c r="BH54" s="157"/>
    </row>
    <row r="55" spans="2:60" ht="12">
      <c r="B55" s="2"/>
      <c r="C55" s="354">
        <f>+IF(C54&gt;$I$13+$I$14,XX,C54+1)</f>
        <v>2033</v>
      </c>
      <c r="E55" s="356">
        <v>2.1999999999999999E-2</v>
      </c>
      <c r="G55" s="414">
        <v>238444</v>
      </c>
      <c r="I55" s="465">
        <v>96.611882318599555</v>
      </c>
      <c r="K55" s="465">
        <v>2.952723538447847</v>
      </c>
      <c r="M55" s="28">
        <f t="shared" si="13"/>
        <v>5.2651669528742104</v>
      </c>
      <c r="O55" s="465">
        <v>0.84000000000000008</v>
      </c>
      <c r="Q55" s="465">
        <v>0</v>
      </c>
      <c r="S55" s="465">
        <f t="shared" si="20"/>
        <v>11869.293813332051</v>
      </c>
      <c r="U55" s="18">
        <f t="shared" si="0"/>
        <v>14018.021321102551</v>
      </c>
      <c r="W55" s="18">
        <f t="shared" si="1"/>
        <v>-2148.7275077704999</v>
      </c>
      <c r="Y55" s="271">
        <f t="shared" si="6"/>
        <v>-9.0114555525427349</v>
      </c>
      <c r="Z55" s="235"/>
      <c r="AB55" s="384">
        <f>+IF(AB54&gt;$I$13+$I$14,XX,AB54+1)</f>
        <v>2033</v>
      </c>
      <c r="AC55" s="117"/>
      <c r="AD55" s="151">
        <f t="shared" si="2"/>
        <v>238444</v>
      </c>
      <c r="AF55" s="154">
        <f t="shared" si="14"/>
        <v>138.5231707445611</v>
      </c>
      <c r="AH55" s="154">
        <f t="shared" si="15"/>
        <v>27.746792928228011</v>
      </c>
      <c r="AJ55" s="154">
        <f t="shared" si="16"/>
        <v>2.8316162276764767</v>
      </c>
      <c r="AL55" s="153">
        <f t="shared" si="21"/>
        <v>7114.3520537311297</v>
      </c>
      <c r="AN55" s="154">
        <v>5.5168416666666671</v>
      </c>
      <c r="AP55" s="154">
        <f t="shared" si="22"/>
        <v>35.389896878479391</v>
      </c>
      <c r="AR55" s="154">
        <f t="shared" si="17"/>
        <v>4.0113964011970547</v>
      </c>
      <c r="AS55" s="154"/>
      <c r="AT55" s="153">
        <f t="shared" si="3"/>
        <v>4623.0193463233809</v>
      </c>
      <c r="AV55" s="153">
        <f t="shared" si="4"/>
        <v>9395.0019747791703</v>
      </c>
      <c r="AW55" s="273"/>
      <c r="AX55" s="155">
        <f t="shared" si="9"/>
        <v>14018.021321102551</v>
      </c>
      <c r="AZ55" s="384">
        <f>+IF(AZ54&gt;$I$13+$I$14,XX,AZ54+1)</f>
        <v>2033</v>
      </c>
      <c r="BA55" s="117"/>
      <c r="BB55" s="154">
        <f t="shared" si="18"/>
        <v>70.853550637401355</v>
      </c>
      <c r="BD55" s="154">
        <f t="shared" si="19"/>
        <v>21.870662299986069</v>
      </c>
      <c r="BF55" s="153">
        <f t="shared" si="23"/>
        <v>2491.3327074077483</v>
      </c>
      <c r="BH55" s="157"/>
    </row>
    <row r="56" spans="2:60" ht="12">
      <c r="B56" s="2"/>
      <c r="C56" s="354">
        <f>+IF(C55&gt;$I$13+$I$14,XX,C55+1)</f>
        <v>2034</v>
      </c>
      <c r="E56" s="356">
        <v>2.1999999999999999E-2</v>
      </c>
      <c r="G56" s="414">
        <v>238444</v>
      </c>
      <c r="I56" s="465">
        <v>98.447508082652945</v>
      </c>
      <c r="K56" s="465">
        <v>3.0176834562937001</v>
      </c>
      <c r="M56" s="28">
        <f t="shared" si="13"/>
        <v>5.3810006258374434</v>
      </c>
      <c r="O56" s="465">
        <v>0.85999999999999988</v>
      </c>
      <c r="Q56" s="465">
        <v>0</v>
      </c>
      <c r="S56" s="465">
        <f t="shared" si="20"/>
        <v>12101.6522295863</v>
      </c>
      <c r="U56" s="18">
        <f t="shared" si="0"/>
        <v>14403.025265121214</v>
      </c>
      <c r="W56" s="18">
        <f t="shared" si="1"/>
        <v>-2301.3730355349144</v>
      </c>
      <c r="Y56" s="271">
        <f t="shared" si="6"/>
        <v>-9.6516290430244194</v>
      </c>
      <c r="Z56" s="235"/>
      <c r="AB56" s="384">
        <f>+IF(AB55&gt;$I$13+$I$14,XX,AB55+1)</f>
        <v>2034</v>
      </c>
      <c r="AC56" s="117"/>
      <c r="AD56" s="151">
        <f t="shared" si="2"/>
        <v>238444</v>
      </c>
      <c r="AF56" s="154">
        <f t="shared" si="14"/>
        <v>141.57068050094145</v>
      </c>
      <c r="AH56" s="154">
        <f t="shared" si="15"/>
        <v>28.357222372649026</v>
      </c>
      <c r="AJ56" s="154">
        <f t="shared" si="16"/>
        <v>2.893911784685359</v>
      </c>
      <c r="AL56" s="153">
        <f t="shared" si="21"/>
        <v>7270.8677989132148</v>
      </c>
      <c r="AN56" s="154">
        <v>5.688295833333334</v>
      </c>
      <c r="AP56" s="154">
        <f t="shared" si="22"/>
        <v>36.489755392523918</v>
      </c>
      <c r="AR56" s="154">
        <f t="shared" si="17"/>
        <v>4.0996471220233897</v>
      </c>
      <c r="AS56" s="154"/>
      <c r="AT56" s="153">
        <f t="shared" si="3"/>
        <v>4724.7257719424961</v>
      </c>
      <c r="AV56" s="153">
        <f t="shared" si="4"/>
        <v>9678.299493178718</v>
      </c>
      <c r="AW56" s="273"/>
      <c r="AX56" s="155">
        <f t="shared" si="9"/>
        <v>14403.025265121214</v>
      </c>
      <c r="AZ56" s="384">
        <f>+IF(AZ55&gt;$I$13+$I$14,XX,AZ55+1)</f>
        <v>2034</v>
      </c>
      <c r="BA56" s="117"/>
      <c r="BB56" s="154">
        <f t="shared" si="18"/>
        <v>72.412328751424184</v>
      </c>
      <c r="BD56" s="154">
        <f t="shared" si="19"/>
        <v>22.351816870585765</v>
      </c>
      <c r="BF56" s="153">
        <f t="shared" si="23"/>
        <v>2546.1420269707191</v>
      </c>
      <c r="BH56" s="157"/>
    </row>
    <row r="57" spans="2:60" ht="12">
      <c r="B57" s="2"/>
      <c r="C57" s="354">
        <f>+IF(C56&gt;$I$13+$I$14,XX,C56+1)</f>
        <v>2035</v>
      </c>
      <c r="E57" s="356">
        <v>2.1999999999999999E-2</v>
      </c>
      <c r="G57" s="414">
        <v>238444</v>
      </c>
      <c r="I57" s="465">
        <v>100.31801073622334</v>
      </c>
      <c r="K57" s="465">
        <v>3.0840724923321612</v>
      </c>
      <c r="M57" s="28">
        <f t="shared" si="13"/>
        <v>5.4993826396058676</v>
      </c>
      <c r="O57" s="465">
        <v>0.86999999999999988</v>
      </c>
      <c r="Q57" s="465">
        <v>0</v>
      </c>
      <c r="S57" s="465">
        <f t="shared" si="20"/>
        <v>12336.079734470277</v>
      </c>
      <c r="U57" s="18">
        <f t="shared" si="0"/>
        <v>14769.697824015657</v>
      </c>
      <c r="W57" s="18">
        <f t="shared" si="1"/>
        <v>-2433.6180895453799</v>
      </c>
      <c r="Y57" s="271">
        <f t="shared" si="6"/>
        <v>-10.206245867144402</v>
      </c>
      <c r="Z57" s="235"/>
      <c r="AB57" s="384">
        <f>+IF(AB56&gt;$I$13+$I$14,XX,AB56+1)</f>
        <v>2035</v>
      </c>
      <c r="AC57" s="117"/>
      <c r="AD57" s="151">
        <f t="shared" si="2"/>
        <v>238444</v>
      </c>
      <c r="AF57" s="154">
        <f t="shared" si="14"/>
        <v>144.68523547196216</v>
      </c>
      <c r="AH57" s="154">
        <f t="shared" si="15"/>
        <v>28.981081264847305</v>
      </c>
      <c r="AJ57" s="154">
        <f t="shared" si="16"/>
        <v>2.957577843948437</v>
      </c>
      <c r="AL57" s="153">
        <f t="shared" si="21"/>
        <v>7430.8268904893048</v>
      </c>
      <c r="AN57" s="154">
        <v>5.846000000000001</v>
      </c>
      <c r="AP57" s="154">
        <f t="shared" si="22"/>
        <v>37.501409257698562</v>
      </c>
      <c r="AR57" s="154">
        <f t="shared" si="17"/>
        <v>4.1898393587079044</v>
      </c>
      <c r="AS57" s="154"/>
      <c r="AT57" s="153">
        <f t="shared" si="3"/>
        <v>4828.6697389252304</v>
      </c>
      <c r="AV57" s="153">
        <f t="shared" si="4"/>
        <v>9941.0280850904255</v>
      </c>
      <c r="AW57" s="273"/>
      <c r="AX57" s="155">
        <f t="shared" si="9"/>
        <v>14769.697824015657</v>
      </c>
      <c r="AZ57" s="384">
        <f>+IF(AZ56&gt;$I$13+$I$14,XX,AZ56+1)</f>
        <v>2035</v>
      </c>
      <c r="BA57" s="117"/>
      <c r="BB57" s="154">
        <f t="shared" si="18"/>
        <v>74.005399983955513</v>
      </c>
      <c r="BD57" s="154">
        <f t="shared" si="19"/>
        <v>22.843556841738653</v>
      </c>
      <c r="BF57" s="153">
        <f t="shared" si="23"/>
        <v>2602.1571515640744</v>
      </c>
      <c r="BH57" s="157"/>
    </row>
    <row r="58" spans="2:60" ht="12">
      <c r="B58" s="2"/>
      <c r="C58" s="354">
        <f>+IF(C57&gt;$I$13+$I$14,XX,C57+1)</f>
        <v>2036</v>
      </c>
      <c r="E58" s="356">
        <v>2.1999999999999999E-2</v>
      </c>
      <c r="G58" s="414">
        <v>238901</v>
      </c>
      <c r="I58" s="465">
        <v>102.22405294021156</v>
      </c>
      <c r="K58" s="465">
        <v>3.1605574901419988</v>
      </c>
      <c r="M58" s="28">
        <f t="shared" si="13"/>
        <v>5.6203690576771965</v>
      </c>
      <c r="O58" s="465">
        <v>0.89000000000000024</v>
      </c>
      <c r="Q58" s="465">
        <v>0</v>
      </c>
      <c r="S58" s="465">
        <f t="shared" si="20"/>
        <v>12583.911343691814</v>
      </c>
      <c r="U58" s="18">
        <f t="shared" si="0"/>
        <v>15264.357106005225</v>
      </c>
      <c r="W58" s="18">
        <f t="shared" si="1"/>
        <v>-2680.4457623134113</v>
      </c>
      <c r="Y58" s="271">
        <f t="shared" si="6"/>
        <v>-11.219901810010887</v>
      </c>
      <c r="Z58" s="235"/>
      <c r="AB58" s="384">
        <f>+IF(AB57&gt;$I$13+$I$14,XX,AB57+1)</f>
        <v>2036</v>
      </c>
      <c r="AC58" s="117"/>
      <c r="AD58" s="151">
        <f t="shared" si="2"/>
        <v>238901</v>
      </c>
      <c r="AF58" s="154">
        <f t="shared" si="14"/>
        <v>147.86831065234534</v>
      </c>
      <c r="AH58" s="154">
        <f t="shared" si="15"/>
        <v>29.618665052673947</v>
      </c>
      <c r="AJ58" s="154">
        <f t="shared" si="16"/>
        <v>3.0226445565153028</v>
      </c>
      <c r="AL58" s="153">
        <f t="shared" si="21"/>
        <v>7595.6864306423968</v>
      </c>
      <c r="AN58" s="154">
        <v>6.0717541666666675</v>
      </c>
      <c r="AP58" s="154">
        <f t="shared" si="22"/>
        <v>38.949595948734718</v>
      </c>
      <c r="AR58" s="154">
        <f t="shared" si="17"/>
        <v>4.2820158245994779</v>
      </c>
      <c r="AS58" s="154"/>
      <c r="AT58" s="153">
        <f t="shared" si="3"/>
        <v>4936.2818217439126</v>
      </c>
      <c r="AV58" s="153">
        <f t="shared" si="4"/>
        <v>10328.075284261313</v>
      </c>
      <c r="AW58" s="273"/>
      <c r="AX58" s="155">
        <f t="shared" si="9"/>
        <v>15264.357106005225</v>
      </c>
      <c r="AZ58" s="384">
        <f>+IF(AZ57&gt;$I$13+$I$14,XX,AZ57+1)</f>
        <v>2036</v>
      </c>
      <c r="BA58" s="117"/>
      <c r="BB58" s="154">
        <f t="shared" si="18"/>
        <v>75.63351878360254</v>
      </c>
      <c r="BD58" s="154">
        <f t="shared" si="19"/>
        <v>23.346115092256905</v>
      </c>
      <c r="BF58" s="153">
        <f t="shared" si="23"/>
        <v>2659.4046088984846</v>
      </c>
      <c r="BH58" s="157"/>
    </row>
    <row r="59" spans="2:60" ht="12">
      <c r="B59" s="2"/>
      <c r="C59" s="354">
        <f>+IF(C58&gt;$I$13+$I$14,XX,C58+1)</f>
        <v>2037</v>
      </c>
      <c r="E59" s="356">
        <v>2.1999999999999999E-2</v>
      </c>
      <c r="G59" s="414">
        <v>238901</v>
      </c>
      <c r="I59" s="465">
        <v>104.1663099460756</v>
      </c>
      <c r="K59" s="465">
        <v>3.2212643730810648</v>
      </c>
      <c r="M59" s="28">
        <f t="shared" si="13"/>
        <v>5.7440171769460946</v>
      </c>
      <c r="O59" s="465">
        <v>0.91000000000000025</v>
      </c>
      <c r="Q59" s="465">
        <v>0</v>
      </c>
      <c r="S59" s="465">
        <f t="shared" si="20"/>
        <v>12827.928787163635</v>
      </c>
      <c r="U59" s="18">
        <f t="shared" si="0"/>
        <v>15653.384287811563</v>
      </c>
      <c r="W59" s="18">
        <f t="shared" si="1"/>
        <v>-2825.4555006479277</v>
      </c>
      <c r="Y59" s="271">
        <f t="shared" si="6"/>
        <v>-11.826888546502223</v>
      </c>
      <c r="Z59" s="235"/>
      <c r="AB59" s="384">
        <f>+IF(AB58&gt;$I$13+$I$14,XX,AB58+1)</f>
        <v>2037</v>
      </c>
      <c r="AC59" s="117"/>
      <c r="AD59" s="151">
        <f t="shared" si="2"/>
        <v>238901</v>
      </c>
      <c r="AF59" s="154">
        <f t="shared" si="14"/>
        <v>151.12141348669695</v>
      </c>
      <c r="AH59" s="154">
        <f t="shared" si="15"/>
        <v>30.270275683832775</v>
      </c>
      <c r="AJ59" s="154">
        <f t="shared" si="16"/>
        <v>3.0891427367586397</v>
      </c>
      <c r="AL59" s="153">
        <f t="shared" si="21"/>
        <v>7762.7915321165301</v>
      </c>
      <c r="AN59" s="154">
        <v>6.240054166666666</v>
      </c>
      <c r="AP59" s="154">
        <f t="shared" si="22"/>
        <v>40.029220850902121</v>
      </c>
      <c r="AR59" s="154">
        <f t="shared" si="17"/>
        <v>4.3762201727406662</v>
      </c>
      <c r="AS59" s="154"/>
      <c r="AT59" s="153">
        <f t="shared" si="3"/>
        <v>5044.8800218222786</v>
      </c>
      <c r="AV59" s="153">
        <f t="shared" si="4"/>
        <v>10608.504265989284</v>
      </c>
      <c r="AW59" s="273"/>
      <c r="AX59" s="155">
        <f t="shared" si="9"/>
        <v>15653.384287811563</v>
      </c>
      <c r="AZ59" s="384">
        <f>+IF(AZ58&gt;$I$13+$I$14,XX,AZ58+1)</f>
        <v>2037</v>
      </c>
      <c r="BA59" s="117"/>
      <c r="BB59" s="154">
        <f t="shared" si="18"/>
        <v>77.297456196841793</v>
      </c>
      <c r="BD59" s="154">
        <f t="shared" si="19"/>
        <v>23.859729624286558</v>
      </c>
      <c r="BF59" s="153">
        <f t="shared" si="23"/>
        <v>2717.9115102942515</v>
      </c>
      <c r="BH59" s="157"/>
    </row>
    <row r="60" spans="2:60" ht="12">
      <c r="B60" s="2"/>
      <c r="C60" s="354">
        <f>+IF(C59&gt;$I$13+$I$14,XX,C59+1)</f>
        <v>2038</v>
      </c>
      <c r="E60" s="356">
        <v>2.1999999999999999E-2</v>
      </c>
      <c r="G60" s="414">
        <v>238901</v>
      </c>
      <c r="I60" s="465">
        <v>106.14546983505102</v>
      </c>
      <c r="K60" s="465">
        <v>3.2953534536619293</v>
      </c>
      <c r="M60" s="28">
        <f t="shared" si="13"/>
        <v>5.8703855548389088</v>
      </c>
      <c r="O60" s="465">
        <v>0.92999999999999994</v>
      </c>
      <c r="Q60" s="465">
        <v>0</v>
      </c>
      <c r="S60" s="465">
        <f t="shared" si="20"/>
        <v>13079.501863292486</v>
      </c>
      <c r="U60" s="18">
        <f t="shared" si="0"/>
        <v>16278.31573599818</v>
      </c>
      <c r="W60" s="18">
        <f t="shared" si="1"/>
        <v>-3198.8138727056939</v>
      </c>
      <c r="Y60" s="271">
        <f t="shared" si="6"/>
        <v>-13.389704826290782</v>
      </c>
      <c r="Z60" s="235"/>
      <c r="AB60" s="384">
        <f>+IF(AB59&gt;$I$13+$I$14,XX,AB59+1)</f>
        <v>2038</v>
      </c>
      <c r="AC60" s="117"/>
      <c r="AD60" s="151">
        <f t="shared" si="2"/>
        <v>238901</v>
      </c>
      <c r="AF60" s="154">
        <f t="shared" si="14"/>
        <v>154.44608458340429</v>
      </c>
      <c r="AH60" s="154">
        <f t="shared" si="15"/>
        <v>30.936221748877095</v>
      </c>
      <c r="AJ60" s="154">
        <f t="shared" si="16"/>
        <v>3.1571038769673296</v>
      </c>
      <c r="AL60" s="153">
        <f t="shared" si="21"/>
        <v>7933.5729458230935</v>
      </c>
      <c r="AN60" s="154">
        <v>6.5604041666666673</v>
      </c>
      <c r="AP60" s="154">
        <f t="shared" si="22"/>
        <v>42.084228797481622</v>
      </c>
      <c r="AR60" s="154">
        <f t="shared" si="17"/>
        <v>4.4724970165409612</v>
      </c>
      <c r="AS60" s="154"/>
      <c r="AT60" s="153">
        <f t="shared" si="3"/>
        <v>5155.8673823023692</v>
      </c>
      <c r="AV60" s="153">
        <f t="shared" si="4"/>
        <v>11122.448353695811</v>
      </c>
      <c r="AW60" s="273"/>
      <c r="AX60" s="155">
        <f t="shared" si="9"/>
        <v>16278.31573599818</v>
      </c>
      <c r="AZ60" s="384">
        <f>+IF(AZ59&gt;$I$13+$I$14,XX,AZ59+1)</f>
        <v>2038</v>
      </c>
      <c r="BA60" s="117"/>
      <c r="BB60" s="154">
        <f t="shared" si="18"/>
        <v>78.99800023317232</v>
      </c>
      <c r="BD60" s="154">
        <f t="shared" si="19"/>
        <v>24.384643676020865</v>
      </c>
      <c r="BF60" s="153">
        <f t="shared" si="23"/>
        <v>2777.7055635207248</v>
      </c>
      <c r="BH60" s="157"/>
    </row>
    <row r="61" spans="2:60" ht="12">
      <c r="B61" s="2"/>
      <c r="C61" s="354">
        <f>+IF(C60&gt;$I$13+$I$14,XX,C60+1)</f>
        <v>2039</v>
      </c>
      <c r="E61" s="356">
        <v>2.1999999999999999E-2</v>
      </c>
      <c r="G61" s="414">
        <v>238901</v>
      </c>
      <c r="I61" s="465">
        <v>108.16223376191699</v>
      </c>
      <c r="K61" s="465">
        <v>3.3711465830961536</v>
      </c>
      <c r="M61" s="28">
        <f t="shared" si="13"/>
        <v>5.9995340370453647</v>
      </c>
      <c r="O61" s="465">
        <v>0.95999999999999985</v>
      </c>
      <c r="Q61" s="465">
        <v>0</v>
      </c>
      <c r="S61" s="465">
        <f t="shared" si="20"/>
        <v>13338.314423905085</v>
      </c>
      <c r="U61" s="18">
        <f t="shared" si="0"/>
        <v>16739.909887146998</v>
      </c>
      <c r="W61" s="18">
        <f t="shared" si="1"/>
        <v>-3401.5954632419125</v>
      </c>
      <c r="Y61" s="271">
        <f t="shared" si="6"/>
        <v>-14.238514963277309</v>
      </c>
      <c r="Z61" s="235"/>
      <c r="AB61" s="384">
        <f>+IF(AB60&gt;$I$13+$I$14,XX,AB60+1)</f>
        <v>2039</v>
      </c>
      <c r="AC61" s="117"/>
      <c r="AD61" s="151">
        <f t="shared" si="2"/>
        <v>238901</v>
      </c>
      <c r="AF61" s="154">
        <f t="shared" si="14"/>
        <v>157.84389844423919</v>
      </c>
      <c r="AH61" s="154">
        <f t="shared" si="15"/>
        <v>31.616818627352391</v>
      </c>
      <c r="AJ61" s="154">
        <f t="shared" si="16"/>
        <v>3.2265601622606108</v>
      </c>
      <c r="AL61" s="153">
        <f t="shared" si="21"/>
        <v>8108.1115506312026</v>
      </c>
      <c r="AN61" s="154">
        <v>6.7722499999999988</v>
      </c>
      <c r="AP61" s="154">
        <f t="shared" si="22"/>
        <v>43.443195149751801</v>
      </c>
      <c r="AR61" s="154">
        <f t="shared" si="17"/>
        <v>4.5708919509048629</v>
      </c>
      <c r="AS61" s="154"/>
      <c r="AT61" s="153">
        <f t="shared" si="3"/>
        <v>5269.2964647130211</v>
      </c>
      <c r="AV61" s="153">
        <f t="shared" si="4"/>
        <v>11470.613422433978</v>
      </c>
      <c r="AW61" s="273"/>
      <c r="AX61" s="155">
        <f t="shared" si="9"/>
        <v>16739.909887146998</v>
      </c>
      <c r="AZ61" s="384">
        <f>+IF(AZ60&gt;$I$13+$I$14,XX,AZ60+1)</f>
        <v>2039</v>
      </c>
      <c r="BA61" s="117"/>
      <c r="BB61" s="154">
        <f t="shared" si="18"/>
        <v>80.735956238302109</v>
      </c>
      <c r="BD61" s="154">
        <f t="shared" si="19"/>
        <v>24.921105836893325</v>
      </c>
      <c r="BF61" s="153">
        <f t="shared" si="23"/>
        <v>2838.815085918181</v>
      </c>
      <c r="BH61" s="157"/>
    </row>
    <row r="62" spans="2:60" ht="12">
      <c r="B62" s="2"/>
      <c r="C62" s="354">
        <f>+IF(C61&gt;$I$13+$I$14,XX,C61+1)</f>
        <v>2040</v>
      </c>
      <c r="E62" s="356">
        <v>2.1999999999999999E-2</v>
      </c>
      <c r="G62" s="414">
        <v>238901</v>
      </c>
      <c r="I62" s="465">
        <v>110.21731620339342</v>
      </c>
      <c r="K62" s="465">
        <v>3.4581314009580693</v>
      </c>
      <c r="M62" s="28">
        <f t="shared" si="13"/>
        <v>6.1315237858603631</v>
      </c>
      <c r="O62" s="465">
        <v>0.9800000000000002</v>
      </c>
      <c r="Q62" s="465">
        <v>0</v>
      </c>
      <c r="S62" s="465">
        <f t="shared" si="20"/>
        <v>13601.94147222715</v>
      </c>
      <c r="U62" s="18">
        <f t="shared" si="0"/>
        <v>17345.023358535607</v>
      </c>
      <c r="W62" s="18">
        <f t="shared" si="1"/>
        <v>-3743.0818863084569</v>
      </c>
      <c r="Y62" s="271">
        <f t="shared" si="6"/>
        <v>-15.667920545784474</v>
      </c>
      <c r="Z62" s="235"/>
      <c r="AB62" s="384">
        <f>+IF(AB61&gt;$I$13+$I$14,XX,AB61+1)</f>
        <v>2040</v>
      </c>
      <c r="AC62" s="117"/>
      <c r="AD62" s="151">
        <f t="shared" si="2"/>
        <v>238901</v>
      </c>
      <c r="AF62" s="154">
        <f t="shared" si="14"/>
        <v>161.31646421001244</v>
      </c>
      <c r="AH62" s="154">
        <f t="shared" si="15"/>
        <v>32.312388637154143</v>
      </c>
      <c r="AJ62" s="154">
        <f t="shared" si="16"/>
        <v>3.2975444858303442</v>
      </c>
      <c r="AL62" s="153">
        <f t="shared" si="21"/>
        <v>8286.4900047450883</v>
      </c>
      <c r="AN62" s="154">
        <v>7.075779166666667</v>
      </c>
      <c r="AP62" s="154">
        <f t="shared" si="22"/>
        <v>45.39029940921381</v>
      </c>
      <c r="AR62" s="154">
        <f t="shared" si="17"/>
        <v>4.6714515738247702</v>
      </c>
      <c r="AS62" s="154"/>
      <c r="AT62" s="153">
        <f t="shared" si="3"/>
        <v>5385.220986936707</v>
      </c>
      <c r="AV62" s="153">
        <f t="shared" si="4"/>
        <v>11959.8023715989</v>
      </c>
      <c r="AW62" s="273"/>
      <c r="AX62" s="155">
        <f t="shared" si="9"/>
        <v>17345.023358535607</v>
      </c>
      <c r="AZ62" s="384">
        <f>+IF(AZ61&gt;$I$13+$I$14,XX,AZ61+1)</f>
        <v>2040</v>
      </c>
      <c r="BA62" s="117"/>
      <c r="BB62" s="154">
        <f t="shared" si="18"/>
        <v>82.512147275544763</v>
      </c>
      <c r="BD62" s="154">
        <f t="shared" si="19"/>
        <v>25.46937016530498</v>
      </c>
      <c r="BF62" s="153">
        <f t="shared" si="23"/>
        <v>2901.2690178083812</v>
      </c>
      <c r="BH62" s="157"/>
    </row>
    <row r="63" spans="2:60" ht="12">
      <c r="B63" s="2"/>
      <c r="C63" s="354">
        <f>+IF(C62&gt;$I$13+$I$14,XX,C62+1)</f>
        <v>2041</v>
      </c>
      <c r="E63" s="356">
        <v>2.1999999999999999E-2</v>
      </c>
      <c r="G63" s="414">
        <v>238901</v>
      </c>
      <c r="I63" s="465">
        <v>112.31144521125788</v>
      </c>
      <c r="K63" s="465">
        <v>3.5280026624610334</v>
      </c>
      <c r="M63" s="28">
        <f t="shared" si="13"/>
        <v>6.2664173091492907</v>
      </c>
      <c r="O63" s="465">
        <v>1</v>
      </c>
      <c r="Q63" s="465">
        <v>0</v>
      </c>
      <c r="S63" s="465">
        <f t="shared" si="20"/>
        <v>13866.097969369095</v>
      </c>
      <c r="U63" s="18">
        <f t="shared" si="0"/>
        <v>17737.46850932189</v>
      </c>
      <c r="W63" s="18">
        <f t="shared" si="1"/>
        <v>-3871.3705399527953</v>
      </c>
      <c r="Y63" s="271">
        <f t="shared" si="6"/>
        <v>-16.204915592453759</v>
      </c>
      <c r="Z63" s="235"/>
      <c r="AB63" s="384">
        <f>+IF(AB62&gt;$I$13+$I$14,XX,AB62+1)</f>
        <v>2041</v>
      </c>
      <c r="AC63" s="117"/>
      <c r="AD63" s="151">
        <f t="shared" si="2"/>
        <v>238901</v>
      </c>
      <c r="AF63" s="154">
        <f t="shared" si="14"/>
        <v>164.86542642263271</v>
      </c>
      <c r="AH63" s="154">
        <f t="shared" si="15"/>
        <v>33.023261187171535</v>
      </c>
      <c r="AJ63" s="154">
        <f t="shared" si="16"/>
        <v>3.3700904645186118</v>
      </c>
      <c r="AL63" s="153">
        <f t="shared" si="21"/>
        <v>8468.7927848494801</v>
      </c>
      <c r="AN63" s="154">
        <v>7.2385291666666687</v>
      </c>
      <c r="AP63" s="154">
        <f t="shared" si="22"/>
        <v>46.434321707655563</v>
      </c>
      <c r="AR63" s="154">
        <f t="shared" si="17"/>
        <v>4.7742235084489151</v>
      </c>
      <c r="AS63" s="154"/>
      <c r="AT63" s="153">
        <f t="shared" si="3"/>
        <v>5503.6958486493149</v>
      </c>
      <c r="AV63" s="153">
        <f t="shared" si="4"/>
        <v>12233.772660672576</v>
      </c>
      <c r="AW63" s="273"/>
      <c r="AX63" s="155">
        <f t="shared" si="9"/>
        <v>17737.46850932189</v>
      </c>
      <c r="AZ63" s="384">
        <f>+IF(AZ62&gt;$I$13+$I$14,XX,AZ62+1)</f>
        <v>2041</v>
      </c>
      <c r="BA63" s="117"/>
      <c r="BB63" s="154">
        <f t="shared" si="18"/>
        <v>84.327414515606748</v>
      </c>
      <c r="BD63" s="154">
        <f t="shared" si="19"/>
        <v>26.029696308941691</v>
      </c>
      <c r="BF63" s="153">
        <f t="shared" si="23"/>
        <v>2965.0969362001656</v>
      </c>
      <c r="BH63" s="157"/>
    </row>
    <row r="64" spans="2:60" ht="12">
      <c r="B64" s="2"/>
      <c r="C64" s="354">
        <f>+IF(C63&gt;$I$13+$I$14,XX,C63+1)</f>
        <v>2042</v>
      </c>
      <c r="E64" s="356">
        <v>2.1999999999999999E-2</v>
      </c>
      <c r="G64" s="414">
        <v>238901</v>
      </c>
      <c r="I64" s="465">
        <v>114.44536267027178</v>
      </c>
      <c r="K64" s="465">
        <v>3.6091467236976369</v>
      </c>
      <c r="M64" s="28">
        <f t="shared" si="13"/>
        <v>6.4042784899505749</v>
      </c>
      <c r="O64" s="465">
        <v>1.0199999999999998</v>
      </c>
      <c r="Q64" s="465">
        <v>0</v>
      </c>
      <c r="S64" s="465">
        <f t="shared" si="20"/>
        <v>14137.655265328087</v>
      </c>
      <c r="U64" s="18">
        <f t="shared" si="0"/>
        <v>18138.762517359606</v>
      </c>
      <c r="W64" s="18">
        <f t="shared" si="1"/>
        <v>-4001.1072520315192</v>
      </c>
      <c r="Y64" s="271">
        <f t="shared" si="6"/>
        <v>-16.747971971785464</v>
      </c>
      <c r="Z64" s="235"/>
      <c r="AB64" s="384">
        <f>+IF(AB63&gt;$I$13+$I$14,XX,AB63+1)</f>
        <v>2042</v>
      </c>
      <c r="AC64" s="117"/>
      <c r="AD64" s="151">
        <f t="shared" si="2"/>
        <v>238901</v>
      </c>
      <c r="AF64" s="154">
        <f t="shared" si="14"/>
        <v>168.49246580393063</v>
      </c>
      <c r="AH64" s="154">
        <f t="shared" si="15"/>
        <v>33.749772933289307</v>
      </c>
      <c r="AJ64" s="154">
        <f t="shared" si="16"/>
        <v>3.4442324547380214</v>
      </c>
      <c r="AL64" s="153">
        <f t="shared" si="21"/>
        <v>8655.1062261161696</v>
      </c>
      <c r="AN64" s="154">
        <v>7.4050000000000002</v>
      </c>
      <c r="AP64" s="154">
        <f t="shared" si="22"/>
        <v>47.502212718655123</v>
      </c>
      <c r="AR64" s="154">
        <f t="shared" si="17"/>
        <v>4.8792564256347912</v>
      </c>
      <c r="AS64" s="154"/>
      <c r="AT64" s="153">
        <f t="shared" si="3"/>
        <v>5624.7771573196005</v>
      </c>
      <c r="AV64" s="153">
        <f t="shared" si="4"/>
        <v>12513.985360040006</v>
      </c>
      <c r="AW64" s="273"/>
      <c r="AX64" s="155">
        <f t="shared" si="9"/>
        <v>18138.762517359606</v>
      </c>
      <c r="AZ64" s="384">
        <f>+IF(AZ63&gt;$I$13+$I$14,XX,AZ63+1)</f>
        <v>2042</v>
      </c>
      <c r="BA64" s="117"/>
      <c r="BB64" s="154">
        <f t="shared" si="18"/>
        <v>86.182617634950091</v>
      </c>
      <c r="BD64" s="154">
        <f t="shared" si="19"/>
        <v>26.602349627738409</v>
      </c>
      <c r="BF64" s="153">
        <f t="shared" si="23"/>
        <v>3030.3290687965691</v>
      </c>
      <c r="BH64" s="157"/>
    </row>
    <row r="65" spans="2:60" ht="12">
      <c r="B65" s="2"/>
      <c r="C65" s="354">
        <f>+IF(C64&gt;$I$13+$I$14,XX,C64+1)</f>
        <v>2043</v>
      </c>
      <c r="E65" s="356">
        <v>2.3E-2</v>
      </c>
      <c r="G65" s="414">
        <v>238901</v>
      </c>
      <c r="I65" s="465">
        <v>116.61982456100694</v>
      </c>
      <c r="K65" s="465">
        <v>3.6921570983426824</v>
      </c>
      <c r="M65" s="28">
        <f t="shared" si="13"/>
        <v>6.551576895219438</v>
      </c>
      <c r="O65" s="465">
        <v>1.05</v>
      </c>
      <c r="Q65" s="465">
        <v>0</v>
      </c>
      <c r="S65" s="465">
        <f t="shared" si="20"/>
        <v>14418.376713177182</v>
      </c>
      <c r="U65" s="18">
        <f t="shared" si="0"/>
        <v>18544.605729138173</v>
      </c>
      <c r="W65" s="18">
        <f t="shared" si="1"/>
        <v>-4126.2290159609911</v>
      </c>
      <c r="Y65" s="271">
        <f t="shared" si="6"/>
        <v>-17.271710942863322</v>
      </c>
      <c r="Z65" s="235"/>
      <c r="AB65" s="384">
        <f>+IF(AB64&gt;$I$13+$I$14,XX,AB64+1)</f>
        <v>2043</v>
      </c>
      <c r="AC65" s="117"/>
      <c r="AD65" s="151">
        <f t="shared" si="2"/>
        <v>238901</v>
      </c>
      <c r="AF65" s="154">
        <f t="shared" si="14"/>
        <v>172.36779251742101</v>
      </c>
      <c r="AH65" s="154">
        <f t="shared" si="15"/>
        <v>34.526017710754957</v>
      </c>
      <c r="AJ65" s="154">
        <f t="shared" si="16"/>
        <v>3.5234498011969957</v>
      </c>
      <c r="AL65" s="153">
        <f t="shared" si="21"/>
        <v>8854.1736693168386</v>
      </c>
      <c r="AN65" s="154">
        <v>7.5679100000000004</v>
      </c>
      <c r="AP65" s="154">
        <f t="shared" si="22"/>
        <v>48.547261398465537</v>
      </c>
      <c r="AR65" s="154">
        <f t="shared" si="17"/>
        <v>4.9914793234243913</v>
      </c>
      <c r="AS65" s="154"/>
      <c r="AT65" s="153">
        <f t="shared" si="3"/>
        <v>5754.1470319379487</v>
      </c>
      <c r="AV65" s="153">
        <f t="shared" si="4"/>
        <v>12790.458697200225</v>
      </c>
      <c r="AW65" s="273"/>
      <c r="AX65" s="155">
        <f t="shared" si="9"/>
        <v>18544.605729138173</v>
      </c>
      <c r="AZ65" s="384">
        <f>+IF(AZ64&gt;$I$13+$I$14,XX,AZ64+1)</f>
        <v>2043</v>
      </c>
      <c r="BA65" s="117"/>
      <c r="BB65" s="154">
        <f t="shared" si="18"/>
        <v>88.164817840553937</v>
      </c>
      <c r="BD65" s="154">
        <f t="shared" si="19"/>
        <v>27.214203669176388</v>
      </c>
      <c r="BF65" s="153">
        <f t="shared" si="23"/>
        <v>3100.02663737889</v>
      </c>
      <c r="BH65" s="157"/>
    </row>
    <row r="66" spans="2:60" ht="12">
      <c r="B66" s="2"/>
      <c r="C66" s="354">
        <f>+IF(C65&gt;$I$13+$I$14,XX,C65+1)</f>
        <v>2044</v>
      </c>
      <c r="E66" s="356">
        <v>2.3E-2</v>
      </c>
      <c r="G66" s="414">
        <v>238901</v>
      </c>
      <c r="I66" s="465">
        <v>118.83560122766605</v>
      </c>
      <c r="K66" s="465">
        <v>3.7874248669788226</v>
      </c>
      <c r="M66" s="28">
        <f t="shared" si="13"/>
        <v>6.7022631638094845</v>
      </c>
      <c r="O66" s="465">
        <v>1.0700000000000003</v>
      </c>
      <c r="Q66" s="465">
        <v>0</v>
      </c>
      <c r="S66" s="465">
        <f t="shared" si="20"/>
        <v>14704.598953623796</v>
      </c>
      <c r="U66" s="18">
        <f t="shared" si="0"/>
        <v>18959.533671613</v>
      </c>
      <c r="W66" s="18">
        <f t="shared" si="1"/>
        <v>-4254.9347179892047</v>
      </c>
      <c r="Y66" s="271">
        <f t="shared" si="6"/>
        <v>-17.810451684962409</v>
      </c>
      <c r="Z66" s="235"/>
      <c r="AB66" s="384">
        <f>+IF(AB65&gt;$I$13+$I$14,XX,AB65+1)</f>
        <v>2044</v>
      </c>
      <c r="AC66" s="117"/>
      <c r="AD66" s="151">
        <f t="shared" si="2"/>
        <v>238901</v>
      </c>
      <c r="AF66" s="154">
        <f t="shared" si="14"/>
        <v>176.33225174532168</v>
      </c>
      <c r="AH66" s="154">
        <f t="shared" si="15"/>
        <v>35.32011611810232</v>
      </c>
      <c r="AJ66" s="154">
        <f t="shared" si="16"/>
        <v>3.6044891466245264</v>
      </c>
      <c r="AL66" s="153">
        <f t="shared" si="21"/>
        <v>9057.8196637111269</v>
      </c>
      <c r="AN66" s="154">
        <v>7.7344040200000004</v>
      </c>
      <c r="AP66" s="154">
        <f t="shared" si="22"/>
        <v>49.615301149231783</v>
      </c>
      <c r="AR66" s="154">
        <f t="shared" si="17"/>
        <v>5.106283347863152</v>
      </c>
      <c r="AS66" s="154"/>
      <c r="AT66" s="153">
        <f t="shared" si="3"/>
        <v>5886.4924136725222</v>
      </c>
      <c r="AV66" s="153">
        <f t="shared" si="4"/>
        <v>13073.041257940478</v>
      </c>
      <c r="AW66" s="273"/>
      <c r="AX66" s="155">
        <f t="shared" si="9"/>
        <v>18959.533671613</v>
      </c>
      <c r="AZ66" s="384">
        <f>+IF(AZ65&gt;$I$13+$I$14,XX,AZ65+1)</f>
        <v>2044</v>
      </c>
      <c r="BA66" s="117"/>
      <c r="BB66" s="154">
        <f t="shared" si="18"/>
        <v>90.192608650886669</v>
      </c>
      <c r="BD66" s="154">
        <f t="shared" si="19"/>
        <v>27.840130353567442</v>
      </c>
      <c r="BF66" s="153">
        <f t="shared" si="23"/>
        <v>3171.3272500386042</v>
      </c>
      <c r="BH66" s="157"/>
    </row>
    <row r="67" spans="2:60" ht="12">
      <c r="B67" s="2"/>
      <c r="C67" s="354">
        <f>+IF(C66&gt;$I$13+$I$14,XX,C66+1)</f>
        <v>2045</v>
      </c>
      <c r="E67" s="356">
        <v>2.3E-2</v>
      </c>
      <c r="G67" s="414">
        <v>238901</v>
      </c>
      <c r="I67" s="465">
        <v>121.0934776509917</v>
      </c>
      <c r="K67" s="465">
        <v>3.8639494759714688</v>
      </c>
      <c r="M67" s="28">
        <f>M66*(1+$E67)</f>
        <v>6.8564152165771022</v>
      </c>
      <c r="O67" s="465">
        <v>1.1000000000000001</v>
      </c>
      <c r="Q67" s="465">
        <v>0</v>
      </c>
      <c r="S67" s="465">
        <f t="shared" si="20"/>
        <v>14993.791449339211</v>
      </c>
      <c r="U67" s="18">
        <f t="shared" si="0"/>
        <v>19383.749801000242</v>
      </c>
      <c r="W67" s="18">
        <f t="shared" si="1"/>
        <v>-4389.958351661031</v>
      </c>
      <c r="Y67" s="271">
        <f t="shared" si="6"/>
        <v>-18.375638242037628</v>
      </c>
      <c r="Z67" s="235"/>
      <c r="AB67" s="384">
        <f>+IF(AB66&gt;$I$13+$I$14,XX,AB66+1)</f>
        <v>2045</v>
      </c>
      <c r="AC67" s="117"/>
      <c r="AD67" s="151">
        <f t="shared" si="2"/>
        <v>238901</v>
      </c>
      <c r="AF67" s="154">
        <f t="shared" si="14"/>
        <v>180.38789353546406</v>
      </c>
      <c r="AH67" s="154">
        <f t="shared" si="15"/>
        <v>36.132478788818666</v>
      </c>
      <c r="AJ67" s="154">
        <f t="shared" si="16"/>
        <v>3.68739239699689</v>
      </c>
      <c r="AL67" s="153">
        <f t="shared" si="21"/>
        <v>9266.1495159764818</v>
      </c>
      <c r="AN67" s="154">
        <v>7.9045609084400006</v>
      </c>
      <c r="AP67" s="154">
        <f t="shared" si="22"/>
        <v>50.706837774514881</v>
      </c>
      <c r="AR67" s="154">
        <f t="shared" si="17"/>
        <v>5.2237278648640038</v>
      </c>
      <c r="AS67" s="154"/>
      <c r="AT67" s="153">
        <f t="shared" si="3"/>
        <v>6021.8817391869898</v>
      </c>
      <c r="AV67" s="153">
        <f t="shared" si="4"/>
        <v>13361.868061813253</v>
      </c>
      <c r="AW67" s="273"/>
      <c r="AX67" s="155">
        <f t="shared" si="9"/>
        <v>19383.749801000242</v>
      </c>
      <c r="AZ67" s="384">
        <f>+IF(AZ66&gt;$I$13+$I$14,XX,AZ66+1)</f>
        <v>2045</v>
      </c>
      <c r="BA67" s="117"/>
      <c r="BB67" s="154">
        <f t="shared" si="18"/>
        <v>92.267038649857056</v>
      </c>
      <c r="BD67" s="154">
        <f t="shared" si="19"/>
        <v>28.480453351699492</v>
      </c>
      <c r="BF67" s="153">
        <f t="shared" si="23"/>
        <v>3244.267776789492</v>
      </c>
      <c r="BH67" s="157"/>
    </row>
    <row r="68" spans="2:60" ht="12">
      <c r="B68" s="2"/>
      <c r="C68" s="354">
        <f>+IF(C67&gt;$I$13+$I$14,XX,C67+1)</f>
        <v>2046</v>
      </c>
      <c r="E68" s="356">
        <v>2.3E-2</v>
      </c>
      <c r="G68" s="414">
        <v>238901</v>
      </c>
      <c r="I68" s="465">
        <v>123.39425372636053</v>
      </c>
      <c r="K68" s="465">
        <v>3.9528203139188123</v>
      </c>
      <c r="M68" s="28">
        <f t="shared" si="13"/>
        <v>7.0141127665583749</v>
      </c>
      <c r="O68" s="465">
        <v>1.1200000000000001</v>
      </c>
      <c r="Q68" s="465">
        <v>0</v>
      </c>
      <c r="S68" s="465">
        <f t="shared" si="20"/>
        <v>15288.702899358314</v>
      </c>
      <c r="U68" s="18">
        <f t="shared" si="0"/>
        <v>19817.462132172077</v>
      </c>
      <c r="W68" s="18">
        <f t="shared" si="1"/>
        <v>-4528.7592328137634</v>
      </c>
      <c r="Y68" s="271">
        <f t="shared" si="6"/>
        <v>-18.956635731176359</v>
      </c>
      <c r="Z68" s="235"/>
      <c r="AB68" s="384">
        <f>+IF(AB67&gt;$I$13+$I$14,XX,AB67+1)</f>
        <v>2046</v>
      </c>
      <c r="AC68" s="117"/>
      <c r="AD68" s="151">
        <f t="shared" si="2"/>
        <v>238901</v>
      </c>
      <c r="AF68" s="154">
        <f t="shared" si="14"/>
        <v>184.53681508677971</v>
      </c>
      <c r="AH68" s="154">
        <f t="shared" si="15"/>
        <v>36.963525800961492</v>
      </c>
      <c r="AJ68" s="154">
        <f t="shared" si="16"/>
        <v>3.7722024221278181</v>
      </c>
      <c r="AL68" s="153">
        <f t="shared" si="21"/>
        <v>9479.2709548439398</v>
      </c>
      <c r="AN68" s="154">
        <v>8.0784612484256808</v>
      </c>
      <c r="AP68" s="154">
        <f t="shared" si="22"/>
        <v>51.822388205554205</v>
      </c>
      <c r="AR68" s="154">
        <f t="shared" si="17"/>
        <v>5.3438736057558751</v>
      </c>
      <c r="AS68" s="154"/>
      <c r="AT68" s="153">
        <f t="shared" si="3"/>
        <v>6160.3850191882902</v>
      </c>
      <c r="AV68" s="153">
        <f t="shared" si="4"/>
        <v>13657.077112983789</v>
      </c>
      <c r="AW68" s="273"/>
      <c r="AX68" s="155">
        <f t="shared" si="9"/>
        <v>19817.462132172077</v>
      </c>
      <c r="AZ68" s="384">
        <f>+IF(AZ67&gt;$I$13+$I$14,XX,AZ67+1)</f>
        <v>2046</v>
      </c>
      <c r="BA68" s="117"/>
      <c r="BB68" s="154">
        <f t="shared" si="18"/>
        <v>94.389180538803757</v>
      </c>
      <c r="BD68" s="154">
        <f t="shared" si="19"/>
        <v>29.135503778788578</v>
      </c>
      <c r="BF68" s="153">
        <f t="shared" si="23"/>
        <v>3318.8859356556495</v>
      </c>
      <c r="BH68" s="157"/>
    </row>
    <row r="69" spans="2:60" ht="12">
      <c r="B69" s="2"/>
      <c r="C69" s="354">
        <f>+IF(C68&gt;$I$13+$I$14,XX,C68+1)</f>
        <v>2047</v>
      </c>
      <c r="E69" s="356">
        <v>2.1999999999999999E-2</v>
      </c>
      <c r="G69" s="414">
        <v>238901</v>
      </c>
      <c r="I69" s="465">
        <v>125.73874454716137</v>
      </c>
      <c r="K69" s="465">
        <v>4.0437351811389437</v>
      </c>
      <c r="M69" s="28">
        <f t="shared" si="13"/>
        <v>7.168423247422659</v>
      </c>
      <c r="O69" s="465">
        <v>1.1499999999999997</v>
      </c>
      <c r="Q69" s="465">
        <v>0</v>
      </c>
      <c r="S69" s="465">
        <f t="shared" si="20"/>
        <v>15590.075837731514</v>
      </c>
      <c r="U69" s="18">
        <f t="shared" si="0"/>
        <v>20253.446299079871</v>
      </c>
      <c r="W69" s="18">
        <f t="shared" si="1"/>
        <v>-4663.3704613483569</v>
      </c>
      <c r="Y69" s="271">
        <f t="shared" si="6"/>
        <v>-19.520096028682829</v>
      </c>
      <c r="Z69" s="235"/>
      <c r="AB69" s="384">
        <f>+IF(AB68&gt;$I$13+$I$14,XX,AB68+1)</f>
        <v>2047</v>
      </c>
      <c r="AC69" s="117"/>
      <c r="AD69" s="151">
        <f t="shared" si="2"/>
        <v>238901</v>
      </c>
      <c r="AF69" s="154">
        <f t="shared" si="14"/>
        <v>188.59662501868885</v>
      </c>
      <c r="AH69" s="154">
        <f t="shared" si="15"/>
        <v>37.776723368582644</v>
      </c>
      <c r="AJ69" s="154">
        <f t="shared" si="16"/>
        <v>3.85519087541463</v>
      </c>
      <c r="AL69" s="153">
        <f t="shared" si="21"/>
        <v>9687.8149158505075</v>
      </c>
      <c r="AN69" s="154">
        <v>8.2561873958910468</v>
      </c>
      <c r="AP69" s="154">
        <f t="shared" si="22"/>
        <v>52.962480746076409</v>
      </c>
      <c r="AR69" s="154">
        <f t="shared" si="17"/>
        <v>5.4614388250825048</v>
      </c>
      <c r="AS69" s="154"/>
      <c r="AT69" s="153">
        <f t="shared" si="3"/>
        <v>6295.9134896104333</v>
      </c>
      <c r="AV69" s="153">
        <f t="shared" si="4"/>
        <v>13957.532809469436</v>
      </c>
      <c r="AW69" s="273"/>
      <c r="AX69" s="155">
        <f t="shared" si="9"/>
        <v>20253.446299079871</v>
      </c>
      <c r="AZ69" s="384">
        <f>+IF(AZ68&gt;$I$13+$I$14,XX,AZ68+1)</f>
        <v>2047</v>
      </c>
      <c r="BA69" s="117"/>
      <c r="BB69" s="154">
        <f t="shared" si="18"/>
        <v>96.465742510657435</v>
      </c>
      <c r="BD69" s="154">
        <f t="shared" si="19"/>
        <v>29.776484861921929</v>
      </c>
      <c r="BF69" s="153">
        <f t="shared" si="23"/>
        <v>3391.9014262400742</v>
      </c>
      <c r="BH69" s="157"/>
    </row>
    <row r="70" spans="2:60" ht="12">
      <c r="B70" s="2"/>
      <c r="C70" s="354">
        <f>+IF(C69&gt;$I$13+$I$14,XX,C69+1)</f>
        <v>2048</v>
      </c>
      <c r="E70" s="356">
        <v>2.1999999999999999E-2</v>
      </c>
      <c r="G70" s="414">
        <v>238901</v>
      </c>
      <c r="I70" s="465">
        <v>128.12778069355747</v>
      </c>
      <c r="K70" s="465">
        <v>4.1480746275388523</v>
      </c>
      <c r="M70" s="28">
        <f>M69*(1+$E70)</f>
        <v>7.3261285588659577</v>
      </c>
      <c r="O70" s="465">
        <v>1.17</v>
      </c>
      <c r="Q70" s="465">
        <v>0</v>
      </c>
      <c r="S70" s="465">
        <f t="shared" si="20"/>
        <v>15897.554745137822</v>
      </c>
      <c r="U70" s="18">
        <f t="shared" si="0"/>
        <v>20699.022117659628</v>
      </c>
      <c r="W70" s="18">
        <f t="shared" si="1"/>
        <v>-4801.4673725218054</v>
      </c>
      <c r="Y70" s="271">
        <f t="shared" si="6"/>
        <v>-20.098146816136413</v>
      </c>
      <c r="Z70" s="235"/>
      <c r="AB70" s="384">
        <f>+IF(AB69&gt;$I$13+$I$14,XX,AB69+1)</f>
        <v>2048</v>
      </c>
      <c r="AC70" s="117"/>
      <c r="AD70" s="151">
        <f t="shared" si="2"/>
        <v>238901</v>
      </c>
      <c r="AF70" s="154">
        <f t="shared" si="14"/>
        <v>192.7457507691</v>
      </c>
      <c r="AH70" s="154">
        <f t="shared" si="15"/>
        <v>38.607811282691465</v>
      </c>
      <c r="AJ70" s="154">
        <f t="shared" si="16"/>
        <v>3.9400050746737518</v>
      </c>
      <c r="AL70" s="153">
        <f t="shared" si="21"/>
        <v>9900.9468439992179</v>
      </c>
      <c r="AN70" s="154">
        <v>8.4378235186006503</v>
      </c>
      <c r="AP70" s="154">
        <f t="shared" si="22"/>
        <v>54.127655322490092</v>
      </c>
      <c r="AR70" s="154">
        <f t="shared" si="17"/>
        <v>5.5815904792343201</v>
      </c>
      <c r="AS70" s="154"/>
      <c r="AT70" s="153">
        <f t="shared" si="3"/>
        <v>6434.4235863818631</v>
      </c>
      <c r="AV70" s="153">
        <f t="shared" si="4"/>
        <v>14264.598531277765</v>
      </c>
      <c r="AW70" s="273"/>
      <c r="AX70" s="155">
        <f t="shared" si="9"/>
        <v>20699.022117659628</v>
      </c>
      <c r="AZ70" s="384">
        <f>+IF(AZ69&gt;$I$13+$I$14,XX,AZ69+1)</f>
        <v>2048</v>
      </c>
      <c r="BA70" s="117"/>
      <c r="BB70" s="154">
        <f t="shared" si="18"/>
        <v>98.5879888458919</v>
      </c>
      <c r="BD70" s="154">
        <f t="shared" si="19"/>
        <v>30.431567528884212</v>
      </c>
      <c r="BF70" s="153">
        <f t="shared" si="23"/>
        <v>3466.5232576173553</v>
      </c>
      <c r="BH70" s="157"/>
    </row>
    <row r="71" spans="2:60" ht="12">
      <c r="B71" s="2"/>
      <c r="C71" s="354">
        <f>+IF(C70&gt;$I$13+$I$14,XX,C70+1)</f>
        <v>2049</v>
      </c>
      <c r="E71" s="356">
        <v>2.1999999999999999E-2</v>
      </c>
      <c r="G71" s="414">
        <v>218394.24294171217</v>
      </c>
      <c r="I71" s="465">
        <v>119.68202448284046</v>
      </c>
      <c r="K71" s="465">
        <v>3.8792289574336447</v>
      </c>
      <c r="M71" s="28">
        <f t="shared" si="13"/>
        <v>7.4873033871610088</v>
      </c>
      <c r="O71" s="465">
        <v>1.2000000000000002</v>
      </c>
      <c r="Q71" s="465">
        <v>0</v>
      </c>
      <c r="S71" s="465">
        <f t="shared" si="20"/>
        <v>14772.501778325755</v>
      </c>
      <c r="U71" s="18">
        <f t="shared" si="0"/>
        <v>19820.445605641216</v>
      </c>
      <c r="W71" s="18">
        <f t="shared" si="1"/>
        <v>-5047.943827315461</v>
      </c>
      <c r="Y71" s="271">
        <f t="shared" si="6"/>
        <v>-23.113905198786398</v>
      </c>
      <c r="Z71" s="235"/>
      <c r="AB71" s="384">
        <f>+IF(AB70&gt;$I$13+$I$14,XX,AB70+1)</f>
        <v>2049</v>
      </c>
      <c r="AC71" s="117"/>
      <c r="AD71" s="151">
        <f t="shared" si="2"/>
        <v>218394.24294171217</v>
      </c>
      <c r="AF71" s="154">
        <f t="shared" si="14"/>
        <v>196.98615728602022</v>
      </c>
      <c r="AH71" s="154">
        <f t="shared" si="15"/>
        <v>39.457183130910678</v>
      </c>
      <c r="AJ71" s="154">
        <f t="shared" si="16"/>
        <v>4.0266851863165742</v>
      </c>
      <c r="AL71" s="153">
        <f t="shared" si="21"/>
        <v>10036.1934197012</v>
      </c>
      <c r="AN71" s="154">
        <v>8.6234556360098651</v>
      </c>
      <c r="AP71" s="154">
        <f t="shared" si="22"/>
        <v>55.318463739584878</v>
      </c>
      <c r="AR71" s="154">
        <f t="shared" si="17"/>
        <v>5.704385469777475</v>
      </c>
      <c r="AS71" s="154"/>
      <c r="AT71" s="153">
        <f t="shared" si="3"/>
        <v>6493.406650416262</v>
      </c>
      <c r="AV71" s="153">
        <f t="shared" si="4"/>
        <v>13327.038955224953</v>
      </c>
      <c r="AW71" s="273"/>
      <c r="AX71" s="155">
        <f t="shared" si="9"/>
        <v>19820.445605641216</v>
      </c>
      <c r="AZ71" s="384">
        <f>+IF(AZ70&gt;$I$13+$I$14,XX,AZ70+1)</f>
        <v>2049</v>
      </c>
      <c r="BA71" s="117"/>
      <c r="BB71" s="154">
        <f t="shared" si="18"/>
        <v>100.75692460050152</v>
      </c>
      <c r="BD71" s="154">
        <f t="shared" si="19"/>
        <v>31.101062014519666</v>
      </c>
      <c r="BF71" s="153">
        <f t="shared" si="23"/>
        <v>3542.7867692849377</v>
      </c>
      <c r="BH71" s="157"/>
    </row>
    <row r="72" spans="2:60">
      <c r="B72" s="2"/>
      <c r="E72" s="169"/>
      <c r="G72" s="267"/>
      <c r="H72" s="267"/>
      <c r="I72" s="267"/>
      <c r="K72" s="267"/>
      <c r="M72" s="267"/>
      <c r="O72" s="267"/>
      <c r="Q72" s="267"/>
      <c r="S72" s="267"/>
      <c r="U72" s="267"/>
      <c r="W72" s="267"/>
      <c r="Y72" s="267"/>
      <c r="Z72" s="235"/>
      <c r="AB72" s="2"/>
      <c r="AF72" s="274"/>
      <c r="AH72" s="274"/>
      <c r="AJ72" s="274"/>
      <c r="AL72" s="273"/>
      <c r="AN72" s="274"/>
      <c r="AP72" s="274"/>
      <c r="AR72" s="274"/>
      <c r="AS72" s="274"/>
      <c r="AT72" s="274"/>
      <c r="AV72" s="273"/>
      <c r="AW72" s="273"/>
      <c r="AX72" s="275"/>
      <c r="AZ72" s="2"/>
      <c r="BB72" s="274"/>
      <c r="BF72" s="273"/>
      <c r="BH72" s="235"/>
    </row>
    <row r="73" spans="2:60" ht="12">
      <c r="B73" s="2"/>
      <c r="C73" s="4" t="s">
        <v>235</v>
      </c>
      <c r="E73" s="169"/>
      <c r="G73" s="466">
        <f>+-PMT($I$18,44,NPV($I$18,G28:G71))</f>
        <v>280574.27984254091</v>
      </c>
      <c r="I73" s="466">
        <f>+-PMT($I$18,44,NPV($I$18,I28:I71))</f>
        <v>225.45785842199547</v>
      </c>
      <c r="J73" s="28"/>
      <c r="K73" s="466">
        <f>+-PMT($I$18,44,NPV($I$18,K28:K71))</f>
        <v>9.4168815444413756</v>
      </c>
      <c r="M73" s="466">
        <f>+-PMT($I$18,44,NPV($I$18,M28:M71))</f>
        <v>3.9653932818884812</v>
      </c>
      <c r="O73" s="466">
        <f>+-PMT($I$18,44,NPV($I$18,O28:O71))</f>
        <v>3.6091301361115211</v>
      </c>
      <c r="Q73" s="466">
        <f>+-PMT($I$18,44,NPV($I$18,Q28:Q71))</f>
        <v>-25.844435393474253</v>
      </c>
      <c r="S73" s="466">
        <f>+-PMT($I$18,44,NPV($I$18,S28:S71))</f>
        <v>21752.206130388346</v>
      </c>
      <c r="U73" s="466">
        <f>+-PMT($I$18,44,NPV($I$18,U28:U71))</f>
        <v>17111.301003855828</v>
      </c>
      <c r="W73" s="466">
        <f>+-PMT($I$18,44,NPV($I$18,W28:W71))</f>
        <v>4640.9051265325033</v>
      </c>
      <c r="Y73" s="466">
        <f>+-PMT($I$18,44,NPV($I$18,Y28:Y71))</f>
        <v>18.282770860147256</v>
      </c>
      <c r="Z73" s="235"/>
      <c r="AB73" s="2"/>
      <c r="AD73" s="466">
        <f>+-PMT($I$18,44,NPV($I$18,AD28:AD71))</f>
        <v>280574.27984254091</v>
      </c>
      <c r="AF73" s="466">
        <f>+-PMT($I$18,44,NPV($I$18,AF28:AF71))</f>
        <v>88.914773843283513</v>
      </c>
      <c r="AH73" s="466">
        <f>+-PMT($I$18,44,NPV($I$18,AH28:AH71))</f>
        <v>15.615618868341858</v>
      </c>
      <c r="AJ73" s="466">
        <f>+-PMT($I$18,44,NPV($I$18,AJ28:AJ71))</f>
        <v>2.5274249522994765</v>
      </c>
      <c r="AL73" s="467">
        <f>+-PMT($I$18,44,NPV($I$18,AL28:AL71))</f>
        <v>6141.3006644048337</v>
      </c>
      <c r="AN73" s="466">
        <f>+-PMT($I$18,44,NPV($I$18,AN28:AN71))</f>
        <v>6.4321243230359855</v>
      </c>
      <c r="AP73" s="466">
        <f>+-PMT($I$18,44,NPV($I$18,AP28:AP71))</f>
        <v>45.116628561727744</v>
      </c>
      <c r="AR73" s="466">
        <f>+-PMT($I$18,44,NPV($I$18,AR28:AR71))</f>
        <v>3.0211319949911659</v>
      </c>
      <c r="AS73" s="154"/>
      <c r="AT73" s="468">
        <f>+-PMT($I$18,44,NPV($I$18,AT28:AT71))</f>
        <v>3285.5760039204365</v>
      </c>
      <c r="AV73" s="467">
        <f>+-PMT($I$18,44,NPV($I$18,AV28:AV71))</f>
        <v>13825.72499993539</v>
      </c>
      <c r="AW73" s="273"/>
      <c r="AX73" s="468">
        <f>+-PMT($I$18,44,NPV($I$18,AX28:AX71))</f>
        <v>17111.301003855828</v>
      </c>
      <c r="AY73" s="311"/>
      <c r="AZ73" s="2"/>
      <c r="BB73" s="466">
        <f>+-PMT($I$18,44,NPV($I$18,BB28:BB71))</f>
        <v>51.484220150708985</v>
      </c>
      <c r="BD73" s="466">
        <f>+-PMT($I$18,44,NPV($I$18,BD28:BD71))</f>
        <v>11.987628638080135</v>
      </c>
      <c r="BF73" s="468">
        <f>+-PMT($I$18,44,NPV($I$18,BF28:BF71))</f>
        <v>2855.7246604843949</v>
      </c>
      <c r="BH73" s="157"/>
    </row>
    <row r="74" spans="2:60">
      <c r="B74" s="2"/>
      <c r="E74" s="169"/>
      <c r="W74" s="18"/>
      <c r="Y74" s="271"/>
      <c r="Z74" s="235"/>
      <c r="AB74" s="2"/>
      <c r="AT74" s="273"/>
      <c r="AX74" s="235"/>
      <c r="AZ74" s="2"/>
      <c r="BH74" s="235"/>
    </row>
    <row r="75" spans="2:60">
      <c r="B75" s="238"/>
      <c r="C75" s="277"/>
      <c r="D75" s="277"/>
      <c r="E75" s="278"/>
      <c r="F75" s="277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39"/>
      <c r="AB75" s="238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39"/>
      <c r="AZ75" s="238"/>
      <c r="BA75" s="277"/>
      <c r="BB75" s="277"/>
      <c r="BC75" s="277"/>
      <c r="BD75" s="277"/>
      <c r="BE75" s="277"/>
      <c r="BF75" s="277"/>
      <c r="BG75" s="277"/>
      <c r="BH75" s="239"/>
    </row>
    <row r="76" spans="2:60">
      <c r="E76" s="169"/>
    </row>
    <row r="77" spans="2:60">
      <c r="E77" s="169"/>
      <c r="G77" s="18"/>
      <c r="I77" s="18"/>
      <c r="K77" s="18"/>
      <c r="O77" s="18"/>
      <c r="Q77" s="18"/>
      <c r="S77" s="18"/>
      <c r="U77" s="18"/>
      <c r="W77" s="18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  <row r="87" spans="5:5">
      <c r="E87" s="169"/>
    </row>
    <row r="88" spans="5:5">
      <c r="E88" s="169"/>
    </row>
    <row r="89" spans="5:5">
      <c r="E89" s="169"/>
    </row>
    <row r="90" spans="5:5">
      <c r="E90" s="169"/>
    </row>
    <row r="91" spans="5:5">
      <c r="E91" s="169"/>
    </row>
    <row r="92" spans="5:5">
      <c r="E92" s="169"/>
    </row>
    <row r="93" spans="5:5">
      <c r="E93" s="169"/>
    </row>
    <row r="94" spans="5:5">
      <c r="E94" s="169"/>
    </row>
    <row r="95" spans="5:5">
      <c r="E95" s="169"/>
    </row>
    <row r="96" spans="5:5">
      <c r="E96" s="169"/>
    </row>
    <row r="97" spans="5:5">
      <c r="E97" s="169"/>
    </row>
    <row r="98" spans="5:5">
      <c r="E98" s="169"/>
    </row>
    <row r="99" spans="5:5">
      <c r="E99" s="169"/>
    </row>
  </sheetData>
  <pageMargins left="0.25" right="0.25" top="0.25" bottom="0.75" header="0.3" footer="0.3"/>
  <pageSetup paperSize="5" scale="46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9">
    <tabColor theme="0" tint="-0.249977111117893"/>
    <pageSetUpPr fitToPage="1"/>
  </sheetPr>
  <dimension ref="A1:BH80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3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Index'!$C$4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144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51">
        <v>3.8999999999999986</v>
      </c>
      <c r="H11" s="252"/>
      <c r="AB11" s="122" t="s">
        <v>99</v>
      </c>
      <c r="AC11" s="123"/>
      <c r="AD11" s="123"/>
      <c r="AE11" s="123"/>
      <c r="AF11" s="134">
        <f>+G11*(G12/AJ16)</f>
        <v>1.944065484311051</v>
      </c>
      <c r="AG11" s="127"/>
      <c r="AH11" s="123" t="s">
        <v>100</v>
      </c>
      <c r="AI11" s="124"/>
      <c r="AJ11" s="129">
        <f>'(2.1)_Proxy Resources'!$N$106</f>
        <v>6.6035087719298247</v>
      </c>
      <c r="AK11" s="235"/>
      <c r="AZ11" s="122" t="s">
        <v>99</v>
      </c>
      <c r="BA11" s="123"/>
      <c r="BB11" s="123"/>
      <c r="BC11" s="123"/>
      <c r="BD11" s="134">
        <f>(AF11*AF13-G11*G19)</f>
        <v>0.44406548431105097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54">
        <v>0.38461538461538475</v>
      </c>
      <c r="H12" s="252"/>
      <c r="AB12" s="122" t="s">
        <v>32</v>
      </c>
      <c r="AC12" s="123"/>
      <c r="AD12" s="123"/>
      <c r="AE12" s="123"/>
      <c r="AF12" s="131">
        <f>+AD66/8760/AF11</f>
        <v>0.77157894736842125</v>
      </c>
      <c r="AG12" s="127"/>
      <c r="AH12" s="117" t="s">
        <v>101</v>
      </c>
      <c r="AI12" s="118"/>
      <c r="AJ12" s="117">
        <v>2002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2003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f>'(2.1)_Proxy Resources'!$O$106</f>
        <v>1.5426421100500227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35</v>
      </c>
      <c r="H14" s="252"/>
      <c r="AB14" s="122" t="s">
        <v>104</v>
      </c>
      <c r="AC14" s="123"/>
      <c r="AD14" s="123"/>
      <c r="AE14" s="123"/>
      <c r="AF14" s="134">
        <f>'(2.1)_Proxy Resources'!$H$106</f>
        <v>7163.7407912687586</v>
      </c>
      <c r="AG14" s="127"/>
      <c r="AH14" s="117"/>
      <c r="AI14" s="118"/>
      <c r="AJ14" s="129"/>
      <c r="AK14" s="235"/>
      <c r="AZ14" s="122" t="s">
        <v>105</v>
      </c>
      <c r="BA14" s="123"/>
      <c r="BB14" s="123"/>
      <c r="BC14" s="123"/>
      <c r="BD14" s="135">
        <f>'(2.1)_Proxy Resources'!$J$107</f>
        <v>482</v>
      </c>
      <c r="BE14" s="132"/>
    </row>
    <row r="15" spans="1:57" ht="12">
      <c r="A15" t="s">
        <v>198</v>
      </c>
      <c r="B15" s="250"/>
      <c r="C15" s="231" t="s">
        <v>107</v>
      </c>
      <c r="D15" s="231"/>
      <c r="E15" s="231"/>
      <c r="F15" s="231"/>
      <c r="G15" s="255">
        <f>S28*1000/(G11*1000)</f>
        <v>155.6371642434062</v>
      </c>
      <c r="H15" s="252"/>
      <c r="AB15" s="122" t="s">
        <v>197</v>
      </c>
      <c r="AC15" s="123"/>
      <c r="AD15" s="123"/>
      <c r="AE15" s="123"/>
      <c r="AF15" s="135">
        <f>'(2.1)_Proxy Resources'!$J$106</f>
        <v>625</v>
      </c>
      <c r="AG15" s="127"/>
      <c r="AH15" s="117" t="s">
        <v>145</v>
      </c>
      <c r="AI15" s="118"/>
      <c r="AJ15" s="129">
        <f>'(2.1)_Proxy Resources'!$P$106</f>
        <v>3.1491524416152528</v>
      </c>
      <c r="AK15" s="235"/>
      <c r="AZ15" s="122" t="s">
        <v>108</v>
      </c>
      <c r="BA15" s="123"/>
      <c r="BB15" s="123"/>
      <c r="BC15" s="123"/>
      <c r="BD15" s="136">
        <f>'(2.1)_Proxy Resources'!$K$107</f>
        <v>9.5899999999999999E-2</v>
      </c>
      <c r="BE15" s="132"/>
    </row>
    <row r="16" spans="1:57" ht="12">
      <c r="A16" t="s">
        <v>198</v>
      </c>
      <c r="B16" s="250"/>
      <c r="C16" s="231" t="s">
        <v>109</v>
      </c>
      <c r="D16" s="231"/>
      <c r="E16" s="231"/>
      <c r="F16" s="231"/>
      <c r="G16" s="255">
        <v>0</v>
      </c>
      <c r="H16" s="252"/>
      <c r="AB16" s="122" t="s">
        <v>108</v>
      </c>
      <c r="AC16" s="123"/>
      <c r="AD16" s="123"/>
      <c r="AE16" s="123"/>
      <c r="AF16" s="136">
        <f>'(2.1)_Proxy Resources'!$K$104</f>
        <v>8.6099999999999996E-2</v>
      </c>
      <c r="AG16" s="127"/>
      <c r="AH16" s="117" t="s">
        <v>110</v>
      </c>
      <c r="AI16" s="124"/>
      <c r="AJ16" s="137">
        <f>'(2.1)_Proxy Resources'!$D$106</f>
        <v>0.77157894736842092</v>
      </c>
      <c r="AK16" s="235"/>
      <c r="AZ16" s="122" t="s">
        <v>100</v>
      </c>
      <c r="BA16" s="124"/>
      <c r="BB16" s="129">
        <f>'(2.1)_Proxy Resources'!N107</f>
        <v>10.050000000000001</v>
      </c>
      <c r="BE16" s="130"/>
    </row>
    <row r="17" spans="1:60" ht="12">
      <c r="A17" t="s">
        <v>198</v>
      </c>
      <c r="B17" s="250"/>
      <c r="C17" s="231" t="s">
        <v>111</v>
      </c>
      <c r="D17" s="231"/>
      <c r="E17" s="231"/>
      <c r="F17" s="231"/>
      <c r="G17" s="255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2002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54">
        <v>8.6999999999999994E-2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258">
        <v>0.38461538461538475</v>
      </c>
      <c r="H19" s="259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2003</v>
      </c>
      <c r="E28" s="169">
        <f>'(2.2)_Forward_Price_Curve'!$CZ$42</f>
        <v>2.5000000000000001E-2</v>
      </c>
      <c r="G28" s="18">
        <v>13140</v>
      </c>
      <c r="I28" s="268">
        <f>$G$15</f>
        <v>155.6371642434062</v>
      </c>
      <c r="J28" s="268"/>
      <c r="K28" s="268">
        <f>$G$16</f>
        <v>0</v>
      </c>
      <c r="L28" s="269"/>
      <c r="M28" s="268">
        <f>$G$17</f>
        <v>0</v>
      </c>
      <c r="O28" s="270"/>
      <c r="Q28" s="28"/>
      <c r="S28" s="18">
        <v>606.98494054928403</v>
      </c>
      <c r="U28" s="18">
        <f>AX28</f>
        <v>507.86031953152184</v>
      </c>
      <c r="W28" s="18">
        <f t="shared" ref="W28:W62" si="0">S28-U28</f>
        <v>99.124621017762195</v>
      </c>
      <c r="Y28" s="271">
        <f>+W28*1000/G28</f>
        <v>7.5437306710625718</v>
      </c>
      <c r="Z28" s="235"/>
      <c r="AB28" s="146">
        <f>$C$28</f>
        <v>2003</v>
      </c>
      <c r="AC28" s="117"/>
      <c r="AD28" s="151">
        <f t="shared" ref="AD28:AD62" si="1">G28</f>
        <v>13140</v>
      </c>
      <c r="AF28" s="152">
        <f>$AF$15*$AF$16*(1+$E$28)</f>
        <v>55.157812499999999</v>
      </c>
      <c r="AG28" s="272"/>
      <c r="AH28" s="152">
        <f>$AJ$11*(1+$E$28)</f>
        <v>6.7685964912280694</v>
      </c>
      <c r="AI28" s="272"/>
      <c r="AJ28" s="152">
        <f>$AJ$13*(1+$E$28)</f>
        <v>1.5812081628012731</v>
      </c>
      <c r="AK28" s="272"/>
      <c r="AL28" s="153">
        <f>((AF28+AH28)*$AF$11*1000+AJ28*AD28)/1000</f>
        <v>141.16606954638473</v>
      </c>
      <c r="AN28" s="154">
        <f>INDEX('(2.2)_Forward_Price_Curve'!$G:$G,MATCH($AB28,'(2.2)_Forward_Price_Curve'!$C:$C,0),1)</f>
        <v>3.7170731707317075</v>
      </c>
      <c r="AO28" s="279"/>
      <c r="AP28" s="154">
        <f>AN28*$AF$14/1000</f>
        <v>26.628148697301437</v>
      </c>
      <c r="AQ28" s="272"/>
      <c r="AR28" s="152">
        <f>$AJ$15*(1+$E$28)</f>
        <v>3.2278812526556337</v>
      </c>
      <c r="AS28" s="152"/>
      <c r="AT28" s="153">
        <f t="shared" ref="AT28:AT62" si="2">AL28-BF28</f>
        <v>115.55208598908594</v>
      </c>
      <c r="AU28" s="272"/>
      <c r="AV28" s="153">
        <f t="shared" ref="AV28:AV62" si="3">(AP28+AR28)*AD28/1000</f>
        <v>392.30823354243591</v>
      </c>
      <c r="AW28" s="273"/>
      <c r="AX28" s="155">
        <f>AT28+AV28</f>
        <v>507.86031953152184</v>
      </c>
      <c r="AZ28" s="146">
        <f>$C$28</f>
        <v>2003</v>
      </c>
      <c r="BA28" s="117"/>
      <c r="BB28" s="152">
        <f>$BD$14*$BD$15*(1+$E$28)</f>
        <v>47.379394999999995</v>
      </c>
      <c r="BD28" s="152">
        <f>$BB$16*(1+$E$28)</f>
        <v>10.30125</v>
      </c>
      <c r="BE28" s="272"/>
      <c r="BF28" s="153">
        <f>(BB28+BD28)*$BD$11</f>
        <v>25.613983557298798</v>
      </c>
      <c r="BG28" s="272"/>
      <c r="BH28" s="156"/>
    </row>
    <row r="29" spans="1:60" ht="12">
      <c r="B29" s="2"/>
      <c r="C29">
        <f>+IF(C28&gt;$G$13+$G$14,XX,C28+1)</f>
        <v>2004</v>
      </c>
      <c r="E29" s="169">
        <f>E28</f>
        <v>2.5000000000000001E-2</v>
      </c>
      <c r="G29" s="18">
        <f>$G$28</f>
        <v>13140</v>
      </c>
      <c r="I29" s="28">
        <f>I28*(1+$E29)</f>
        <v>159.52809334949134</v>
      </c>
      <c r="K29" s="28">
        <f>K28*(1+$E29)</f>
        <v>0</v>
      </c>
      <c r="M29" s="28">
        <f>M28*(1+$E29)</f>
        <v>0</v>
      </c>
      <c r="O29" s="270"/>
      <c r="Q29" s="28"/>
      <c r="S29" s="18">
        <v>0</v>
      </c>
      <c r="U29" s="18">
        <f t="shared" ref="U29:U62" si="4">AX29</f>
        <v>520.55682751980976</v>
      </c>
      <c r="W29" s="18">
        <f t="shared" si="0"/>
        <v>-520.55682751980976</v>
      </c>
      <c r="Y29" s="271">
        <f t="shared" ref="Y29:Y62" si="5">+W29*1000/G29</f>
        <v>-39.616196919315811</v>
      </c>
      <c r="Z29" s="235"/>
      <c r="AB29" s="146">
        <f>+IF(AB28&gt;$G$13+$G$14,XX,AB28+1)</f>
        <v>2004</v>
      </c>
      <c r="AC29" s="117"/>
      <c r="AD29" s="151">
        <f t="shared" si="1"/>
        <v>13140</v>
      </c>
      <c r="AF29" s="154">
        <f>AF28*(1+$E29)</f>
        <v>56.536757812499992</v>
      </c>
      <c r="AH29" s="154">
        <f>AH28*(1+$E29)</f>
        <v>6.9378114035087703</v>
      </c>
      <c r="AJ29" s="154">
        <f>AJ28*(1+$E29)</f>
        <v>1.6207383668713047</v>
      </c>
      <c r="AL29" s="153">
        <f t="shared" ref="AL29:AL62" si="6">((AF29+AH29)*$AF$11*1000+AJ29*AD29)/1000</f>
        <v>144.69522128504434</v>
      </c>
      <c r="AN29" s="154">
        <f>INDEX('(2.2)_Forward_Price_Curve'!$G:$G,MATCH($AB29,'(2.2)_Forward_Price_Curve'!$C:$C,0),1)</f>
        <v>3.81</v>
      </c>
      <c r="AP29" s="154">
        <f t="shared" ref="AP29:AP62" si="7">AN29*$AF$14/1000</f>
        <v>27.293852414733969</v>
      </c>
      <c r="AR29" s="154">
        <f>AR28*(1+$E29)</f>
        <v>3.3085782839720244</v>
      </c>
      <c r="AS29" s="154"/>
      <c r="AT29" s="153">
        <f t="shared" si="2"/>
        <v>118.44088813881308</v>
      </c>
      <c r="AV29" s="153">
        <f t="shared" si="3"/>
        <v>402.11593938099674</v>
      </c>
      <c r="AW29" s="273"/>
      <c r="AX29" s="155">
        <f t="shared" ref="AX29:AX62" si="8">AT29+AV29</f>
        <v>520.55682751980976</v>
      </c>
      <c r="AZ29" s="146">
        <f>+IF(AZ28&gt;$G$13+$G$14,XX,AZ28+1)</f>
        <v>2004</v>
      </c>
      <c r="BA29" s="117"/>
      <c r="BB29" s="154">
        <f>BB28*(1+$E29)</f>
        <v>48.563879874999991</v>
      </c>
      <c r="BD29" s="154">
        <f>BD28*(1+$E29)</f>
        <v>10.558781249999999</v>
      </c>
      <c r="BF29" s="153">
        <f t="shared" ref="BF29:BF62" si="9">(BB29+BD29)*$BD$11</f>
        <v>26.254333146231268</v>
      </c>
      <c r="BH29" s="157"/>
    </row>
    <row r="30" spans="1:60" ht="12">
      <c r="B30" s="2"/>
      <c r="C30">
        <f>+IF(C29&gt;$G$13+$G$14,XX,C29+1)</f>
        <v>2005</v>
      </c>
      <c r="E30" s="169">
        <f t="shared" ref="E30:E62" si="10">E29</f>
        <v>2.5000000000000001E-2</v>
      </c>
      <c r="G30" s="18">
        <f t="shared" ref="G30:G62" si="11">$G$28</f>
        <v>13140</v>
      </c>
      <c r="I30" s="28">
        <f>I29*(1+$E30)</f>
        <v>163.51629568322861</v>
      </c>
      <c r="K30" s="28">
        <f t="shared" ref="K30:K62" si="12">K29*(1+$E30)</f>
        <v>0</v>
      </c>
      <c r="M30" s="28">
        <f t="shared" ref="M30:M62" si="13">M29*(1+$E30)</f>
        <v>0</v>
      </c>
      <c r="O30" s="270"/>
      <c r="Q30" s="28"/>
      <c r="S30" s="18">
        <v>0</v>
      </c>
      <c r="U30" s="18">
        <f t="shared" si="4"/>
        <v>538.72445078915564</v>
      </c>
      <c r="W30" s="18">
        <f t="shared" si="0"/>
        <v>-538.72445078915564</v>
      </c>
      <c r="Y30" s="271">
        <f t="shared" si="5"/>
        <v>-40.998816650620675</v>
      </c>
      <c r="Z30" s="235"/>
      <c r="AB30" s="146">
        <f>+IF(AB29&gt;$G$13+$G$14,XX,AB29+1)</f>
        <v>2005</v>
      </c>
      <c r="AC30" s="117"/>
      <c r="AD30" s="151">
        <f t="shared" si="1"/>
        <v>13140</v>
      </c>
      <c r="AF30" s="154">
        <f t="shared" ref="AF30:AF62" si="14">AF29*(1+$E30)</f>
        <v>57.950176757812486</v>
      </c>
      <c r="AH30" s="154">
        <f t="shared" ref="AH30:AH62" si="15">AH29*(1+$E30)</f>
        <v>7.1112566885964892</v>
      </c>
      <c r="AJ30" s="154">
        <f t="shared" ref="AJ30:AJ62" si="16">AJ29*(1+$E30)</f>
        <v>1.6612568260430871</v>
      </c>
      <c r="AL30" s="153">
        <f t="shared" si="6"/>
        <v>148.31260181717045</v>
      </c>
      <c r="AN30" s="154">
        <f>INDEX('(2.2)_Forward_Price_Curve'!$G:$G,MATCH($AB30,'(2.2)_Forward_Price_Curve'!$C:$C,0),1)</f>
        <v>3.96</v>
      </c>
      <c r="AP30" s="154">
        <f t="shared" si="7"/>
        <v>28.368413533424281</v>
      </c>
      <c r="AR30" s="154">
        <f t="shared" ref="AR30:AR62" si="17">AR29*(1+$E30)</f>
        <v>3.3912927410713247</v>
      </c>
      <c r="AS30" s="154"/>
      <c r="AT30" s="153">
        <f t="shared" si="2"/>
        <v>121.4019103422834</v>
      </c>
      <c r="AV30" s="153">
        <f t="shared" si="3"/>
        <v>417.32254044687227</v>
      </c>
      <c r="AW30" s="273"/>
      <c r="AX30" s="155">
        <f t="shared" si="8"/>
        <v>538.72445078915564</v>
      </c>
      <c r="AZ30" s="146">
        <f>+IF(AZ29&gt;$G$13+$G$14,XX,AZ29+1)</f>
        <v>2005</v>
      </c>
      <c r="BA30" s="117"/>
      <c r="BB30" s="154">
        <f t="shared" ref="BB30:BB62" si="18">BB29*(1+$E30)</f>
        <v>49.777976871874984</v>
      </c>
      <c r="BD30" s="154">
        <f t="shared" ref="BD30:BD62" si="19">BD29*(1+$E30)</f>
        <v>10.822750781249999</v>
      </c>
      <c r="BF30" s="153">
        <f t="shared" si="9"/>
        <v>26.910691474887045</v>
      </c>
      <c r="BH30" s="157"/>
    </row>
    <row r="31" spans="1:60" ht="12">
      <c r="B31" s="2"/>
      <c r="C31">
        <f>+IF(C30&gt;$G$13+$G$14,XX,C30+1)</f>
        <v>2006</v>
      </c>
      <c r="E31" s="169">
        <f t="shared" si="10"/>
        <v>2.5000000000000001E-2</v>
      </c>
      <c r="G31" s="18">
        <f t="shared" si="11"/>
        <v>13140</v>
      </c>
      <c r="I31" s="28">
        <f t="shared" ref="I31:I62" si="20">I30*(1+$E31)</f>
        <v>167.6042030753093</v>
      </c>
      <c r="K31" s="28">
        <f t="shared" si="12"/>
        <v>0</v>
      </c>
      <c r="M31" s="28">
        <f t="shared" si="13"/>
        <v>0</v>
      </c>
      <c r="O31" s="270"/>
      <c r="Q31" s="28"/>
      <c r="S31" s="18">
        <v>0</v>
      </c>
      <c r="U31" s="18">
        <f t="shared" si="4"/>
        <v>546.63880037304557</v>
      </c>
      <c r="W31" s="18">
        <f t="shared" si="0"/>
        <v>-546.63880037304557</v>
      </c>
      <c r="Y31" s="271">
        <f t="shared" si="5"/>
        <v>-41.601126360201341</v>
      </c>
      <c r="Z31" s="235"/>
      <c r="AB31" s="146">
        <f>+IF(AB30&gt;$G$13+$G$14,XX,AB30+1)</f>
        <v>2006</v>
      </c>
      <c r="AC31" s="117"/>
      <c r="AD31" s="151">
        <f t="shared" si="1"/>
        <v>13140</v>
      </c>
      <c r="AF31" s="154">
        <f t="shared" si="14"/>
        <v>59.398931176757792</v>
      </c>
      <c r="AH31" s="154">
        <f t="shared" si="15"/>
        <v>7.2890381058114011</v>
      </c>
      <c r="AJ31" s="154">
        <f t="shared" si="16"/>
        <v>1.7027882466941642</v>
      </c>
      <c r="AL31" s="153">
        <f t="shared" si="6"/>
        <v>152.02041686259969</v>
      </c>
      <c r="AN31" s="154">
        <f>INDEX('(2.2)_Forward_Price_Curve'!$G:$G,MATCH($AB31,'(2.2)_Forward_Price_Curve'!$C:$C,0),1)</f>
        <v>4</v>
      </c>
      <c r="AP31" s="154">
        <f t="shared" si="7"/>
        <v>28.654963165075035</v>
      </c>
      <c r="AR31" s="154">
        <f t="shared" si="17"/>
        <v>3.4760750595981076</v>
      </c>
      <c r="AS31" s="154"/>
      <c r="AT31" s="153">
        <f t="shared" si="2"/>
        <v>124.43695810084047</v>
      </c>
      <c r="AV31" s="153">
        <f t="shared" si="3"/>
        <v>422.20184227220506</v>
      </c>
      <c r="AW31" s="273"/>
      <c r="AX31" s="155">
        <f t="shared" si="8"/>
        <v>546.63880037304557</v>
      </c>
      <c r="AZ31" s="146">
        <f>+IF(AZ30&gt;$G$13+$G$14,XX,AZ30+1)</f>
        <v>2006</v>
      </c>
      <c r="BA31" s="117"/>
      <c r="BB31" s="154">
        <f t="shared" si="18"/>
        <v>51.022426293671856</v>
      </c>
      <c r="BD31" s="154">
        <f t="shared" si="19"/>
        <v>11.093319550781247</v>
      </c>
      <c r="BF31" s="153">
        <f t="shared" si="9"/>
        <v>27.583458761759218</v>
      </c>
      <c r="BH31" s="157"/>
    </row>
    <row r="32" spans="1:60" ht="12">
      <c r="B32" s="2"/>
      <c r="C32">
        <f>+IF(C31&gt;$G$13+$G$14,XX,C31+1)</f>
        <v>2007</v>
      </c>
      <c r="E32" s="169">
        <f t="shared" si="10"/>
        <v>2.5000000000000001E-2</v>
      </c>
      <c r="G32" s="18">
        <f t="shared" si="11"/>
        <v>13140</v>
      </c>
      <c r="I32" s="28">
        <f t="shared" si="20"/>
        <v>171.79430815219203</v>
      </c>
      <c r="K32" s="28">
        <f t="shared" si="12"/>
        <v>0</v>
      </c>
      <c r="M32" s="28">
        <f t="shared" si="13"/>
        <v>0</v>
      </c>
      <c r="O32" s="270"/>
      <c r="Q32" s="28"/>
      <c r="S32" s="18">
        <v>0</v>
      </c>
      <c r="U32" s="18">
        <f t="shared" si="4"/>
        <v>571.6005568620443</v>
      </c>
      <c r="W32" s="18">
        <f t="shared" si="0"/>
        <v>-571.6005568620443</v>
      </c>
      <c r="Y32" s="271">
        <f t="shared" si="5"/>
        <v>-43.500803414158618</v>
      </c>
      <c r="Z32" s="235"/>
      <c r="AB32" s="146">
        <f>+IF(AB31&gt;$G$13+$G$14,XX,AB31+1)</f>
        <v>2007</v>
      </c>
      <c r="AC32" s="117"/>
      <c r="AD32" s="151">
        <f t="shared" si="1"/>
        <v>13140</v>
      </c>
      <c r="AF32" s="154">
        <f t="shared" si="14"/>
        <v>60.88390445617673</v>
      </c>
      <c r="AH32" s="154">
        <f t="shared" si="15"/>
        <v>7.4712640584566854</v>
      </c>
      <c r="AJ32" s="154">
        <f t="shared" si="16"/>
        <v>1.7453579528615182</v>
      </c>
      <c r="AL32" s="153">
        <f t="shared" si="6"/>
        <v>155.82092728416467</v>
      </c>
      <c r="AN32" s="154">
        <f>INDEX('(2.2)_Forward_Price_Curve'!$G:$G,MATCH($AB32,'(2.2)_Forward_Price_Curve'!$C:$C,0),1)</f>
        <v>4.22</v>
      </c>
      <c r="AP32" s="154">
        <f t="shared" si="7"/>
        <v>30.230986139154162</v>
      </c>
      <c r="AR32" s="154">
        <f t="shared" si="17"/>
        <v>3.5629769360880599</v>
      </c>
      <c r="AS32" s="154"/>
      <c r="AT32" s="153">
        <f t="shared" si="2"/>
        <v>127.54788205336148</v>
      </c>
      <c r="AV32" s="153">
        <f t="shared" si="3"/>
        <v>444.05267480868281</v>
      </c>
      <c r="AW32" s="273"/>
      <c r="AX32" s="155">
        <f t="shared" si="8"/>
        <v>571.6005568620443</v>
      </c>
      <c r="AZ32" s="146">
        <f>+IF(AZ31&gt;$G$13+$G$14,XX,AZ31+1)</f>
        <v>2007</v>
      </c>
      <c r="BA32" s="117"/>
      <c r="BB32" s="154">
        <f t="shared" si="18"/>
        <v>52.297986951013648</v>
      </c>
      <c r="BD32" s="154">
        <f t="shared" si="19"/>
        <v>11.370652539550777</v>
      </c>
      <c r="BF32" s="153">
        <f t="shared" si="9"/>
        <v>28.273045230803195</v>
      </c>
      <c r="BH32" s="157"/>
    </row>
    <row r="33" spans="2:60" ht="12">
      <c r="B33" s="2"/>
      <c r="C33">
        <f>+IF(C32&gt;$G$13+$G$14,XX,C32+1)</f>
        <v>2008</v>
      </c>
      <c r="E33" s="169">
        <f t="shared" si="10"/>
        <v>2.5000000000000001E-2</v>
      </c>
      <c r="G33" s="18">
        <f t="shared" si="11"/>
        <v>13140</v>
      </c>
      <c r="I33" s="28">
        <f t="shared" si="20"/>
        <v>176.08916585599681</v>
      </c>
      <c r="K33" s="28">
        <f t="shared" si="12"/>
        <v>0</v>
      </c>
      <c r="M33" s="28">
        <f t="shared" si="13"/>
        <v>0</v>
      </c>
      <c r="O33" s="270"/>
      <c r="Q33" s="28"/>
      <c r="S33" s="18">
        <v>0</v>
      </c>
      <c r="U33" s="18">
        <f t="shared" si="4"/>
        <v>594.78600263633746</v>
      </c>
      <c r="W33" s="18">
        <f t="shared" si="0"/>
        <v>-594.78600263633746</v>
      </c>
      <c r="Y33" s="271">
        <f t="shared" si="5"/>
        <v>-45.265297004287476</v>
      </c>
      <c r="Z33" s="235"/>
      <c r="AB33" s="146">
        <f>+IF(AB32&gt;$G$13+$G$14,XX,AB32+1)</f>
        <v>2008</v>
      </c>
      <c r="AC33" s="117"/>
      <c r="AD33" s="151">
        <f t="shared" si="1"/>
        <v>13140</v>
      </c>
      <c r="AF33" s="154">
        <f t="shared" si="14"/>
        <v>62.406002067581142</v>
      </c>
      <c r="AH33" s="154">
        <f t="shared" si="15"/>
        <v>7.6580456599181019</v>
      </c>
      <c r="AJ33" s="154">
        <f t="shared" si="16"/>
        <v>1.788991901683056</v>
      </c>
      <c r="AL33" s="153">
        <f t="shared" si="6"/>
        <v>159.71645046626878</v>
      </c>
      <c r="AN33" s="154">
        <f>INDEX('(2.2)_Forward_Price_Curve'!$G:$G,MATCH($AB33,'(2.2)_Forward_Price_Curve'!$C:$C,0),1)</f>
        <v>4.42</v>
      </c>
      <c r="AP33" s="154">
        <f t="shared" si="7"/>
        <v>31.66373429740791</v>
      </c>
      <c r="AR33" s="154">
        <f t="shared" si="17"/>
        <v>3.6520513594902613</v>
      </c>
      <c r="AS33" s="154"/>
      <c r="AT33" s="153">
        <f t="shared" si="2"/>
        <v>130.73657910469552</v>
      </c>
      <c r="AV33" s="153">
        <f t="shared" si="3"/>
        <v>464.04942353164193</v>
      </c>
      <c r="AW33" s="273"/>
      <c r="AX33" s="155">
        <f t="shared" si="8"/>
        <v>594.78600263633746</v>
      </c>
      <c r="AZ33" s="146">
        <f>+IF(AZ32&gt;$G$13+$G$14,XX,AZ32+1)</f>
        <v>2008</v>
      </c>
      <c r="BA33" s="117"/>
      <c r="BB33" s="154">
        <f t="shared" si="18"/>
        <v>53.605436624788986</v>
      </c>
      <c r="BD33" s="154">
        <f t="shared" si="19"/>
        <v>11.654918853039545</v>
      </c>
      <c r="BF33" s="153">
        <f t="shared" si="9"/>
        <v>28.979871361573274</v>
      </c>
      <c r="BH33" s="157"/>
    </row>
    <row r="34" spans="2:60" ht="12">
      <c r="B34" s="2"/>
      <c r="C34">
        <f>+IF(C33&gt;$G$13+$G$14,XX,C33+1)</f>
        <v>2009</v>
      </c>
      <c r="E34" s="169">
        <f t="shared" si="10"/>
        <v>2.5000000000000001E-2</v>
      </c>
      <c r="G34" s="18">
        <f t="shared" si="11"/>
        <v>13140</v>
      </c>
      <c r="I34" s="28">
        <f t="shared" si="20"/>
        <v>180.49139500239673</v>
      </c>
      <c r="K34" s="28">
        <f t="shared" si="12"/>
        <v>0</v>
      </c>
      <c r="M34" s="28">
        <f t="shared" si="13"/>
        <v>0</v>
      </c>
      <c r="O34" s="270"/>
      <c r="Q34" s="28"/>
      <c r="S34" s="18">
        <v>0</v>
      </c>
      <c r="U34" s="18">
        <f t="shared" si="4"/>
        <v>587.01701396590204</v>
      </c>
      <c r="W34" s="18">
        <f t="shared" si="0"/>
        <v>-587.01701396590204</v>
      </c>
      <c r="Y34" s="271">
        <f t="shared" si="5"/>
        <v>-44.674049769094523</v>
      </c>
      <c r="Z34" s="235"/>
      <c r="AB34" s="146">
        <f>+IF(AB33&gt;$G$13+$G$14,XX,AB33+1)</f>
        <v>2009</v>
      </c>
      <c r="AC34" s="117"/>
      <c r="AD34" s="151">
        <f t="shared" si="1"/>
        <v>13140</v>
      </c>
      <c r="AF34" s="154">
        <f t="shared" si="14"/>
        <v>63.966152119270667</v>
      </c>
      <c r="AH34" s="154">
        <f t="shared" si="15"/>
        <v>7.8494968014160538</v>
      </c>
      <c r="AJ34" s="154">
        <f t="shared" si="16"/>
        <v>1.8337166992251321</v>
      </c>
      <c r="AL34" s="153">
        <f t="shared" si="6"/>
        <v>163.70936172792548</v>
      </c>
      <c r="AN34" s="154">
        <f>INDEX('(2.2)_Forward_Price_Curve'!$G:$G,MATCH($AB34,'(2.2)_Forward_Price_Curve'!$C:$C,0),1)</f>
        <v>4.29</v>
      </c>
      <c r="AP34" s="154">
        <f t="shared" si="7"/>
        <v>30.732447994542973</v>
      </c>
      <c r="AR34" s="154">
        <f t="shared" si="17"/>
        <v>3.7433526434775173</v>
      </c>
      <c r="AS34" s="154"/>
      <c r="AT34" s="153">
        <f t="shared" si="2"/>
        <v>134.00499358231289</v>
      </c>
      <c r="AV34" s="153">
        <f t="shared" si="3"/>
        <v>453.01202038358917</v>
      </c>
      <c r="AW34" s="273"/>
      <c r="AX34" s="155">
        <f t="shared" si="8"/>
        <v>587.01701396590204</v>
      </c>
      <c r="AZ34" s="146">
        <f>+IF(AZ33&gt;$G$13+$G$14,XX,AZ33+1)</f>
        <v>2009</v>
      </c>
      <c r="BA34" s="117"/>
      <c r="BB34" s="154">
        <f t="shared" si="18"/>
        <v>54.945572540408705</v>
      </c>
      <c r="BD34" s="154">
        <f t="shared" si="19"/>
        <v>11.946291824365533</v>
      </c>
      <c r="BF34" s="153">
        <f t="shared" si="9"/>
        <v>29.704368145612602</v>
      </c>
      <c r="BH34" s="157"/>
    </row>
    <row r="35" spans="2:60" ht="12">
      <c r="B35" s="2"/>
      <c r="C35">
        <f>+IF(C34&gt;$G$13+$G$14,XX,C34+1)</f>
        <v>2010</v>
      </c>
      <c r="E35" s="169">
        <f t="shared" si="10"/>
        <v>2.5000000000000001E-2</v>
      </c>
      <c r="G35" s="18">
        <f t="shared" si="11"/>
        <v>13140</v>
      </c>
      <c r="I35" s="28">
        <f t="shared" si="20"/>
        <v>185.00367987745662</v>
      </c>
      <c r="K35" s="28">
        <f t="shared" si="12"/>
        <v>0</v>
      </c>
      <c r="M35" s="28">
        <f t="shared" si="13"/>
        <v>0</v>
      </c>
      <c r="O35" s="270"/>
      <c r="Q35" s="28"/>
      <c r="S35" s="18">
        <v>0</v>
      </c>
      <c r="U35" s="18">
        <f t="shared" si="4"/>
        <v>542.64842207026118</v>
      </c>
      <c r="W35" s="18">
        <f t="shared" si="0"/>
        <v>-542.64842207026118</v>
      </c>
      <c r="Y35" s="271">
        <f t="shared" si="5"/>
        <v>-41.297444601998571</v>
      </c>
      <c r="Z35" s="235"/>
      <c r="AB35" s="146">
        <f>+IF(AB34&gt;$G$13+$G$14,XX,AB34+1)</f>
        <v>2010</v>
      </c>
      <c r="AC35" s="117"/>
      <c r="AD35" s="151">
        <f t="shared" si="1"/>
        <v>13140</v>
      </c>
      <c r="AF35" s="154">
        <f t="shared" si="14"/>
        <v>65.565305922252435</v>
      </c>
      <c r="AH35" s="154">
        <f t="shared" si="15"/>
        <v>8.045734221451454</v>
      </c>
      <c r="AJ35" s="154">
        <f t="shared" si="16"/>
        <v>1.8795596167057602</v>
      </c>
      <c r="AL35" s="153">
        <f t="shared" si="6"/>
        <v>167.80209577112359</v>
      </c>
      <c r="AN35" s="154">
        <f>INDEX('(2.2)_Forward_Price_Curve'!$G:$G,MATCH($AB35,'(2.2)_Forward_Price_Curve'!$C:$C,0),1)</f>
        <v>3.77</v>
      </c>
      <c r="AP35" s="154">
        <f t="shared" si="7"/>
        <v>27.007302783083222</v>
      </c>
      <c r="AR35" s="154">
        <f t="shared" si="17"/>
        <v>3.8369364595644551</v>
      </c>
      <c r="AS35" s="154"/>
      <c r="AT35" s="153">
        <f t="shared" si="2"/>
        <v>137.35511842187066</v>
      </c>
      <c r="AV35" s="153">
        <f t="shared" si="3"/>
        <v>405.29330364839052</v>
      </c>
      <c r="AW35" s="273"/>
      <c r="AX35" s="155">
        <f t="shared" si="8"/>
        <v>542.64842207026118</v>
      </c>
      <c r="AZ35" s="146">
        <f>+IF(AZ34&gt;$G$13+$G$14,XX,AZ34+1)</f>
        <v>2010</v>
      </c>
      <c r="BA35" s="117"/>
      <c r="BB35" s="154">
        <f t="shared" si="18"/>
        <v>56.319211853918915</v>
      </c>
      <c r="BD35" s="154">
        <f t="shared" si="19"/>
        <v>12.24494911997467</v>
      </c>
      <c r="BF35" s="153">
        <f t="shared" si="9"/>
        <v>30.446977349252919</v>
      </c>
      <c r="BH35" s="157"/>
    </row>
    <row r="36" spans="2:60" ht="12">
      <c r="B36" s="2"/>
      <c r="C36">
        <f>+IF(C35&gt;$G$13+$G$14,XX,C35+1)</f>
        <v>2011</v>
      </c>
      <c r="E36" s="169">
        <f t="shared" si="10"/>
        <v>2.5000000000000001E-2</v>
      </c>
      <c r="G36" s="18">
        <f t="shared" si="11"/>
        <v>13140</v>
      </c>
      <c r="I36" s="28">
        <f t="shared" si="20"/>
        <v>189.62877187439301</v>
      </c>
      <c r="K36" s="28">
        <f t="shared" si="12"/>
        <v>0</v>
      </c>
      <c r="M36" s="28">
        <f t="shared" si="13"/>
        <v>0</v>
      </c>
      <c r="O36" s="270"/>
      <c r="Q36" s="28"/>
      <c r="S36" s="18">
        <v>0</v>
      </c>
      <c r="U36" s="18">
        <f t="shared" si="4"/>
        <v>560.5211512173928</v>
      </c>
      <c r="W36" s="18">
        <f t="shared" si="0"/>
        <v>-560.5211512173928</v>
      </c>
      <c r="Y36" s="271">
        <f t="shared" si="5"/>
        <v>-42.657621858249065</v>
      </c>
      <c r="Z36" s="235"/>
      <c r="AB36" s="146">
        <f>+IF(AB35&gt;$G$13+$G$14,XX,AB35+1)</f>
        <v>2011</v>
      </c>
      <c r="AC36" s="117"/>
      <c r="AD36" s="151">
        <f t="shared" si="1"/>
        <v>13140</v>
      </c>
      <c r="AF36" s="154">
        <f t="shared" si="14"/>
        <v>67.204438570308739</v>
      </c>
      <c r="AH36" s="154">
        <f t="shared" si="15"/>
        <v>8.2468775769877389</v>
      </c>
      <c r="AJ36" s="154">
        <f t="shared" si="16"/>
        <v>1.9265486071234041</v>
      </c>
      <c r="AL36" s="153">
        <f t="shared" si="6"/>
        <v>171.99714816540168</v>
      </c>
      <c r="AN36" s="154">
        <f>INDEX('(2.2)_Forward_Price_Curve'!$G:$G,MATCH($AB36,'(2.2)_Forward_Price_Curve'!$C:$C,0),1)</f>
        <v>3.91</v>
      </c>
      <c r="AP36" s="154">
        <f t="shared" si="7"/>
        <v>28.010226493860845</v>
      </c>
      <c r="AR36" s="154">
        <f t="shared" si="17"/>
        <v>3.9328598710535663</v>
      </c>
      <c r="AS36" s="154"/>
      <c r="AT36" s="153">
        <f t="shared" si="2"/>
        <v>140.78899638241745</v>
      </c>
      <c r="AV36" s="153">
        <f t="shared" si="3"/>
        <v>419.73215483497535</v>
      </c>
      <c r="AW36" s="273"/>
      <c r="AX36" s="155">
        <f t="shared" si="8"/>
        <v>560.5211512173928</v>
      </c>
      <c r="AZ36" s="146">
        <f>+IF(AZ35&gt;$G$13+$G$14,XX,AZ35+1)</f>
        <v>2011</v>
      </c>
      <c r="BA36" s="117"/>
      <c r="BB36" s="154">
        <f t="shared" si="18"/>
        <v>57.72719215026688</v>
      </c>
      <c r="BD36" s="154">
        <f t="shared" si="19"/>
        <v>12.551072847974035</v>
      </c>
      <c r="BF36" s="153">
        <f t="shared" si="9"/>
        <v>31.208151782984235</v>
      </c>
      <c r="BH36" s="157"/>
    </row>
    <row r="37" spans="2:60" ht="12">
      <c r="B37" s="2"/>
      <c r="C37">
        <f>+IF(C36&gt;$G$13+$G$14,XX,C36+1)</f>
        <v>2012</v>
      </c>
      <c r="E37" s="169">
        <f t="shared" si="10"/>
        <v>2.5000000000000001E-2</v>
      </c>
      <c r="G37" s="18">
        <f t="shared" si="11"/>
        <v>13140</v>
      </c>
      <c r="I37" s="28">
        <f t="shared" si="20"/>
        <v>194.36949117125283</v>
      </c>
      <c r="K37" s="28">
        <f t="shared" si="12"/>
        <v>0</v>
      </c>
      <c r="M37" s="28">
        <f t="shared" si="13"/>
        <v>0</v>
      </c>
      <c r="O37" s="270"/>
      <c r="Q37" s="28"/>
      <c r="S37" s="18">
        <v>0</v>
      </c>
      <c r="U37" s="18">
        <f t="shared" si="4"/>
        <v>611.45728205325747</v>
      </c>
      <c r="W37" s="18">
        <f t="shared" si="0"/>
        <v>-611.45728205325747</v>
      </c>
      <c r="Y37" s="271">
        <f t="shared" si="5"/>
        <v>-46.53403973008048</v>
      </c>
      <c r="Z37" s="235"/>
      <c r="AB37" s="146">
        <f>+IF(AB36&gt;$G$13+$G$14,XX,AB36+1)</f>
        <v>2012</v>
      </c>
      <c r="AC37" s="117"/>
      <c r="AD37" s="151">
        <f t="shared" si="1"/>
        <v>13140</v>
      </c>
      <c r="AF37" s="154">
        <f t="shared" si="14"/>
        <v>68.884549534566446</v>
      </c>
      <c r="AH37" s="154">
        <f t="shared" si="15"/>
        <v>8.4530495164124311</v>
      </c>
      <c r="AJ37" s="154">
        <f t="shared" si="16"/>
        <v>1.9747123223014891</v>
      </c>
      <c r="AL37" s="153">
        <f t="shared" si="6"/>
        <v>176.29707686953668</v>
      </c>
      <c r="AN37" s="154">
        <f>INDEX('(2.2)_Forward_Price_Curve'!$G:$G,MATCH($AB37,'(2.2)_Forward_Price_Curve'!$C:$C,0),1)</f>
        <v>4.4000000000000004</v>
      </c>
      <c r="AP37" s="154">
        <f t="shared" si="7"/>
        <v>31.520459481582542</v>
      </c>
      <c r="AR37" s="154">
        <f t="shared" si="17"/>
        <v>4.0311813678299053</v>
      </c>
      <c r="AS37" s="154"/>
      <c r="AT37" s="153">
        <f t="shared" si="2"/>
        <v>144.30872129197783</v>
      </c>
      <c r="AV37" s="153">
        <f t="shared" si="3"/>
        <v>467.14856076127961</v>
      </c>
      <c r="AW37" s="273"/>
      <c r="AX37" s="155">
        <f t="shared" si="8"/>
        <v>611.45728205325747</v>
      </c>
      <c r="AZ37" s="146">
        <f>+IF(AZ36&gt;$G$13+$G$14,XX,AZ36+1)</f>
        <v>2012</v>
      </c>
      <c r="BA37" s="117"/>
      <c r="BB37" s="154">
        <f t="shared" si="18"/>
        <v>59.170371954023544</v>
      </c>
      <c r="BD37" s="154">
        <f t="shared" si="19"/>
        <v>12.864849669173385</v>
      </c>
      <c r="BF37" s="153">
        <f t="shared" si="9"/>
        <v>31.988355577558838</v>
      </c>
      <c r="BH37" s="157"/>
    </row>
    <row r="38" spans="2:60" ht="12">
      <c r="B38" s="2"/>
      <c r="C38">
        <f>+IF(C37&gt;$G$13+$G$14,XX,C37+1)</f>
        <v>2013</v>
      </c>
      <c r="E38" s="169">
        <f t="shared" si="10"/>
        <v>2.5000000000000001E-2</v>
      </c>
      <c r="G38" s="18">
        <f t="shared" si="11"/>
        <v>13140</v>
      </c>
      <c r="I38" s="28">
        <f t="shared" si="20"/>
        <v>199.22872845053413</v>
      </c>
      <c r="K38" s="28">
        <f t="shared" si="12"/>
        <v>0</v>
      </c>
      <c r="M38" s="28">
        <f t="shared" si="13"/>
        <v>0</v>
      </c>
      <c r="O38" s="270"/>
      <c r="Q38" s="28"/>
      <c r="S38" s="18">
        <v>0</v>
      </c>
      <c r="U38" s="18">
        <f t="shared" si="4"/>
        <v>638.98081612423414</v>
      </c>
      <c r="W38" s="18">
        <f t="shared" si="0"/>
        <v>-638.98081612423414</v>
      </c>
      <c r="Y38" s="271">
        <f t="shared" si="5"/>
        <v>-48.628677026197423</v>
      </c>
      <c r="Z38" s="235"/>
      <c r="AB38" s="146">
        <f>+IF(AB37&gt;$G$13+$G$14,XX,AB37+1)</f>
        <v>2013</v>
      </c>
      <c r="AC38" s="117"/>
      <c r="AD38" s="151">
        <f t="shared" si="1"/>
        <v>13140</v>
      </c>
      <c r="AF38" s="154">
        <f t="shared" si="14"/>
        <v>70.606663272930604</v>
      </c>
      <c r="AH38" s="154">
        <f t="shared" si="15"/>
        <v>8.6643757543227409</v>
      </c>
      <c r="AJ38" s="154">
        <f t="shared" si="16"/>
        <v>2.0240801303590263</v>
      </c>
      <c r="AL38" s="153">
        <f t="shared" si="6"/>
        <v>180.7045037912751</v>
      </c>
      <c r="AN38" s="154">
        <f>INDEX('(2.2)_Forward_Price_Curve'!$G:$G,MATCH($AB38,'(2.2)_Forward_Price_Curve'!$C:$C,0),1)</f>
        <v>4.6399999999999997</v>
      </c>
      <c r="AP38" s="154">
        <f t="shared" si="7"/>
        <v>33.239757271487044</v>
      </c>
      <c r="AR38" s="154">
        <f t="shared" si="17"/>
        <v>4.1319609020256527</v>
      </c>
      <c r="AS38" s="154"/>
      <c r="AT38" s="153">
        <f t="shared" si="2"/>
        <v>147.91643932427729</v>
      </c>
      <c r="AV38" s="153">
        <f t="shared" si="3"/>
        <v>491.06437679995685</v>
      </c>
      <c r="AW38" s="273"/>
      <c r="AX38" s="155">
        <f t="shared" si="8"/>
        <v>638.98081612423414</v>
      </c>
      <c r="AZ38" s="146">
        <f>+IF(AZ37&gt;$G$13+$G$14,XX,AZ37+1)</f>
        <v>2013</v>
      </c>
      <c r="BA38" s="117"/>
      <c r="BB38" s="154">
        <f t="shared" si="18"/>
        <v>60.64963125287413</v>
      </c>
      <c r="BD38" s="154">
        <f t="shared" si="19"/>
        <v>13.186470910902719</v>
      </c>
      <c r="BF38" s="153">
        <f t="shared" si="9"/>
        <v>32.788064466997803</v>
      </c>
      <c r="BH38" s="157"/>
    </row>
    <row r="39" spans="2:60" ht="12">
      <c r="B39" s="2"/>
      <c r="C39">
        <f>+IF(C38&gt;$G$13+$G$14,XX,C38+1)</f>
        <v>2014</v>
      </c>
      <c r="E39" s="169">
        <f t="shared" si="10"/>
        <v>2.5000000000000001E-2</v>
      </c>
      <c r="G39" s="18">
        <f t="shared" si="11"/>
        <v>13140</v>
      </c>
      <c r="I39" s="28">
        <f t="shared" si="20"/>
        <v>204.20944666179747</v>
      </c>
      <c r="K39" s="28">
        <f t="shared" si="12"/>
        <v>0</v>
      </c>
      <c r="M39" s="28">
        <f t="shared" si="13"/>
        <v>0</v>
      </c>
      <c r="O39" s="270"/>
      <c r="Q39" s="28"/>
      <c r="S39" s="18">
        <v>0</v>
      </c>
      <c r="U39" s="18">
        <f t="shared" si="4"/>
        <v>626.15108100417501</v>
      </c>
      <c r="W39" s="18">
        <f t="shared" si="0"/>
        <v>-626.15108100417501</v>
      </c>
      <c r="Y39" s="271">
        <f t="shared" si="5"/>
        <v>-47.652289269724129</v>
      </c>
      <c r="Z39" s="235"/>
      <c r="AB39" s="146">
        <f>+IF(AB38&gt;$G$13+$G$14,XX,AB38+1)</f>
        <v>2014</v>
      </c>
      <c r="AC39" s="117"/>
      <c r="AD39" s="151">
        <f t="shared" si="1"/>
        <v>13140</v>
      </c>
      <c r="AF39" s="154">
        <f t="shared" si="14"/>
        <v>72.371829854753869</v>
      </c>
      <c r="AH39" s="154">
        <f t="shared" si="15"/>
        <v>8.8809851481808089</v>
      </c>
      <c r="AJ39" s="154">
        <f t="shared" si="16"/>
        <v>2.0746821336180017</v>
      </c>
      <c r="AL39" s="153">
        <f t="shared" si="6"/>
        <v>185.222116386057</v>
      </c>
      <c r="AN39" s="154">
        <f>INDEX('(2.2)_Forward_Price_Curve'!$G:$G,MATCH($AB39,'(2.2)_Forward_Price_Curve'!$C:$C,0),1)</f>
        <v>4.45</v>
      </c>
      <c r="AP39" s="154">
        <f t="shared" si="7"/>
        <v>31.878646521145978</v>
      </c>
      <c r="AR39" s="154">
        <f t="shared" si="17"/>
        <v>4.2352599245762939</v>
      </c>
      <c r="AS39" s="154"/>
      <c r="AT39" s="153">
        <f t="shared" si="2"/>
        <v>151.61435030738426</v>
      </c>
      <c r="AV39" s="153">
        <f t="shared" si="3"/>
        <v>474.5367306967907</v>
      </c>
      <c r="AW39" s="273"/>
      <c r="AX39" s="155">
        <f t="shared" si="8"/>
        <v>626.15108100417501</v>
      </c>
      <c r="AZ39" s="146">
        <f>+IF(AZ38&gt;$G$13+$G$14,XX,AZ38+1)</f>
        <v>2014</v>
      </c>
      <c r="BA39" s="117"/>
      <c r="BB39" s="154">
        <f t="shared" si="18"/>
        <v>62.165872034195978</v>
      </c>
      <c r="BD39" s="154">
        <f t="shared" si="19"/>
        <v>13.516132683675286</v>
      </c>
      <c r="BF39" s="153">
        <f t="shared" si="9"/>
        <v>33.607766078672746</v>
      </c>
      <c r="BH39" s="157"/>
    </row>
    <row r="40" spans="2:60" ht="12">
      <c r="B40" s="2"/>
      <c r="C40">
        <f>+IF(C39&gt;$G$13+$G$14,XX,C39+1)</f>
        <v>2015</v>
      </c>
      <c r="E40" s="169">
        <f t="shared" si="10"/>
        <v>2.5000000000000001E-2</v>
      </c>
      <c r="G40" s="18">
        <f t="shared" si="11"/>
        <v>13140</v>
      </c>
      <c r="I40" s="28">
        <f t="shared" si="20"/>
        <v>209.3146828283424</v>
      </c>
      <c r="K40" s="28">
        <f t="shared" si="12"/>
        <v>0</v>
      </c>
      <c r="M40" s="28">
        <f t="shared" si="13"/>
        <v>0</v>
      </c>
      <c r="O40" s="270"/>
      <c r="Q40" s="28"/>
      <c r="S40" s="18">
        <v>0</v>
      </c>
      <c r="U40" s="18">
        <f t="shared" si="4"/>
        <v>671.80929086590936</v>
      </c>
      <c r="W40" s="18">
        <f t="shared" si="0"/>
        <v>-671.80929086590936</v>
      </c>
      <c r="Y40" s="271">
        <f t="shared" si="5"/>
        <v>-51.127038878684118</v>
      </c>
      <c r="Z40" s="235"/>
      <c r="AB40" s="146">
        <f>+IF(AB39&gt;$G$13+$G$14,XX,AB39+1)</f>
        <v>2015</v>
      </c>
      <c r="AC40" s="117"/>
      <c r="AD40" s="151">
        <f t="shared" si="1"/>
        <v>13140</v>
      </c>
      <c r="AF40" s="154">
        <f t="shared" si="14"/>
        <v>74.181125601122716</v>
      </c>
      <c r="AH40" s="154">
        <f t="shared" si="15"/>
        <v>9.1030097768853278</v>
      </c>
      <c r="AJ40" s="154">
        <f t="shared" si="16"/>
        <v>2.1265491869584516</v>
      </c>
      <c r="AL40" s="153">
        <f t="shared" si="6"/>
        <v>189.85266929570838</v>
      </c>
      <c r="AN40" s="154">
        <f>INDEX('(2.2)_Forward_Price_Curve'!$G:$G,MATCH($AB40,'(2.2)_Forward_Price_Curve'!$C:$C,0),1)</f>
        <v>4.88</v>
      </c>
      <c r="AP40" s="154">
        <f t="shared" si="7"/>
        <v>34.959055061391538</v>
      </c>
      <c r="AR40" s="154">
        <f t="shared" si="17"/>
        <v>4.3411414226907006</v>
      </c>
      <c r="AS40" s="154"/>
      <c r="AT40" s="153">
        <f t="shared" si="2"/>
        <v>155.40470906506883</v>
      </c>
      <c r="AV40" s="153">
        <f t="shared" si="3"/>
        <v>516.40458180084056</v>
      </c>
      <c r="AW40" s="273"/>
      <c r="AX40" s="155">
        <f t="shared" si="8"/>
        <v>671.80929086590936</v>
      </c>
      <c r="AZ40" s="146">
        <f>+IF(AZ39&gt;$G$13+$G$14,XX,AZ39+1)</f>
        <v>2015</v>
      </c>
      <c r="BA40" s="117"/>
      <c r="BB40" s="154">
        <f t="shared" si="18"/>
        <v>63.720018835050872</v>
      </c>
      <c r="BD40" s="154">
        <f t="shared" si="19"/>
        <v>13.854036000767167</v>
      </c>
      <c r="BF40" s="153">
        <f t="shared" si="9"/>
        <v>34.447960230639559</v>
      </c>
      <c r="BH40" s="157"/>
    </row>
    <row r="41" spans="2:60" ht="12">
      <c r="B41" s="2"/>
      <c r="C41">
        <f>+IF(C40&gt;$G$13+$G$14,XX,C40+1)</f>
        <v>2016</v>
      </c>
      <c r="E41" s="169">
        <f t="shared" si="10"/>
        <v>2.5000000000000001E-2</v>
      </c>
      <c r="G41" s="18">
        <f t="shared" si="11"/>
        <v>13140</v>
      </c>
      <c r="I41" s="28">
        <f t="shared" si="20"/>
        <v>214.54754989905095</v>
      </c>
      <c r="K41" s="28">
        <f t="shared" si="12"/>
        <v>0</v>
      </c>
      <c r="M41" s="28">
        <f t="shared" si="13"/>
        <v>0</v>
      </c>
      <c r="O41" s="270"/>
      <c r="Q41" s="28"/>
      <c r="S41" s="18">
        <v>0</v>
      </c>
      <c r="U41" s="18">
        <f t="shared" si="4"/>
        <v>697.82941542928984</v>
      </c>
      <c r="W41" s="18">
        <f t="shared" si="0"/>
        <v>-697.82941542928984</v>
      </c>
      <c r="Y41" s="271">
        <f t="shared" si="5"/>
        <v>-53.107261448195572</v>
      </c>
      <c r="Z41" s="235"/>
      <c r="AB41" s="146">
        <f>+IF(AB40&gt;$G$13+$G$14,XX,AB40+1)</f>
        <v>2016</v>
      </c>
      <c r="AC41" s="117"/>
      <c r="AD41" s="151">
        <f t="shared" si="1"/>
        <v>13140</v>
      </c>
      <c r="AF41" s="154">
        <f t="shared" si="14"/>
        <v>76.035653741150782</v>
      </c>
      <c r="AH41" s="154">
        <f t="shared" si="15"/>
        <v>9.3305850213074599</v>
      </c>
      <c r="AJ41" s="154">
        <f t="shared" si="16"/>
        <v>2.1797129166324125</v>
      </c>
      <c r="AL41" s="153">
        <f t="shared" si="6"/>
        <v>194.59898602810108</v>
      </c>
      <c r="AN41" s="154">
        <f>INDEX('(2.2)_Forward_Price_Curve'!$G:$G,MATCH($AB41,'(2.2)_Forward_Price_Curve'!$C:$C,0),1)</f>
        <v>5.0999999999999996</v>
      </c>
      <c r="AP41" s="154">
        <f t="shared" si="7"/>
        <v>36.535078035470669</v>
      </c>
      <c r="AR41" s="154">
        <f t="shared" si="17"/>
        <v>4.4496699582579673</v>
      </c>
      <c r="AS41" s="154"/>
      <c r="AT41" s="153">
        <f t="shared" si="2"/>
        <v>159.28982679169553</v>
      </c>
      <c r="AV41" s="153">
        <f t="shared" si="3"/>
        <v>538.53958863759431</v>
      </c>
      <c r="AW41" s="273"/>
      <c r="AX41" s="155">
        <f t="shared" si="8"/>
        <v>697.82941542928984</v>
      </c>
      <c r="AZ41" s="146">
        <f>+IF(AZ40&gt;$G$13+$G$14,XX,AZ40+1)</f>
        <v>2016</v>
      </c>
      <c r="BA41" s="117"/>
      <c r="BB41" s="154">
        <f t="shared" si="18"/>
        <v>65.313019305927142</v>
      </c>
      <c r="BD41" s="154">
        <f t="shared" si="19"/>
        <v>14.200386900786345</v>
      </c>
      <c r="BF41" s="153">
        <f t="shared" si="9"/>
        <v>35.309159236405549</v>
      </c>
      <c r="BH41" s="157"/>
    </row>
    <row r="42" spans="2:60" ht="12">
      <c r="B42" s="2"/>
      <c r="C42">
        <f>+IF(C41&gt;$G$13+$G$14,XX,C41+1)</f>
        <v>2017</v>
      </c>
      <c r="E42" s="169">
        <f t="shared" si="10"/>
        <v>2.5000000000000001E-2</v>
      </c>
      <c r="G42" s="18">
        <f t="shared" si="11"/>
        <v>13140</v>
      </c>
      <c r="I42" s="28">
        <f t="shared" si="20"/>
        <v>219.91123864652721</v>
      </c>
      <c r="K42" s="28">
        <f t="shared" si="12"/>
        <v>0</v>
      </c>
      <c r="M42" s="28">
        <f t="shared" si="13"/>
        <v>0</v>
      </c>
      <c r="O42" s="270"/>
      <c r="Q42" s="28"/>
      <c r="S42" s="18">
        <v>0</v>
      </c>
      <c r="U42" s="18">
        <f t="shared" si="4"/>
        <v>714.56916416004253</v>
      </c>
      <c r="W42" s="18">
        <f t="shared" si="0"/>
        <v>-714.56916416004253</v>
      </c>
      <c r="Y42" s="271">
        <f t="shared" si="5"/>
        <v>-54.381214928465944</v>
      </c>
      <c r="Z42" s="235"/>
      <c r="AB42" s="146">
        <f>+IF(AB41&gt;$G$13+$G$14,XX,AB41+1)</f>
        <v>2017</v>
      </c>
      <c r="AC42" s="117"/>
      <c r="AD42" s="151">
        <f t="shared" si="1"/>
        <v>13140</v>
      </c>
      <c r="AF42" s="154">
        <f t="shared" si="14"/>
        <v>77.936545084679551</v>
      </c>
      <c r="AH42" s="154">
        <f t="shared" si="15"/>
        <v>9.5638496468401453</v>
      </c>
      <c r="AJ42" s="154">
        <f t="shared" si="16"/>
        <v>2.2342057395482224</v>
      </c>
      <c r="AL42" s="153">
        <f t="shared" si="6"/>
        <v>199.46396067880363</v>
      </c>
      <c r="AN42" s="154">
        <f>INDEX('(2.2)_Forward_Price_Curve'!$G:$G,MATCH($AB42,'(2.2)_Forward_Price_Curve'!$C:$C,0),1)</f>
        <v>5.22</v>
      </c>
      <c r="AP42" s="154">
        <f t="shared" si="7"/>
        <v>37.39472693042292</v>
      </c>
      <c r="AR42" s="154">
        <f t="shared" si="17"/>
        <v>4.5609117072144159</v>
      </c>
      <c r="AS42" s="154"/>
      <c r="AT42" s="153">
        <f t="shared" si="2"/>
        <v>163.27207246148794</v>
      </c>
      <c r="AV42" s="153">
        <f t="shared" si="3"/>
        <v>551.2970916985546</v>
      </c>
      <c r="AW42" s="273"/>
      <c r="AX42" s="155">
        <f t="shared" si="8"/>
        <v>714.56916416004253</v>
      </c>
      <c r="AZ42" s="146">
        <f>+IF(AZ41&gt;$G$13+$G$14,XX,AZ41+1)</f>
        <v>2017</v>
      </c>
      <c r="BA42" s="117"/>
      <c r="BB42" s="154">
        <f t="shared" si="18"/>
        <v>66.945844788575315</v>
      </c>
      <c r="BD42" s="154">
        <f t="shared" si="19"/>
        <v>14.555396573306002</v>
      </c>
      <c r="BF42" s="153">
        <f t="shared" si="9"/>
        <v>36.191888217315686</v>
      </c>
      <c r="BH42" s="157"/>
    </row>
    <row r="43" spans="2:60" ht="12">
      <c r="B43" s="2"/>
      <c r="C43">
        <f>+IF(C42&gt;$G$13+$G$14,XX,C42+1)</f>
        <v>2018</v>
      </c>
      <c r="E43" s="169">
        <f t="shared" si="10"/>
        <v>2.5000000000000001E-2</v>
      </c>
      <c r="G43" s="18">
        <f t="shared" si="11"/>
        <v>13140</v>
      </c>
      <c r="I43" s="28">
        <f t="shared" si="20"/>
        <v>225.40901961269037</v>
      </c>
      <c r="K43" s="28">
        <f t="shared" si="12"/>
        <v>0</v>
      </c>
      <c r="M43" s="28">
        <f t="shared" si="13"/>
        <v>0</v>
      </c>
      <c r="O43" s="270"/>
      <c r="Q43" s="28"/>
      <c r="S43" s="18">
        <v>0</v>
      </c>
      <c r="U43" s="18">
        <f t="shared" si="4"/>
        <v>731.44501194707209</v>
      </c>
      <c r="W43" s="18">
        <f t="shared" si="0"/>
        <v>-731.44501194707209</v>
      </c>
      <c r="Y43" s="271">
        <f t="shared" si="5"/>
        <v>-55.66552602336926</v>
      </c>
      <c r="Z43" s="235"/>
      <c r="AB43" s="146">
        <f>+IF(AB42&gt;$G$13+$G$14,XX,AB42+1)</f>
        <v>2018</v>
      </c>
      <c r="AC43" s="117"/>
      <c r="AD43" s="151">
        <f t="shared" si="1"/>
        <v>13140</v>
      </c>
      <c r="AF43" s="154">
        <f t="shared" si="14"/>
        <v>79.884958711796529</v>
      </c>
      <c r="AH43" s="154">
        <f t="shared" si="15"/>
        <v>9.8029458880111484</v>
      </c>
      <c r="AJ43" s="154">
        <f t="shared" si="16"/>
        <v>2.290060883036928</v>
      </c>
      <c r="AL43" s="153">
        <f t="shared" si="6"/>
        <v>204.45055969577368</v>
      </c>
      <c r="AN43" s="154">
        <f>INDEX('(2.2)_Forward_Price_Curve'!$G:$G,MATCH($AB43,'(2.2)_Forward_Price_Curve'!$C:$C,0),1)</f>
        <v>5.34</v>
      </c>
      <c r="AP43" s="154">
        <f t="shared" si="7"/>
        <v>38.25437582537517</v>
      </c>
      <c r="AR43" s="154">
        <f t="shared" si="17"/>
        <v>4.6749344998947757</v>
      </c>
      <c r="AS43" s="154"/>
      <c r="AT43" s="153">
        <f t="shared" si="2"/>
        <v>167.3538742730251</v>
      </c>
      <c r="AV43" s="153">
        <f t="shared" si="3"/>
        <v>564.09113767404699</v>
      </c>
      <c r="AW43" s="273"/>
      <c r="AX43" s="155">
        <f t="shared" si="8"/>
        <v>731.44501194707209</v>
      </c>
      <c r="AZ43" s="146">
        <f>+IF(AZ42&gt;$G$13+$G$14,XX,AZ42+1)</f>
        <v>2018</v>
      </c>
      <c r="BA43" s="117"/>
      <c r="BB43" s="154">
        <f t="shared" si="18"/>
        <v>68.619490908289691</v>
      </c>
      <c r="BD43" s="154">
        <f t="shared" si="19"/>
        <v>14.919281487638651</v>
      </c>
      <c r="BF43" s="153">
        <f t="shared" si="9"/>
        <v>37.096685422748578</v>
      </c>
      <c r="BH43" s="157"/>
    </row>
    <row r="44" spans="2:60" ht="12">
      <c r="B44" s="2"/>
      <c r="C44">
        <f>+IF(C43&gt;$G$13+$G$14,XX,C43+1)</f>
        <v>2019</v>
      </c>
      <c r="E44" s="169">
        <f t="shared" si="10"/>
        <v>2.5000000000000001E-2</v>
      </c>
      <c r="G44" s="18">
        <f t="shared" si="11"/>
        <v>13140</v>
      </c>
      <c r="I44" s="28">
        <f t="shared" si="20"/>
        <v>231.0442451030076</v>
      </c>
      <c r="K44" s="28">
        <f t="shared" si="12"/>
        <v>0</v>
      </c>
      <c r="M44" s="28">
        <f t="shared" si="13"/>
        <v>0</v>
      </c>
      <c r="O44" s="270"/>
      <c r="Q44" s="28"/>
      <c r="S44" s="18">
        <v>0</v>
      </c>
      <c r="U44" s="18">
        <f t="shared" si="4"/>
        <v>748.46036126678587</v>
      </c>
      <c r="W44" s="18">
        <f t="shared" si="0"/>
        <v>-748.46036126678587</v>
      </c>
      <c r="Y44" s="271">
        <f t="shared" si="5"/>
        <v>-56.960453673271374</v>
      </c>
      <c r="Z44" s="235"/>
      <c r="AB44" s="146">
        <f>+IF(AB43&gt;$G$13+$G$14,XX,AB43+1)</f>
        <v>2019</v>
      </c>
      <c r="AC44" s="117"/>
      <c r="AD44" s="151">
        <f t="shared" si="1"/>
        <v>13140</v>
      </c>
      <c r="AF44" s="154">
        <f t="shared" si="14"/>
        <v>81.882082679591434</v>
      </c>
      <c r="AH44" s="154">
        <f t="shared" si="15"/>
        <v>10.048019535211425</v>
      </c>
      <c r="AJ44" s="154">
        <f t="shared" si="16"/>
        <v>2.3473124051128509</v>
      </c>
      <c r="AL44" s="153">
        <f t="shared" si="6"/>
        <v>209.561823688168</v>
      </c>
      <c r="AN44" s="154">
        <f>INDEX('(2.2)_Forward_Price_Curve'!$G:$G,MATCH($AB44,'(2.2)_Forward_Price_Curve'!$C:$C,0),1)</f>
        <v>5.46</v>
      </c>
      <c r="AP44" s="154">
        <f t="shared" si="7"/>
        <v>39.114024720327421</v>
      </c>
      <c r="AR44" s="154">
        <f t="shared" si="17"/>
        <v>4.7918078623921447</v>
      </c>
      <c r="AS44" s="154"/>
      <c r="AT44" s="153">
        <f t="shared" si="2"/>
        <v>171.53772112985072</v>
      </c>
      <c r="AV44" s="153">
        <f t="shared" si="3"/>
        <v>576.92264013693512</v>
      </c>
      <c r="AW44" s="273"/>
      <c r="AX44" s="155">
        <f t="shared" si="8"/>
        <v>748.46036126678587</v>
      </c>
      <c r="AZ44" s="146">
        <f>+IF(AZ43&gt;$G$13+$G$14,XX,AZ43+1)</f>
        <v>2019</v>
      </c>
      <c r="BA44" s="117"/>
      <c r="BB44" s="154">
        <f t="shared" si="18"/>
        <v>70.334978180996927</v>
      </c>
      <c r="BD44" s="154">
        <f t="shared" si="19"/>
        <v>15.292263524829616</v>
      </c>
      <c r="BF44" s="153">
        <f t="shared" si="9"/>
        <v>38.024102558317288</v>
      </c>
      <c r="BH44" s="157"/>
    </row>
    <row r="45" spans="2:60" ht="12">
      <c r="B45" s="2"/>
      <c r="C45">
        <f>+IF(C44&gt;$G$13+$G$14,XX,C44+1)</f>
        <v>2020</v>
      </c>
      <c r="E45" s="169">
        <f t="shared" si="10"/>
        <v>2.5000000000000001E-2</v>
      </c>
      <c r="G45" s="18">
        <f t="shared" si="11"/>
        <v>13140</v>
      </c>
      <c r="I45" s="28">
        <f t="shared" si="20"/>
        <v>236.82035123058276</v>
      </c>
      <c r="K45" s="28">
        <f t="shared" si="12"/>
        <v>0</v>
      </c>
      <c r="M45" s="28">
        <f t="shared" si="13"/>
        <v>0</v>
      </c>
      <c r="O45" s="270"/>
      <c r="Q45" s="28"/>
      <c r="S45" s="18">
        <v>0</v>
      </c>
      <c r="U45" s="18">
        <f t="shared" si="4"/>
        <v>766.56001519747304</v>
      </c>
      <c r="W45" s="18">
        <f t="shared" si="0"/>
        <v>-766.56001519747304</v>
      </c>
      <c r="Y45" s="271">
        <f t="shared" si="5"/>
        <v>-58.337900699959896</v>
      </c>
      <c r="Z45" s="235"/>
      <c r="AB45" s="146">
        <f>+IF(AB44&gt;$G$13+$G$14,XX,AB44+1)</f>
        <v>2020</v>
      </c>
      <c r="AC45" s="117"/>
      <c r="AD45" s="151">
        <f t="shared" si="1"/>
        <v>13140</v>
      </c>
      <c r="AF45" s="154">
        <f t="shared" si="14"/>
        <v>83.929134746581212</v>
      </c>
      <c r="AH45" s="154">
        <f t="shared" si="15"/>
        <v>10.29922002359171</v>
      </c>
      <c r="AJ45" s="154">
        <f t="shared" si="16"/>
        <v>2.4059952152406718</v>
      </c>
      <c r="AL45" s="153">
        <f t="shared" si="6"/>
        <v>214.80086928037215</v>
      </c>
      <c r="AN45" s="154">
        <f>INDEX('(2.2)_Forward_Price_Curve'!$G:$G,MATCH($AB45,'(2.2)_Forward_Price_Curve'!$C:$C,0),1)</f>
        <v>5.59</v>
      </c>
      <c r="AP45" s="154">
        <f t="shared" si="7"/>
        <v>40.045311023192355</v>
      </c>
      <c r="AR45" s="154">
        <f t="shared" si="17"/>
        <v>4.9116030589519477</v>
      </c>
      <c r="AS45" s="154"/>
      <c r="AT45" s="153">
        <f t="shared" si="2"/>
        <v>175.82616415809696</v>
      </c>
      <c r="AV45" s="153">
        <f t="shared" si="3"/>
        <v>590.73385103937608</v>
      </c>
      <c r="AW45" s="273"/>
      <c r="AX45" s="155">
        <f t="shared" si="8"/>
        <v>766.56001519747304</v>
      </c>
      <c r="AZ45" s="146">
        <f>+IF(AZ44&gt;$G$13+$G$14,XX,AZ44+1)</f>
        <v>2020</v>
      </c>
      <c r="BA45" s="117"/>
      <c r="BB45" s="154">
        <f t="shared" si="18"/>
        <v>72.093352635521839</v>
      </c>
      <c r="BD45" s="154">
        <f t="shared" si="19"/>
        <v>15.674570112950356</v>
      </c>
      <c r="BF45" s="153">
        <f t="shared" si="9"/>
        <v>38.974705122275211</v>
      </c>
      <c r="BH45" s="157"/>
    </row>
    <row r="46" spans="2:60" ht="12">
      <c r="B46" s="2"/>
      <c r="C46">
        <f>+IF(C45&gt;$G$13+$G$14,XX,C45+1)</f>
        <v>2021</v>
      </c>
      <c r="E46" s="169">
        <f t="shared" si="10"/>
        <v>2.5000000000000001E-2</v>
      </c>
      <c r="G46" s="18">
        <f t="shared" si="11"/>
        <v>13140</v>
      </c>
      <c r="I46" s="28">
        <f t="shared" si="20"/>
        <v>242.74086001134731</v>
      </c>
      <c r="K46" s="28">
        <f t="shared" si="12"/>
        <v>0</v>
      </c>
      <c r="M46" s="28">
        <f t="shared" si="13"/>
        <v>0</v>
      </c>
      <c r="O46" s="270"/>
      <c r="Q46" s="28"/>
      <c r="S46" s="18">
        <v>0</v>
      </c>
      <c r="U46" s="18">
        <f t="shared" si="4"/>
        <v>781.04097076604558</v>
      </c>
      <c r="W46" s="18">
        <f t="shared" si="0"/>
        <v>-781.04097076604558</v>
      </c>
      <c r="Y46" s="271">
        <f t="shared" si="5"/>
        <v>-59.439952113093277</v>
      </c>
      <c r="Z46" s="235"/>
      <c r="AB46" s="146">
        <f>+IF(AB45&gt;$G$13+$G$14,XX,AB45+1)</f>
        <v>2021</v>
      </c>
      <c r="AC46" s="117"/>
      <c r="AD46" s="151">
        <f t="shared" si="1"/>
        <v>13140</v>
      </c>
      <c r="AF46" s="154">
        <f t="shared" si="14"/>
        <v>86.027363115245734</v>
      </c>
      <c r="AH46" s="154">
        <f t="shared" si="15"/>
        <v>10.556700524181501</v>
      </c>
      <c r="AJ46" s="154">
        <f t="shared" si="16"/>
        <v>2.4661450956216884</v>
      </c>
      <c r="AL46" s="153">
        <f t="shared" si="6"/>
        <v>220.17089101238142</v>
      </c>
      <c r="AN46" s="154">
        <f>INDEX('(2.2)_Forward_Price_Curve'!$G:$G,MATCH($AB46,'(2.2)_Forward_Price_Curve'!$C:$C,0),1)</f>
        <v>5.68</v>
      </c>
      <c r="AP46" s="154">
        <f t="shared" si="7"/>
        <v>40.690047694406545</v>
      </c>
      <c r="AR46" s="154">
        <f t="shared" si="17"/>
        <v>5.0343931354257458</v>
      </c>
      <c r="AS46" s="154"/>
      <c r="AT46" s="153">
        <f t="shared" si="2"/>
        <v>180.22181826204934</v>
      </c>
      <c r="AV46" s="153">
        <f t="shared" si="3"/>
        <v>600.81915250399629</v>
      </c>
      <c r="AW46" s="273"/>
      <c r="AX46" s="155">
        <f t="shared" si="8"/>
        <v>781.04097076604558</v>
      </c>
      <c r="AZ46" s="146">
        <f>+IF(AZ45&gt;$G$13+$G$14,XX,AZ45+1)</f>
        <v>2021</v>
      </c>
      <c r="BA46" s="117"/>
      <c r="BB46" s="154">
        <f t="shared" si="18"/>
        <v>73.895686451409873</v>
      </c>
      <c r="BD46" s="154">
        <f t="shared" si="19"/>
        <v>16.066434365774114</v>
      </c>
      <c r="BF46" s="153">
        <f t="shared" si="9"/>
        <v>39.949072750332085</v>
      </c>
      <c r="BH46" s="157"/>
    </row>
    <row r="47" spans="2:60" ht="12">
      <c r="B47" s="2"/>
      <c r="C47">
        <f>+IF(C46&gt;$G$13+$G$14,XX,C46+1)</f>
        <v>2022</v>
      </c>
      <c r="E47" s="169">
        <f t="shared" si="10"/>
        <v>2.5000000000000001E-2</v>
      </c>
      <c r="G47" s="18">
        <f t="shared" si="11"/>
        <v>13140</v>
      </c>
      <c r="I47" s="28">
        <f t="shared" si="20"/>
        <v>248.80938151163096</v>
      </c>
      <c r="K47" s="28">
        <f t="shared" si="12"/>
        <v>0</v>
      </c>
      <c r="M47" s="28">
        <f t="shared" si="13"/>
        <v>0</v>
      </c>
      <c r="O47" s="270"/>
      <c r="Q47" s="28"/>
      <c r="S47" s="18">
        <v>0</v>
      </c>
      <c r="U47" s="18">
        <f t="shared" si="4"/>
        <v>790.96557652747504</v>
      </c>
      <c r="W47" s="18">
        <f t="shared" si="0"/>
        <v>-790.96557652747504</v>
      </c>
      <c r="Y47" s="271">
        <f t="shared" si="5"/>
        <v>-60.195249355211189</v>
      </c>
      <c r="Z47" s="235"/>
      <c r="AB47" s="146">
        <f>+IF(AB46&gt;$G$13+$G$14,XX,AB46+1)</f>
        <v>2022</v>
      </c>
      <c r="AC47" s="117"/>
      <c r="AD47" s="151">
        <f t="shared" si="1"/>
        <v>13140</v>
      </c>
      <c r="AF47" s="154">
        <f t="shared" si="14"/>
        <v>88.178047193126872</v>
      </c>
      <c r="AH47" s="154">
        <f t="shared" si="15"/>
        <v>10.820618037286037</v>
      </c>
      <c r="AJ47" s="154">
        <f t="shared" si="16"/>
        <v>2.5277987230122303</v>
      </c>
      <c r="AL47" s="153">
        <f t="shared" si="6"/>
        <v>225.67516328769102</v>
      </c>
      <c r="AN47" s="154">
        <f>INDEX('(2.2)_Forward_Price_Curve'!$G:$G,MATCH($AB47,'(2.2)_Forward_Price_Curve'!$C:$C,0),1)</f>
        <v>5.72</v>
      </c>
      <c r="AP47" s="154">
        <f t="shared" si="7"/>
        <v>40.976597326057295</v>
      </c>
      <c r="AR47" s="154">
        <f t="shared" si="17"/>
        <v>5.1602529638113888</v>
      </c>
      <c r="AS47" s="154"/>
      <c r="AT47" s="153">
        <f t="shared" si="2"/>
        <v>184.72736371860063</v>
      </c>
      <c r="AV47" s="153">
        <f t="shared" si="3"/>
        <v>606.23821280887444</v>
      </c>
      <c r="AW47" s="273"/>
      <c r="AX47" s="155">
        <f t="shared" si="8"/>
        <v>790.96557652747504</v>
      </c>
      <c r="AZ47" s="146">
        <f>+IF(AZ46&gt;$G$13+$G$14,XX,AZ46+1)</f>
        <v>2022</v>
      </c>
      <c r="BA47" s="117"/>
      <c r="BB47" s="154">
        <f t="shared" si="18"/>
        <v>75.743078612695115</v>
      </c>
      <c r="BD47" s="154">
        <f t="shared" si="19"/>
        <v>16.468095224918464</v>
      </c>
      <c r="BF47" s="153">
        <f t="shared" si="9"/>
        <v>40.947799569090392</v>
      </c>
      <c r="BH47" s="157"/>
    </row>
    <row r="48" spans="2:60" ht="12">
      <c r="B48" s="2"/>
      <c r="C48">
        <f>+IF(C47&gt;$G$13+$G$14,XX,C47+1)</f>
        <v>2023</v>
      </c>
      <c r="E48" s="169">
        <f t="shared" si="10"/>
        <v>2.5000000000000001E-2</v>
      </c>
      <c r="G48" s="18">
        <f t="shared" si="11"/>
        <v>13140</v>
      </c>
      <c r="I48" s="28">
        <f t="shared" si="20"/>
        <v>255.02961604942172</v>
      </c>
      <c r="K48" s="28">
        <f t="shared" si="12"/>
        <v>0</v>
      </c>
      <c r="M48" s="28">
        <f t="shared" si="13"/>
        <v>0</v>
      </c>
      <c r="O48" s="270"/>
      <c r="Q48" s="28"/>
      <c r="S48" s="18">
        <v>0</v>
      </c>
      <c r="U48" s="18">
        <f t="shared" si="4"/>
        <v>809.51600573869746</v>
      </c>
      <c r="W48" s="18">
        <f t="shared" si="0"/>
        <v>-809.51600573869746</v>
      </c>
      <c r="Y48" s="271">
        <f t="shared" si="5"/>
        <v>-61.607001958804986</v>
      </c>
      <c r="Z48" s="235"/>
      <c r="AB48" s="146">
        <f>+IF(AB47&gt;$G$13+$G$14,XX,AB47+1)</f>
        <v>2023</v>
      </c>
      <c r="AC48" s="117"/>
      <c r="AD48" s="151">
        <f t="shared" si="1"/>
        <v>13140</v>
      </c>
      <c r="AF48" s="154">
        <f t="shared" si="14"/>
        <v>90.382498372955041</v>
      </c>
      <c r="AH48" s="154">
        <f t="shared" si="15"/>
        <v>11.091133488218187</v>
      </c>
      <c r="AJ48" s="154">
        <f t="shared" si="16"/>
        <v>2.5909936910875357</v>
      </c>
      <c r="AL48" s="153">
        <f t="shared" si="6"/>
        <v>231.31704236988324</v>
      </c>
      <c r="AN48" s="154">
        <f>INDEX('(2.2)_Forward_Price_Curve'!$G:$G,MATCH($AB48,'(2.2)_Forward_Price_Curve'!$C:$C,0),1)</f>
        <v>5.85</v>
      </c>
      <c r="AP48" s="154">
        <f t="shared" si="7"/>
        <v>41.907883628922235</v>
      </c>
      <c r="AR48" s="154">
        <f t="shared" si="17"/>
        <v>5.2892592879066731</v>
      </c>
      <c r="AS48" s="154"/>
      <c r="AT48" s="153">
        <f t="shared" si="2"/>
        <v>189.34554781156561</v>
      </c>
      <c r="AV48" s="153">
        <f t="shared" si="3"/>
        <v>620.17045792713191</v>
      </c>
      <c r="AW48" s="273"/>
      <c r="AX48" s="155">
        <f t="shared" si="8"/>
        <v>809.51600573869746</v>
      </c>
      <c r="AZ48" s="146">
        <f>+IF(AZ47&gt;$G$13+$G$14,XX,AZ47+1)</f>
        <v>2023</v>
      </c>
      <c r="BA48" s="117"/>
      <c r="BB48" s="154">
        <f t="shared" si="18"/>
        <v>77.63665557801248</v>
      </c>
      <c r="BD48" s="154">
        <f t="shared" si="19"/>
        <v>16.879797605541423</v>
      </c>
      <c r="BF48" s="153">
        <f t="shared" si="9"/>
        <v>41.971494558317644</v>
      </c>
      <c r="BH48" s="157"/>
    </row>
    <row r="49" spans="1:60" ht="12">
      <c r="B49" s="2"/>
      <c r="C49">
        <f>+IF(C48&gt;$G$13+$G$14,XX,C48+1)</f>
        <v>2024</v>
      </c>
      <c r="E49" s="169">
        <f t="shared" si="10"/>
        <v>2.5000000000000001E-2</v>
      </c>
      <c r="G49" s="18">
        <f t="shared" si="11"/>
        <v>13140</v>
      </c>
      <c r="I49" s="28">
        <f t="shared" si="20"/>
        <v>261.40535645065722</v>
      </c>
      <c r="K49" s="28">
        <f t="shared" si="12"/>
        <v>0</v>
      </c>
      <c r="M49" s="28">
        <f t="shared" si="13"/>
        <v>0</v>
      </c>
      <c r="O49" s="270"/>
      <c r="Q49" s="28"/>
      <c r="S49" s="18">
        <v>0</v>
      </c>
      <c r="U49" s="18">
        <f t="shared" si="4"/>
        <v>829.75390588216487</v>
      </c>
      <c r="W49" s="18">
        <f t="shared" si="0"/>
        <v>-829.75390588216487</v>
      </c>
      <c r="Y49" s="271">
        <f t="shared" si="5"/>
        <v>-63.147177007775099</v>
      </c>
      <c r="Z49" s="235"/>
      <c r="AB49" s="146">
        <f>+IF(AB48&gt;$G$13+$G$14,XX,AB48+1)</f>
        <v>2024</v>
      </c>
      <c r="AC49" s="117"/>
      <c r="AD49" s="151">
        <f t="shared" si="1"/>
        <v>13140</v>
      </c>
      <c r="AF49" s="154">
        <f t="shared" si="14"/>
        <v>92.642060832278915</v>
      </c>
      <c r="AH49" s="154">
        <f t="shared" si="15"/>
        <v>11.368411825423641</v>
      </c>
      <c r="AJ49" s="154">
        <f t="shared" si="16"/>
        <v>2.6557685333647241</v>
      </c>
      <c r="AL49" s="153">
        <f t="shared" si="6"/>
        <v>237.09996842913029</v>
      </c>
      <c r="AN49" s="154">
        <f>INDEX('(2.2)_Forward_Price_Curve'!$G:$G,MATCH($AB49,'(2.2)_Forward_Price_Curve'!$C:$C,0),1)</f>
        <v>5.996249999999999</v>
      </c>
      <c r="AP49" s="154">
        <f t="shared" si="7"/>
        <v>42.95558071964529</v>
      </c>
      <c r="AR49" s="154">
        <f t="shared" si="17"/>
        <v>5.4214907701043398</v>
      </c>
      <c r="AS49" s="154"/>
      <c r="AT49" s="153">
        <f t="shared" si="2"/>
        <v>194.07918650685471</v>
      </c>
      <c r="AV49" s="153">
        <f t="shared" si="3"/>
        <v>635.67471937531013</v>
      </c>
      <c r="AW49" s="273"/>
      <c r="AX49" s="155">
        <f t="shared" si="8"/>
        <v>829.75390588216487</v>
      </c>
      <c r="AZ49" s="146">
        <f>+IF(AZ48&gt;$G$13+$G$14,XX,AZ48+1)</f>
        <v>2024</v>
      </c>
      <c r="BA49" s="117"/>
      <c r="BB49" s="154">
        <f t="shared" si="18"/>
        <v>79.577571967462788</v>
      </c>
      <c r="BD49" s="154">
        <f t="shared" si="19"/>
        <v>17.301792545679959</v>
      </c>
      <c r="BF49" s="153">
        <f t="shared" si="9"/>
        <v>43.020781922275582</v>
      </c>
      <c r="BH49" s="157"/>
    </row>
    <row r="50" spans="1:60" ht="12">
      <c r="B50" s="2"/>
      <c r="C50">
        <f>+IF(C49&gt;$G$13+$G$14,XX,C49+1)</f>
        <v>2025</v>
      </c>
      <c r="E50" s="169">
        <f t="shared" si="10"/>
        <v>2.5000000000000001E-2</v>
      </c>
      <c r="G50" s="18">
        <f t="shared" si="11"/>
        <v>13140</v>
      </c>
      <c r="I50" s="28">
        <f t="shared" si="20"/>
        <v>267.94049036192365</v>
      </c>
      <c r="K50" s="28">
        <f t="shared" si="12"/>
        <v>0</v>
      </c>
      <c r="M50" s="28">
        <f t="shared" si="13"/>
        <v>0</v>
      </c>
      <c r="O50" s="270"/>
      <c r="Q50" s="28"/>
      <c r="S50" s="18">
        <v>0</v>
      </c>
      <c r="U50" s="18">
        <f t="shared" si="4"/>
        <v>850.49775352921904</v>
      </c>
      <c r="W50" s="18">
        <f t="shared" si="0"/>
        <v>-850.49775352921904</v>
      </c>
      <c r="Y50" s="271">
        <f t="shared" si="5"/>
        <v>-64.725856432969493</v>
      </c>
      <c r="Z50" s="235"/>
      <c r="AB50" s="146">
        <f>+IF(AB49&gt;$G$13+$G$14,XX,AB49+1)</f>
        <v>2025</v>
      </c>
      <c r="AC50" s="117"/>
      <c r="AD50" s="151">
        <f t="shared" si="1"/>
        <v>13140</v>
      </c>
      <c r="AF50" s="154">
        <f t="shared" si="14"/>
        <v>94.95811235308588</v>
      </c>
      <c r="AH50" s="154">
        <f t="shared" si="15"/>
        <v>11.652622121059231</v>
      </c>
      <c r="AJ50" s="154">
        <f t="shared" si="16"/>
        <v>2.7221627466988418</v>
      </c>
      <c r="AL50" s="153">
        <f t="shared" si="6"/>
        <v>243.0274676398586</v>
      </c>
      <c r="AN50" s="154">
        <f>INDEX('(2.2)_Forward_Price_Curve'!$G:$G,MATCH($AB50,'(2.2)_Forward_Price_Curve'!$C:$C,0),1)</f>
        <v>6.146156249999998</v>
      </c>
      <c r="AP50" s="154">
        <f t="shared" si="7"/>
        <v>44.029470237636417</v>
      </c>
      <c r="AR50" s="154">
        <f t="shared" si="17"/>
        <v>5.5570280393569478</v>
      </c>
      <c r="AS50" s="154"/>
      <c r="AT50" s="153">
        <f t="shared" si="2"/>
        <v>198.93116616952614</v>
      </c>
      <c r="AV50" s="153">
        <f t="shared" si="3"/>
        <v>651.5665873596929</v>
      </c>
      <c r="AW50" s="273"/>
      <c r="AX50" s="155">
        <f t="shared" si="8"/>
        <v>850.49775352921904</v>
      </c>
      <c r="AZ50" s="146">
        <f>+IF(AZ49&gt;$G$13+$G$14,XX,AZ49+1)</f>
        <v>2025</v>
      </c>
      <c r="BA50" s="117"/>
      <c r="BB50" s="154">
        <f t="shared" si="18"/>
        <v>81.567011266649345</v>
      </c>
      <c r="BD50" s="154">
        <f t="shared" si="19"/>
        <v>17.734337359321955</v>
      </c>
      <c r="BF50" s="153">
        <f t="shared" si="9"/>
        <v>44.096301470332463</v>
      </c>
      <c r="BH50" s="157"/>
    </row>
    <row r="51" spans="1:60" ht="12">
      <c r="B51" s="2"/>
      <c r="C51">
        <f>+IF(C50&gt;$G$13+$G$14,XX,C50+1)</f>
        <v>2026</v>
      </c>
      <c r="E51" s="169">
        <f t="shared" si="10"/>
        <v>2.5000000000000001E-2</v>
      </c>
      <c r="G51" s="18">
        <f t="shared" si="11"/>
        <v>13140</v>
      </c>
      <c r="I51" s="28">
        <f t="shared" si="20"/>
        <v>274.63900262097172</v>
      </c>
      <c r="K51" s="28">
        <f t="shared" si="12"/>
        <v>0</v>
      </c>
      <c r="M51" s="28">
        <f t="shared" si="13"/>
        <v>0</v>
      </c>
      <c r="O51" s="270"/>
      <c r="Q51" s="28"/>
      <c r="S51" s="18">
        <v>0</v>
      </c>
      <c r="U51" s="18">
        <f t="shared" si="4"/>
        <v>871.76019736744911</v>
      </c>
      <c r="W51" s="18">
        <f t="shared" si="0"/>
        <v>-871.76019736744911</v>
      </c>
      <c r="Y51" s="271">
        <f t="shared" si="5"/>
        <v>-66.344002843793689</v>
      </c>
      <c r="Z51" s="235"/>
      <c r="AB51" s="146">
        <f>+IF(AB50&gt;$G$13+$G$14,XX,AB50+1)</f>
        <v>2026</v>
      </c>
      <c r="AC51" s="117"/>
      <c r="AD51" s="151">
        <f t="shared" si="1"/>
        <v>13140</v>
      </c>
      <c r="AF51" s="154">
        <f t="shared" si="14"/>
        <v>97.332065161913022</v>
      </c>
      <c r="AH51" s="154">
        <f t="shared" si="15"/>
        <v>11.943937674085712</v>
      </c>
      <c r="AJ51" s="154">
        <f t="shared" si="16"/>
        <v>2.7902168153663127</v>
      </c>
      <c r="AL51" s="153">
        <f t="shared" si="6"/>
        <v>249.10315433085503</v>
      </c>
      <c r="AN51" s="154">
        <f>INDEX('(2.2)_Forward_Price_Curve'!$G:$G,MATCH($AB51,'(2.2)_Forward_Price_Curve'!$C:$C,0),1)</f>
        <v>6.2998101562499977</v>
      </c>
      <c r="AP51" s="154">
        <f t="shared" si="7"/>
        <v>45.130206993577318</v>
      </c>
      <c r="AR51" s="154">
        <f t="shared" si="17"/>
        <v>5.6959537403408707</v>
      </c>
      <c r="AS51" s="154"/>
      <c r="AT51" s="153">
        <f t="shared" si="2"/>
        <v>203.90444532376426</v>
      </c>
      <c r="AV51" s="153">
        <f t="shared" si="3"/>
        <v>667.8557520436849</v>
      </c>
      <c r="AW51" s="273"/>
      <c r="AX51" s="155">
        <f t="shared" si="8"/>
        <v>871.76019736744911</v>
      </c>
      <c r="AZ51" s="146">
        <f>+IF(AZ50&gt;$G$13+$G$14,XX,AZ50+1)</f>
        <v>2026</v>
      </c>
      <c r="BA51" s="117"/>
      <c r="BB51" s="154">
        <f t="shared" si="18"/>
        <v>83.606186548315577</v>
      </c>
      <c r="BD51" s="154">
        <f t="shared" si="19"/>
        <v>18.177695793305002</v>
      </c>
      <c r="BF51" s="153">
        <f t="shared" si="9"/>
        <v>45.19870900709077</v>
      </c>
      <c r="BH51" s="157"/>
    </row>
    <row r="52" spans="1:60" ht="12">
      <c r="B52" s="2"/>
      <c r="C52">
        <f>+IF(C51&gt;$G$13+$G$14,XX,C51+1)</f>
        <v>2027</v>
      </c>
      <c r="E52" s="169">
        <f t="shared" si="10"/>
        <v>2.5000000000000001E-2</v>
      </c>
      <c r="G52" s="18">
        <f t="shared" si="11"/>
        <v>13140</v>
      </c>
      <c r="I52" s="28">
        <f t="shared" si="20"/>
        <v>281.50497768649598</v>
      </c>
      <c r="K52" s="28">
        <f t="shared" si="12"/>
        <v>0</v>
      </c>
      <c r="M52" s="28">
        <f t="shared" si="13"/>
        <v>0</v>
      </c>
      <c r="O52" s="270"/>
      <c r="Q52" s="28"/>
      <c r="S52" s="18">
        <v>0</v>
      </c>
      <c r="U52" s="18">
        <f t="shared" si="4"/>
        <v>893.55420230163543</v>
      </c>
      <c r="W52" s="18">
        <f t="shared" si="0"/>
        <v>-893.55420230163543</v>
      </c>
      <c r="Y52" s="271">
        <f t="shared" si="5"/>
        <v>-68.002602914888541</v>
      </c>
      <c r="Z52" s="235"/>
      <c r="AB52" s="146">
        <f>+IF(AB51&gt;$G$13+$G$14,XX,AB51+1)</f>
        <v>2027</v>
      </c>
      <c r="AC52" s="117"/>
      <c r="AD52" s="151">
        <f t="shared" si="1"/>
        <v>13140</v>
      </c>
      <c r="AF52" s="154">
        <f t="shared" si="14"/>
        <v>99.76536679096084</v>
      </c>
      <c r="AH52" s="154">
        <f t="shared" si="15"/>
        <v>12.242536115937854</v>
      </c>
      <c r="AJ52" s="154">
        <f t="shared" si="16"/>
        <v>2.8599722357504702</v>
      </c>
      <c r="AL52" s="153">
        <f t="shared" si="6"/>
        <v>255.33073318912636</v>
      </c>
      <c r="AN52" s="154">
        <f>INDEX('(2.2)_Forward_Price_Curve'!$G:$G,MATCH($AB52,'(2.2)_Forward_Price_Curve'!$C:$C,0),1)</f>
        <v>6.4573054101562475</v>
      </c>
      <c r="AP52" s="154">
        <f t="shared" si="7"/>
        <v>46.258462168416749</v>
      </c>
      <c r="AR52" s="154">
        <f t="shared" si="17"/>
        <v>5.8383525838493915</v>
      </c>
      <c r="AS52" s="154"/>
      <c r="AT52" s="153">
        <f t="shared" si="2"/>
        <v>209.00205645685833</v>
      </c>
      <c r="AV52" s="153">
        <f t="shared" si="3"/>
        <v>684.5521458447771</v>
      </c>
      <c r="AW52" s="273"/>
      <c r="AX52" s="155">
        <f t="shared" si="8"/>
        <v>893.55420230163543</v>
      </c>
      <c r="AZ52" s="146">
        <f>+IF(AZ51&gt;$G$13+$G$14,XX,AZ51+1)</f>
        <v>2027</v>
      </c>
      <c r="BA52" s="117"/>
      <c r="BB52" s="154">
        <f t="shared" si="18"/>
        <v>85.696341212023455</v>
      </c>
      <c r="BD52" s="154">
        <f t="shared" si="19"/>
        <v>18.632138188137624</v>
      </c>
      <c r="BF52" s="153">
        <f t="shared" si="9"/>
        <v>46.328676732268036</v>
      </c>
      <c r="BH52" s="157"/>
    </row>
    <row r="53" spans="1:60" ht="12">
      <c r="B53" s="2"/>
      <c r="C53">
        <f>+IF(C52&gt;$G$13+$G$14,XX,C52+1)</f>
        <v>2028</v>
      </c>
      <c r="E53" s="169">
        <f t="shared" si="10"/>
        <v>2.5000000000000001E-2</v>
      </c>
      <c r="G53" s="18">
        <f t="shared" si="11"/>
        <v>13140</v>
      </c>
      <c r="I53" s="28">
        <f t="shared" si="20"/>
        <v>288.54260212865836</v>
      </c>
      <c r="K53" s="28">
        <f t="shared" si="12"/>
        <v>0</v>
      </c>
      <c r="M53" s="28">
        <f t="shared" si="13"/>
        <v>0</v>
      </c>
      <c r="O53" s="270"/>
      <c r="Q53" s="28"/>
      <c r="S53" s="18">
        <v>0</v>
      </c>
      <c r="U53" s="18">
        <f t="shared" si="4"/>
        <v>915.89305735917628</v>
      </c>
      <c r="W53" s="18">
        <f t="shared" si="0"/>
        <v>-915.89305735917628</v>
      </c>
      <c r="Y53" s="271">
        <f t="shared" si="5"/>
        <v>-69.702667987760762</v>
      </c>
      <c r="Z53" s="235"/>
      <c r="AB53" s="146">
        <f>+IF(AB52&gt;$G$13+$G$14,XX,AB52+1)</f>
        <v>2028</v>
      </c>
      <c r="AC53" s="117"/>
      <c r="AD53" s="151">
        <f t="shared" si="1"/>
        <v>13140</v>
      </c>
      <c r="AF53" s="154">
        <f t="shared" si="14"/>
        <v>102.25950096073485</v>
      </c>
      <c r="AH53" s="154">
        <f t="shared" si="15"/>
        <v>12.5485995188363</v>
      </c>
      <c r="AJ53" s="154">
        <f t="shared" si="16"/>
        <v>2.9314715416442318</v>
      </c>
      <c r="AL53" s="153">
        <f t="shared" si="6"/>
        <v>261.7140015188545</v>
      </c>
      <c r="AN53" s="154">
        <f>INDEX('(2.2)_Forward_Price_Curve'!$G:$G,MATCH($AB53,'(2.2)_Forward_Price_Curve'!$C:$C,0),1)</f>
        <v>6.6187380454101534</v>
      </c>
      <c r="AP53" s="154">
        <f t="shared" si="7"/>
        <v>47.414923722627172</v>
      </c>
      <c r="AR53" s="154">
        <f t="shared" si="17"/>
        <v>5.9843113984456258</v>
      </c>
      <c r="AS53" s="154"/>
      <c r="AT53" s="153">
        <f t="shared" si="2"/>
        <v>214.22710786827977</v>
      </c>
      <c r="AV53" s="153">
        <f t="shared" si="3"/>
        <v>701.66594949089654</v>
      </c>
      <c r="AW53" s="273"/>
      <c r="AX53" s="155">
        <f t="shared" si="8"/>
        <v>915.89305735917628</v>
      </c>
      <c r="AZ53" s="146">
        <f>+IF(AZ52&gt;$G$13+$G$14,XX,AZ52+1)</f>
        <v>2028</v>
      </c>
      <c r="BA53" s="117"/>
      <c r="BB53" s="154">
        <f t="shared" si="18"/>
        <v>87.83874974232404</v>
      </c>
      <c r="BD53" s="154">
        <f t="shared" si="19"/>
        <v>19.097941642841064</v>
      </c>
      <c r="BF53" s="153">
        <f t="shared" si="9"/>
        <v>47.486893650574736</v>
      </c>
      <c r="BH53" s="235"/>
    </row>
    <row r="54" spans="1:60" ht="12">
      <c r="B54" s="2"/>
      <c r="C54">
        <f>+IF(C53&gt;$G$13+$G$14,XX,C53+1)</f>
        <v>2029</v>
      </c>
      <c r="E54" s="169">
        <f t="shared" si="10"/>
        <v>2.5000000000000001E-2</v>
      </c>
      <c r="G54" s="18">
        <f t="shared" si="11"/>
        <v>13140</v>
      </c>
      <c r="I54" s="28">
        <f t="shared" si="20"/>
        <v>295.75616718187479</v>
      </c>
      <c r="K54" s="28">
        <f t="shared" si="12"/>
        <v>0</v>
      </c>
      <c r="M54" s="28">
        <f t="shared" si="13"/>
        <v>0</v>
      </c>
      <c r="O54" s="270"/>
      <c r="Q54" s="28"/>
      <c r="S54" s="18">
        <v>0</v>
      </c>
      <c r="U54" s="18">
        <f t="shared" si="4"/>
        <v>938.7903837931558</v>
      </c>
      <c r="W54" s="18">
        <f t="shared" si="0"/>
        <v>-938.7903837931558</v>
      </c>
      <c r="Y54" s="271">
        <f t="shared" si="5"/>
        <v>-71.445234687454771</v>
      </c>
      <c r="Z54" s="235"/>
      <c r="AB54" s="146">
        <f>+IF(AB53&gt;$G$13+$G$14,XX,AB53+1)</f>
        <v>2029</v>
      </c>
      <c r="AC54" s="117"/>
      <c r="AD54" s="151">
        <f t="shared" si="1"/>
        <v>13140</v>
      </c>
      <c r="AF54" s="154">
        <f t="shared" si="14"/>
        <v>104.81598848475322</v>
      </c>
      <c r="AH54" s="154">
        <f t="shared" si="15"/>
        <v>12.862314506807206</v>
      </c>
      <c r="AJ54" s="154">
        <f t="shared" si="16"/>
        <v>3.0047583301853376</v>
      </c>
      <c r="AL54" s="153">
        <f t="shared" si="6"/>
        <v>268.25685155682584</v>
      </c>
      <c r="AN54" s="154">
        <f>INDEX('(2.2)_Forward_Price_Curve'!$G:$G,MATCH($AB54,'(2.2)_Forward_Price_Curve'!$C:$C,0),1)</f>
        <v>6.7842064965454068</v>
      </c>
      <c r="AP54" s="154">
        <f t="shared" si="7"/>
        <v>48.60029681569285</v>
      </c>
      <c r="AR54" s="154">
        <f t="shared" si="17"/>
        <v>6.1339191834067659</v>
      </c>
      <c r="AS54" s="154"/>
      <c r="AT54" s="153">
        <f t="shared" si="2"/>
        <v>219.58278556498675</v>
      </c>
      <c r="AV54" s="153">
        <f t="shared" si="3"/>
        <v>719.20759822816899</v>
      </c>
      <c r="AW54" s="273"/>
      <c r="AX54" s="155">
        <f t="shared" si="8"/>
        <v>938.7903837931558</v>
      </c>
      <c r="AZ54" s="146">
        <f>+IF(AZ53&gt;$G$13+$G$14,XX,AZ53+1)</f>
        <v>2029</v>
      </c>
      <c r="BA54" s="117"/>
      <c r="BB54" s="154">
        <f t="shared" si="18"/>
        <v>90.034718485882138</v>
      </c>
      <c r="BD54" s="154">
        <f t="shared" si="19"/>
        <v>19.575390183912088</v>
      </c>
      <c r="BF54" s="153">
        <f t="shared" si="9"/>
        <v>48.6740659918391</v>
      </c>
      <c r="BH54" s="157"/>
    </row>
    <row r="55" spans="1:60" ht="12">
      <c r="B55" s="2"/>
      <c r="C55">
        <f>+IF(C54&gt;$G$13+$G$14,XX,C54+1)</f>
        <v>2030</v>
      </c>
      <c r="E55" s="169">
        <f t="shared" si="10"/>
        <v>2.5000000000000001E-2</v>
      </c>
      <c r="G55" s="18">
        <f t="shared" si="11"/>
        <v>13140</v>
      </c>
      <c r="I55" s="28">
        <f t="shared" si="20"/>
        <v>303.15007136142162</v>
      </c>
      <c r="K55" s="28">
        <f t="shared" si="12"/>
        <v>0</v>
      </c>
      <c r="M55" s="28">
        <f t="shared" si="13"/>
        <v>0</v>
      </c>
      <c r="O55" s="270"/>
      <c r="Q55" s="28"/>
      <c r="S55" s="18">
        <v>0</v>
      </c>
      <c r="U55" s="18">
        <f t="shared" si="4"/>
        <v>962.26014338798439</v>
      </c>
      <c r="W55" s="18">
        <f t="shared" si="0"/>
        <v>-962.26014338798439</v>
      </c>
      <c r="Y55" s="271">
        <f t="shared" si="5"/>
        <v>-73.23136555464113</v>
      </c>
      <c r="Z55" s="235"/>
      <c r="AB55" s="146">
        <f>+IF(AB54&gt;$G$13+$G$14,XX,AB54+1)</f>
        <v>2030</v>
      </c>
      <c r="AC55" s="117"/>
      <c r="AD55" s="151">
        <f t="shared" si="1"/>
        <v>13140</v>
      </c>
      <c r="AF55" s="154">
        <f t="shared" si="14"/>
        <v>107.43638819687204</v>
      </c>
      <c r="AH55" s="154">
        <f t="shared" si="15"/>
        <v>13.183872369477385</v>
      </c>
      <c r="AJ55" s="154">
        <f t="shared" si="16"/>
        <v>3.0798772884399708</v>
      </c>
      <c r="AL55" s="153">
        <f t="shared" si="6"/>
        <v>274.96327284574647</v>
      </c>
      <c r="AN55" s="154">
        <f>INDEX('(2.2)_Forward_Price_Curve'!$G:$G,MATCH($AB55,'(2.2)_Forward_Price_Curve'!$C:$C,0),1)</f>
        <v>6.9538116589590411</v>
      </c>
      <c r="AP55" s="154">
        <f t="shared" si="7"/>
        <v>49.815304236085161</v>
      </c>
      <c r="AR55" s="154">
        <f t="shared" si="17"/>
        <v>6.2872671629919346</v>
      </c>
      <c r="AS55" s="154"/>
      <c r="AT55" s="153">
        <f t="shared" si="2"/>
        <v>225.0723552041114</v>
      </c>
      <c r="AV55" s="153">
        <f t="shared" si="3"/>
        <v>737.18778818387295</v>
      </c>
      <c r="AW55" s="273"/>
      <c r="AX55" s="155">
        <f t="shared" si="8"/>
        <v>962.26014338798439</v>
      </c>
      <c r="AZ55" s="146">
        <f>+IF(AZ54&gt;$G$13+$G$14,XX,AZ54+1)</f>
        <v>2030</v>
      </c>
      <c r="BA55" s="117"/>
      <c r="BB55" s="154">
        <f t="shared" si="18"/>
        <v>92.285586448029179</v>
      </c>
      <c r="BD55" s="154">
        <f t="shared" si="19"/>
        <v>20.064774938509888</v>
      </c>
      <c r="BF55" s="153">
        <f t="shared" si="9"/>
        <v>49.89091764163507</v>
      </c>
      <c r="BH55" s="235"/>
    </row>
    <row r="56" spans="1:60" ht="12">
      <c r="B56" s="2"/>
      <c r="C56">
        <f>+IF(C55&gt;$G$13+$G$14,XX,C55+1)</f>
        <v>2031</v>
      </c>
      <c r="E56" s="169">
        <f t="shared" si="10"/>
        <v>2.5000000000000001E-2</v>
      </c>
      <c r="G56" s="18">
        <f t="shared" si="11"/>
        <v>13140</v>
      </c>
      <c r="I56" s="28">
        <f t="shared" si="20"/>
        <v>310.72882314545711</v>
      </c>
      <c r="K56" s="28">
        <f t="shared" si="12"/>
        <v>0</v>
      </c>
      <c r="M56" s="28">
        <f t="shared" si="13"/>
        <v>0</v>
      </c>
      <c r="O56" s="270"/>
      <c r="Q56" s="28"/>
      <c r="S56" s="18">
        <v>0</v>
      </c>
      <c r="U56" s="18">
        <f t="shared" si="4"/>
        <v>986.316646972684</v>
      </c>
      <c r="W56" s="18">
        <f t="shared" si="0"/>
        <v>-986.316646972684</v>
      </c>
      <c r="Y56" s="271">
        <f t="shared" si="5"/>
        <v>-75.062149693507152</v>
      </c>
      <c r="Z56" s="235"/>
      <c r="AB56" s="146">
        <f>+IF(AB55&gt;$G$13+$G$14,XX,AB55+1)</f>
        <v>2031</v>
      </c>
      <c r="AC56" s="117"/>
      <c r="AD56" s="151">
        <f t="shared" si="1"/>
        <v>13140</v>
      </c>
      <c r="AF56" s="154">
        <f t="shared" si="14"/>
        <v>110.12229790179384</v>
      </c>
      <c r="AH56" s="154">
        <f t="shared" si="15"/>
        <v>13.513469178714319</v>
      </c>
      <c r="AJ56" s="154">
        <f t="shared" si="16"/>
        <v>3.1568742206509697</v>
      </c>
      <c r="AL56" s="153">
        <f t="shared" si="6"/>
        <v>281.83735466689012</v>
      </c>
      <c r="AN56" s="154">
        <f>INDEX('(2.2)_Forward_Price_Curve'!$G:$G,MATCH($AB56,'(2.2)_Forward_Price_Curve'!$C:$C,0),1)</f>
        <v>7.1276569504330167</v>
      </c>
      <c r="AP56" s="154">
        <f t="shared" si="7"/>
        <v>51.060686841987284</v>
      </c>
      <c r="AR56" s="154">
        <f t="shared" si="17"/>
        <v>6.4444488420667323</v>
      </c>
      <c r="AS56" s="154"/>
      <c r="AT56" s="153">
        <f t="shared" si="2"/>
        <v>230.69916408421417</v>
      </c>
      <c r="AV56" s="153">
        <f t="shared" si="3"/>
        <v>755.61748288846979</v>
      </c>
      <c r="AW56" s="273"/>
      <c r="AX56" s="155">
        <f t="shared" si="8"/>
        <v>986.316646972684</v>
      </c>
      <c r="AZ56" s="146">
        <f>+IF(AZ55&gt;$G$13+$G$14,XX,AZ55+1)</f>
        <v>2031</v>
      </c>
      <c r="BA56" s="117"/>
      <c r="BB56" s="154">
        <f t="shared" si="18"/>
        <v>94.592726109229901</v>
      </c>
      <c r="BD56" s="154">
        <f t="shared" si="19"/>
        <v>20.566394311972633</v>
      </c>
      <c r="BF56" s="153">
        <f t="shared" si="9"/>
        <v>51.138190582675939</v>
      </c>
      <c r="BH56" s="235"/>
    </row>
    <row r="57" spans="1:60" ht="12">
      <c r="A57" s="235"/>
      <c r="C57">
        <f>+IF(C56&gt;$G$13+$G$14,XX,C56+1)</f>
        <v>2032</v>
      </c>
      <c r="E57" s="169">
        <f t="shared" si="10"/>
        <v>2.5000000000000001E-2</v>
      </c>
      <c r="G57" s="18">
        <f t="shared" si="11"/>
        <v>13140</v>
      </c>
      <c r="I57" s="28">
        <f t="shared" si="20"/>
        <v>318.49704372409349</v>
      </c>
      <c r="K57" s="28">
        <f t="shared" si="12"/>
        <v>0</v>
      </c>
      <c r="M57" s="28">
        <f t="shared" si="13"/>
        <v>0</v>
      </c>
      <c r="O57" s="270"/>
      <c r="Q57" s="28"/>
      <c r="S57" s="18">
        <v>0</v>
      </c>
      <c r="U57" s="18">
        <f t="shared" si="4"/>
        <v>1010.974563147001</v>
      </c>
      <c r="W57" s="18">
        <f t="shared" si="0"/>
        <v>-1010.974563147001</v>
      </c>
      <c r="Y57" s="271">
        <f t="shared" si="5"/>
        <v>-76.938703435844829</v>
      </c>
      <c r="Z57" s="235"/>
      <c r="AB57" s="146">
        <f>+IF(AB56&gt;$G$13+$G$14,XX,AB56+1)</f>
        <v>2032</v>
      </c>
      <c r="AC57" s="117"/>
      <c r="AD57" s="151">
        <f t="shared" si="1"/>
        <v>13140</v>
      </c>
      <c r="AF57" s="154">
        <f t="shared" si="14"/>
        <v>112.87535534933868</v>
      </c>
      <c r="AH57" s="154">
        <f t="shared" si="15"/>
        <v>13.851305908182175</v>
      </c>
      <c r="AJ57" s="154">
        <f t="shared" si="16"/>
        <v>3.2357960761672437</v>
      </c>
      <c r="AL57" s="153">
        <f t="shared" si="6"/>
        <v>288.88328853356234</v>
      </c>
      <c r="AN57" s="154">
        <f>INDEX('(2.2)_Forward_Price_Curve'!$G:$G,MATCH($AB57,'(2.2)_Forward_Price_Curve'!$C:$C,0),1)</f>
        <v>7.3058483741938414</v>
      </c>
      <c r="AP57" s="154">
        <f t="shared" si="7"/>
        <v>52.337204013036967</v>
      </c>
      <c r="AR57" s="154">
        <f t="shared" si="17"/>
        <v>6.6055600631183999</v>
      </c>
      <c r="AS57" s="154"/>
      <c r="AT57" s="153">
        <f t="shared" si="2"/>
        <v>236.46664318631952</v>
      </c>
      <c r="AV57" s="153">
        <f t="shared" si="3"/>
        <v>774.50791996068153</v>
      </c>
      <c r="AW57" s="273"/>
      <c r="AX57" s="155">
        <f t="shared" si="8"/>
        <v>1010.974563147001</v>
      </c>
      <c r="AZ57" s="146">
        <f>+IF(AZ56&gt;$G$13+$G$14,XX,AZ56+1)</f>
        <v>2032</v>
      </c>
      <c r="BA57" s="117"/>
      <c r="BB57" s="154">
        <f t="shared" si="18"/>
        <v>96.957544261960635</v>
      </c>
      <c r="BD57" s="154">
        <f t="shared" si="19"/>
        <v>21.080554169771947</v>
      </c>
      <c r="BF57" s="153">
        <f t="shared" si="9"/>
        <v>52.416645347242834</v>
      </c>
      <c r="BH57" s="235"/>
    </row>
    <row r="58" spans="1:60" ht="12">
      <c r="A58" s="235"/>
      <c r="C58">
        <f>+IF(C57&gt;$G$13+$G$14,XX,C57+1)</f>
        <v>2033</v>
      </c>
      <c r="E58" s="169">
        <f t="shared" si="10"/>
        <v>2.5000000000000001E-2</v>
      </c>
      <c r="G58" s="18">
        <f t="shared" si="11"/>
        <v>13140</v>
      </c>
      <c r="I58" s="28">
        <f t="shared" si="20"/>
        <v>326.45946981719578</v>
      </c>
      <c r="K58" s="28">
        <f t="shared" si="12"/>
        <v>0</v>
      </c>
      <c r="M58" s="28">
        <f t="shared" si="13"/>
        <v>0</v>
      </c>
      <c r="O58" s="270"/>
      <c r="Q58" s="28"/>
      <c r="S58" s="18">
        <v>0</v>
      </c>
      <c r="U58" s="18">
        <f t="shared" si="4"/>
        <v>1036.248927225676</v>
      </c>
      <c r="W58" s="18">
        <f t="shared" si="0"/>
        <v>-1036.248927225676</v>
      </c>
      <c r="Y58" s="271">
        <f t="shared" si="5"/>
        <v>-78.862171021740949</v>
      </c>
      <c r="Z58" s="235"/>
      <c r="AB58" s="146">
        <f>+IF(AB57&gt;$G$13+$G$14,XX,AB57+1)</f>
        <v>2033</v>
      </c>
      <c r="AC58" s="117"/>
      <c r="AD58" s="151">
        <f t="shared" si="1"/>
        <v>13140</v>
      </c>
      <c r="AF58" s="154">
        <f t="shared" si="14"/>
        <v>115.69723923307214</v>
      </c>
      <c r="AH58" s="154">
        <f t="shared" si="15"/>
        <v>14.197588555886728</v>
      </c>
      <c r="AJ58" s="154">
        <f t="shared" si="16"/>
        <v>3.3166909780714247</v>
      </c>
      <c r="AL58" s="153">
        <f t="shared" si="6"/>
        <v>296.10537074690143</v>
      </c>
      <c r="AN58" s="154">
        <f>INDEX('(2.2)_Forward_Price_Curve'!$G:$G,MATCH($AB58,'(2.2)_Forward_Price_Curve'!$C:$C,0),1)</f>
        <v>7.4884945835486869</v>
      </c>
      <c r="AP58" s="154">
        <f t="shared" si="7"/>
        <v>53.645634113362881</v>
      </c>
      <c r="AR58" s="154">
        <f t="shared" si="17"/>
        <v>6.770699064696359</v>
      </c>
      <c r="AS58" s="154"/>
      <c r="AT58" s="153">
        <f t="shared" si="2"/>
        <v>242.37830926597752</v>
      </c>
      <c r="AV58" s="153">
        <f t="shared" si="3"/>
        <v>793.87061795969839</v>
      </c>
      <c r="AW58" s="273"/>
      <c r="AX58" s="155">
        <f t="shared" si="8"/>
        <v>1036.248927225676</v>
      </c>
      <c r="AZ58" s="146">
        <f>+IF(AZ57&gt;$G$13+$G$14,XX,AZ57+1)</f>
        <v>2033</v>
      </c>
      <c r="BA58" s="117"/>
      <c r="BB58" s="154">
        <f t="shared" si="18"/>
        <v>99.381482868509636</v>
      </c>
      <c r="BD58" s="154">
        <f t="shared" si="19"/>
        <v>21.607568024016242</v>
      </c>
      <c r="BF58" s="153">
        <f t="shared" si="9"/>
        <v>53.727061480923901</v>
      </c>
      <c r="BH58" s="235"/>
    </row>
    <row r="59" spans="1:60" ht="12">
      <c r="A59" s="235"/>
      <c r="C59">
        <f>+IF(C58&gt;$G$13+$G$14,XX,C58+1)</f>
        <v>2034</v>
      </c>
      <c r="E59" s="169">
        <f t="shared" si="10"/>
        <v>2.5000000000000001E-2</v>
      </c>
      <c r="G59" s="18">
        <f t="shared" si="11"/>
        <v>13140</v>
      </c>
      <c r="I59" s="28">
        <f t="shared" si="20"/>
        <v>334.62095656262562</v>
      </c>
      <c r="K59" s="28">
        <f t="shared" si="12"/>
        <v>0</v>
      </c>
      <c r="M59" s="28">
        <f t="shared" si="13"/>
        <v>0</v>
      </c>
      <c r="O59" s="270"/>
      <c r="Q59" s="28"/>
      <c r="S59" s="18">
        <v>0</v>
      </c>
      <c r="U59" s="18">
        <f t="shared" si="4"/>
        <v>1062.1551504063177</v>
      </c>
      <c r="W59" s="18">
        <f t="shared" si="0"/>
        <v>-1062.1551504063177</v>
      </c>
      <c r="Y59" s="271">
        <f t="shared" si="5"/>
        <v>-80.83372529728446</v>
      </c>
      <c r="Z59" s="235"/>
      <c r="AB59" s="146">
        <f>+IF(AB58&gt;$G$13+$G$14,XX,AB58+1)</f>
        <v>2034</v>
      </c>
      <c r="AC59" s="117"/>
      <c r="AD59" s="151">
        <f t="shared" si="1"/>
        <v>13140</v>
      </c>
      <c r="AF59" s="154">
        <f t="shared" si="14"/>
        <v>118.58967021389893</v>
      </c>
      <c r="AH59" s="154">
        <f t="shared" si="15"/>
        <v>14.552528269783895</v>
      </c>
      <c r="AJ59" s="154">
        <f t="shared" si="16"/>
        <v>3.3996082525232101</v>
      </c>
      <c r="AL59" s="153">
        <f t="shared" si="6"/>
        <v>303.50800501557393</v>
      </c>
      <c r="AN59" s="154">
        <f>INDEX('(2.2)_Forward_Price_Curve'!$G:$G,MATCH($AB59,'(2.2)_Forward_Price_Curve'!$C:$C,0),1)</f>
        <v>7.6757069481374032</v>
      </c>
      <c r="AP59" s="154">
        <f t="shared" si="7"/>
        <v>54.986774966196947</v>
      </c>
      <c r="AR59" s="154">
        <f t="shared" si="17"/>
        <v>6.9399665413137672</v>
      </c>
      <c r="AS59" s="154"/>
      <c r="AT59" s="153">
        <f t="shared" si="2"/>
        <v>248.43776699762694</v>
      </c>
      <c r="AV59" s="153">
        <f t="shared" si="3"/>
        <v>813.71738340869081</v>
      </c>
      <c r="AW59" s="273"/>
      <c r="AX59" s="155">
        <f t="shared" si="8"/>
        <v>1062.1551504063177</v>
      </c>
      <c r="AZ59" s="146">
        <f>+IF(AZ58&gt;$G$13+$G$14,XX,AZ58+1)</f>
        <v>2034</v>
      </c>
      <c r="BA59" s="117"/>
      <c r="BB59" s="154">
        <f t="shared" si="18"/>
        <v>101.86601994022237</v>
      </c>
      <c r="BD59" s="154">
        <f t="shared" si="19"/>
        <v>22.147757224616647</v>
      </c>
      <c r="BF59" s="153">
        <f t="shared" si="9"/>
        <v>55.070238017946991</v>
      </c>
      <c r="BH59" s="235"/>
    </row>
    <row r="60" spans="1:60" ht="12">
      <c r="A60" s="235"/>
      <c r="C60">
        <f>+IF(C59&gt;$G$13+$G$14,XX,C59+1)</f>
        <v>2035</v>
      </c>
      <c r="E60" s="169">
        <f t="shared" si="10"/>
        <v>2.5000000000000001E-2</v>
      </c>
      <c r="G60" s="18">
        <f t="shared" si="11"/>
        <v>13140</v>
      </c>
      <c r="I60" s="28">
        <f t="shared" si="20"/>
        <v>342.98648047669121</v>
      </c>
      <c r="K60" s="28">
        <f t="shared" si="12"/>
        <v>0</v>
      </c>
      <c r="M60" s="28">
        <f t="shared" si="13"/>
        <v>0</v>
      </c>
      <c r="O60" s="270"/>
      <c r="Q60" s="28"/>
      <c r="S60" s="18">
        <v>0</v>
      </c>
      <c r="U60" s="18">
        <f t="shared" si="4"/>
        <v>1088.7090291664756</v>
      </c>
      <c r="W60" s="18">
        <f t="shared" si="0"/>
        <v>-1088.7090291664756</v>
      </c>
      <c r="Y60" s="271">
        <f t="shared" si="5"/>
        <v>-82.854568429716565</v>
      </c>
      <c r="Z60" s="235"/>
      <c r="AB60" s="146">
        <f>+IF(AB59&gt;$G$13+$G$14,XX,AB59+1)</f>
        <v>2035</v>
      </c>
      <c r="AC60" s="117"/>
      <c r="AD60" s="151">
        <f t="shared" si="1"/>
        <v>13140</v>
      </c>
      <c r="AF60" s="154">
        <f t="shared" si="14"/>
        <v>121.55441196924639</v>
      </c>
      <c r="AH60" s="154">
        <f t="shared" si="15"/>
        <v>14.916341476528492</v>
      </c>
      <c r="AJ60" s="154">
        <f t="shared" si="16"/>
        <v>3.4845984588362899</v>
      </c>
      <c r="AL60" s="153">
        <f t="shared" si="6"/>
        <v>311.09570514096328</v>
      </c>
      <c r="AN60" s="154">
        <f>INDEX('(2.2)_Forward_Price_Curve'!$G:$G,MATCH($AB60,'(2.2)_Forward_Price_Curve'!$C:$C,0),1)</f>
        <v>7.8675996218408377</v>
      </c>
      <c r="AP60" s="154">
        <f t="shared" si="7"/>
        <v>56.361444340351866</v>
      </c>
      <c r="AR60" s="154">
        <f t="shared" si="17"/>
        <v>7.113465704846611</v>
      </c>
      <c r="AS60" s="154"/>
      <c r="AT60" s="153">
        <f t="shared" si="2"/>
        <v>254.6487111725676</v>
      </c>
      <c r="AV60" s="153">
        <f t="shared" si="3"/>
        <v>834.06031799390792</v>
      </c>
      <c r="AW60" s="273"/>
      <c r="AX60" s="155">
        <f t="shared" si="8"/>
        <v>1088.7090291664756</v>
      </c>
      <c r="AZ60" s="146">
        <f>+IF(AZ59&gt;$G$13+$G$14,XX,AZ59+1)</f>
        <v>2035</v>
      </c>
      <c r="BA60" s="117"/>
      <c r="BB60" s="154">
        <f t="shared" si="18"/>
        <v>104.41267043872793</v>
      </c>
      <c r="BD60" s="154">
        <f t="shared" si="19"/>
        <v>22.701451155232061</v>
      </c>
      <c r="BF60" s="153">
        <f t="shared" si="9"/>
        <v>56.446993968395667</v>
      </c>
      <c r="BH60" s="235"/>
    </row>
    <row r="61" spans="1:60" ht="12">
      <c r="A61" s="235"/>
      <c r="C61">
        <f>+IF(C60&gt;$G$13+$G$14,XX,C60+1)</f>
        <v>2036</v>
      </c>
      <c r="E61" s="169">
        <f t="shared" si="10"/>
        <v>2.5000000000000001E-2</v>
      </c>
      <c r="G61" s="18">
        <f t="shared" si="11"/>
        <v>13140</v>
      </c>
      <c r="I61" s="28">
        <f>I60*(1+$E61)</f>
        <v>351.56114248860848</v>
      </c>
      <c r="K61" s="28">
        <f t="shared" si="12"/>
        <v>0</v>
      </c>
      <c r="M61" s="28">
        <f t="shared" si="13"/>
        <v>0</v>
      </c>
      <c r="O61" s="270"/>
      <c r="Q61" s="28"/>
      <c r="S61" s="18">
        <v>0</v>
      </c>
      <c r="U61" s="18">
        <f t="shared" si="4"/>
        <v>1115.9267548956373</v>
      </c>
      <c r="W61" s="18">
        <f t="shared" si="0"/>
        <v>-1115.9267548956373</v>
      </c>
      <c r="Y61" s="271">
        <f t="shared" si="5"/>
        <v>-84.925932640459465</v>
      </c>
      <c r="Z61" s="235"/>
      <c r="AB61" s="146">
        <f>+IF(AB60&gt;$G$13+$G$14,XX,AB60+1)</f>
        <v>2036</v>
      </c>
      <c r="AC61" s="117"/>
      <c r="AD61" s="151">
        <f t="shared" si="1"/>
        <v>13140</v>
      </c>
      <c r="AF61" s="154">
        <f t="shared" si="14"/>
        <v>124.59327226847753</v>
      </c>
      <c r="AH61" s="154">
        <f t="shared" si="15"/>
        <v>15.289250013441704</v>
      </c>
      <c r="AJ61" s="154">
        <f t="shared" si="16"/>
        <v>3.571713420307197</v>
      </c>
      <c r="AL61" s="153">
        <f t="shared" si="6"/>
        <v>318.87309776948729</v>
      </c>
      <c r="AN61" s="154">
        <f>INDEX('(2.2)_Forward_Price_Curve'!$G:$G,MATCH($AB61,'(2.2)_Forward_Price_Curve'!$C:$C,0),1)</f>
        <v>8.0642896123868582</v>
      </c>
      <c r="AP61" s="154">
        <f t="shared" si="7"/>
        <v>57.77048044886066</v>
      </c>
      <c r="AR61" s="154">
        <f t="shared" si="17"/>
        <v>7.2913023474677754</v>
      </c>
      <c r="AS61" s="154"/>
      <c r="AT61" s="153">
        <f t="shared" si="2"/>
        <v>261.01492895188176</v>
      </c>
      <c r="AV61" s="153">
        <f t="shared" si="3"/>
        <v>854.91182594375562</v>
      </c>
      <c r="AW61" s="273"/>
      <c r="AX61" s="155">
        <f t="shared" si="8"/>
        <v>1115.9267548956373</v>
      </c>
      <c r="AZ61" s="146">
        <f>+IF(AZ60&gt;$G$13+$G$14,XX,AZ60+1)</f>
        <v>2036</v>
      </c>
      <c r="BA61" s="117"/>
      <c r="BB61" s="154">
        <f t="shared" si="18"/>
        <v>107.02298719969612</v>
      </c>
      <c r="BD61" s="154">
        <f t="shared" si="19"/>
        <v>23.268987434112859</v>
      </c>
      <c r="BF61" s="153">
        <f t="shared" si="9"/>
        <v>57.858168817605559</v>
      </c>
      <c r="BH61" s="235"/>
    </row>
    <row r="62" spans="1:60" ht="12">
      <c r="A62" s="235"/>
      <c r="C62">
        <f>+IF(C61&gt;$G$13+$G$14,XX,C61+1)</f>
        <v>2037</v>
      </c>
      <c r="E62" s="169">
        <f t="shared" si="10"/>
        <v>2.5000000000000001E-2</v>
      </c>
      <c r="G62" s="18">
        <f t="shared" si="11"/>
        <v>13140</v>
      </c>
      <c r="I62" s="28">
        <f t="shared" si="20"/>
        <v>360.35017105082369</v>
      </c>
      <c r="K62" s="28">
        <f t="shared" si="12"/>
        <v>0</v>
      </c>
      <c r="M62" s="28">
        <f t="shared" si="13"/>
        <v>0</v>
      </c>
      <c r="O62" s="270"/>
      <c r="Q62" s="28"/>
      <c r="S62" s="18">
        <v>0</v>
      </c>
      <c r="U62" s="18">
        <f t="shared" si="4"/>
        <v>1143.8249237680279</v>
      </c>
      <c r="W62" s="18">
        <f t="shared" si="0"/>
        <v>-1143.8249237680279</v>
      </c>
      <c r="Y62" s="271">
        <f t="shared" si="5"/>
        <v>-87.049080956470917</v>
      </c>
      <c r="Z62" s="235"/>
      <c r="AB62" s="146">
        <f>+IF(AB61&gt;$G$13+$G$14,XX,AB61+1)</f>
        <v>2037</v>
      </c>
      <c r="AC62" s="117"/>
      <c r="AD62" s="151">
        <f t="shared" si="1"/>
        <v>13140</v>
      </c>
      <c r="AF62" s="154">
        <f t="shared" si="14"/>
        <v>127.70810407518947</v>
      </c>
      <c r="AH62" s="154">
        <f t="shared" si="15"/>
        <v>15.671481263777745</v>
      </c>
      <c r="AJ62" s="154">
        <f t="shared" si="16"/>
        <v>3.6610062558148764</v>
      </c>
      <c r="AL62" s="153">
        <f t="shared" si="6"/>
        <v>326.84492521372437</v>
      </c>
      <c r="AN62" s="154">
        <f>INDEX('(2.2)_Forward_Price_Curve'!$G:$G,MATCH($AB62,'(2.2)_Forward_Price_Curve'!$C:$C,0),1)</f>
        <v>8.2658968526965282</v>
      </c>
      <c r="AP62" s="154">
        <f t="shared" si="7"/>
        <v>59.214742460082171</v>
      </c>
      <c r="AR62" s="154">
        <f t="shared" si="17"/>
        <v>7.4735849061544695</v>
      </c>
      <c r="AS62" s="154"/>
      <c r="AT62" s="153">
        <f t="shared" si="2"/>
        <v>267.54030217567868</v>
      </c>
      <c r="AV62" s="153">
        <f t="shared" si="3"/>
        <v>876.28462159234937</v>
      </c>
      <c r="AW62" s="273"/>
      <c r="AX62" s="155">
        <f t="shared" si="8"/>
        <v>1143.8249237680279</v>
      </c>
      <c r="AZ62" s="146">
        <f>+IF(AZ61&gt;$G$13+$G$14,XX,AZ61+1)</f>
        <v>2037</v>
      </c>
      <c r="BA62" s="117"/>
      <c r="BB62" s="154">
        <f t="shared" si="18"/>
        <v>109.69856187968851</v>
      </c>
      <c r="BD62" s="154">
        <f t="shared" si="19"/>
        <v>23.850712119965678</v>
      </c>
      <c r="BF62" s="153">
        <f t="shared" si="9"/>
        <v>59.304623038045683</v>
      </c>
      <c r="BH62" s="235"/>
    </row>
    <row r="63" spans="1:60" ht="12">
      <c r="A63" s="235"/>
      <c r="E63" s="169"/>
      <c r="G63" s="18"/>
      <c r="I63" s="28"/>
      <c r="K63" s="28"/>
      <c r="M63" s="28"/>
      <c r="O63" s="270"/>
      <c r="Q63" s="28"/>
      <c r="S63" s="18"/>
      <c r="U63" s="18"/>
      <c r="W63" s="18"/>
      <c r="Y63" s="271"/>
      <c r="Z63" s="235"/>
      <c r="AB63" s="146"/>
      <c r="AC63" s="117"/>
      <c r="AD63" s="151"/>
      <c r="AF63" s="154"/>
      <c r="AH63" s="154"/>
      <c r="AJ63" s="154"/>
      <c r="AL63" s="153"/>
      <c r="AN63" s="154"/>
      <c r="AP63" s="154"/>
      <c r="AR63" s="154"/>
      <c r="AS63" s="154"/>
      <c r="AT63" s="153"/>
      <c r="AV63" s="153"/>
      <c r="AW63" s="273"/>
      <c r="AX63" s="155"/>
      <c r="AZ63" s="146"/>
      <c r="BA63" s="117"/>
      <c r="BB63" s="154"/>
      <c r="BD63" s="154"/>
      <c r="BF63" s="153"/>
      <c r="BH63" s="235"/>
    </row>
    <row r="64" spans="1:60" ht="12">
      <c r="A64" s="235"/>
      <c r="E64" s="169"/>
      <c r="G64" s="18"/>
      <c r="I64" s="28"/>
      <c r="K64" s="28"/>
      <c r="M64" s="28"/>
      <c r="O64" s="270"/>
      <c r="Q64" s="28"/>
      <c r="S64" s="18"/>
      <c r="U64" s="18"/>
      <c r="W64" s="18"/>
      <c r="Y64" s="271"/>
      <c r="Z64" s="235"/>
      <c r="AB64" s="146"/>
      <c r="AC64" s="117"/>
      <c r="AD64" s="151"/>
      <c r="AF64" s="154"/>
      <c r="AH64" s="154"/>
      <c r="AJ64" s="154"/>
      <c r="AL64" s="153"/>
      <c r="AN64" s="154"/>
      <c r="AP64" s="154"/>
      <c r="AR64" s="154"/>
      <c r="AS64" s="154"/>
      <c r="AT64" s="153"/>
      <c r="AV64" s="153"/>
      <c r="AW64" s="273"/>
      <c r="AX64" s="155"/>
      <c r="AZ64" s="146"/>
      <c r="BA64" s="117"/>
      <c r="BB64" s="154"/>
      <c r="BD64" s="154"/>
      <c r="BF64" s="153"/>
      <c r="BH64" s="235"/>
    </row>
    <row r="65" spans="1:60" ht="12">
      <c r="A65" s="235"/>
      <c r="E65" s="169"/>
      <c r="G65" s="18"/>
      <c r="I65" s="28"/>
      <c r="K65" s="28"/>
      <c r="M65" s="28"/>
      <c r="O65" s="270"/>
      <c r="Q65" s="28"/>
      <c r="S65" s="18"/>
      <c r="U65" s="18"/>
      <c r="W65" s="18"/>
      <c r="Y65" s="271"/>
      <c r="Z65" s="235"/>
      <c r="AB65" s="146"/>
      <c r="AC65" s="117"/>
      <c r="AD65" s="151"/>
      <c r="AF65" s="154"/>
      <c r="AH65" s="154"/>
      <c r="AJ65" s="154"/>
      <c r="AL65" s="153"/>
      <c r="AN65" s="154"/>
      <c r="AP65" s="154"/>
      <c r="AR65" s="154"/>
      <c r="AS65" s="154"/>
      <c r="AT65" s="153"/>
      <c r="AV65" s="153"/>
      <c r="AW65" s="273"/>
      <c r="AX65" s="155"/>
      <c r="AZ65" s="146"/>
      <c r="BA65" s="117"/>
      <c r="BB65" s="154"/>
      <c r="BD65" s="154"/>
      <c r="BF65" s="153"/>
      <c r="BH65" s="235"/>
    </row>
    <row r="66" spans="1:60" ht="12">
      <c r="A66" s="235"/>
      <c r="C66" s="4" t="str">
        <f>G14&amp;"-year Nominal Levelized at "&amp;TEXT($G$18,"#.00%")</f>
        <v>35-year Nominal Levelized at 8.70%</v>
      </c>
      <c r="E66" s="169"/>
      <c r="G66" s="18">
        <f>+-PMT($G$18,$G$14,NPV($G$18,G28:G62))</f>
        <v>13140.000000000005</v>
      </c>
      <c r="I66" s="28">
        <f>+-PMT($G$18,$G$14,NPV($G$18,I28:I62))</f>
        <v>201.29288001746093</v>
      </c>
      <c r="K66" s="28">
        <f>+-PMT($G$18,$G$14,NPV($G$18,K28:K62))</f>
        <v>0</v>
      </c>
      <c r="M66" s="28">
        <f>+-PMT($G$18,$G$14,NPV($G$18,M28:M62))</f>
        <v>0</v>
      </c>
      <c r="O66" s="270">
        <f>+-PMT($G$18,$G$14,NPV($G$18,O28:O62))</f>
        <v>0</v>
      </c>
      <c r="Q66" s="28">
        <f>+-PMT($G$18,$G$14,NPV($G$18,Q28:Q62))</f>
        <v>0</v>
      </c>
      <c r="S66" s="285">
        <f>+-PMT($G$18,$G$14,NPV($G$18,S28:S62))</f>
        <v>51.351375492717658</v>
      </c>
      <c r="U66" s="18">
        <f>+-PMT($G$18,$G$14,NPV($G$18,U28:U62))</f>
        <v>645.67385605629227</v>
      </c>
      <c r="W66" s="18">
        <f>+-PMT($G$18,$G$14,NPV($G$18,W28:W62))</f>
        <v>-594.32248056357446</v>
      </c>
      <c r="Y66" s="271">
        <f>+-PMT($G$18,$G$14,NPV($G$18,Y28:Y62))</f>
        <v>-45.230021351870242</v>
      </c>
      <c r="Z66" s="235"/>
      <c r="AB66" s="146"/>
      <c r="AC66" s="117"/>
      <c r="AD66" s="151">
        <f>+-PMT($G$18,$G$14,NPV($G$18,AD28:AD62))</f>
        <v>13140.000000000005</v>
      </c>
      <c r="AF66" s="154">
        <f>+-PMT($G$18,$G$14,NPV($G$18,AF28:AF62))</f>
        <v>71.338198608039065</v>
      </c>
      <c r="AH66" s="154">
        <f>+-PMT($G$18,$G$14,NPV($G$18,AH28:AH62))</f>
        <v>8.7541448600577514</v>
      </c>
      <c r="AJ66" s="154">
        <f>+-PMT($G$18,$G$14,NPV($G$18,AJ28:AJ62))</f>
        <v>2.0450510425621</v>
      </c>
      <c r="AL66" s="153">
        <f>+-PMT($G$18,$G$14,NPV($G$18,AL28:AL62))</f>
        <v>182.57673119317872</v>
      </c>
      <c r="AN66" s="154">
        <f>+-PMT($G$18,$G$14,NPV($G$18,AN28:AN62))</f>
        <v>4.6888464905821561</v>
      </c>
      <c r="AP66" s="154">
        <f>+-PMT($G$18,$G$14,NPV($G$18,AP28:AP62))</f>
        <v>33.58968086858075</v>
      </c>
      <c r="AR66" s="154">
        <f>+-PMT($G$18,$G$14,NPV($G$18,AR28:AR62))</f>
        <v>4.1747709607793713</v>
      </c>
      <c r="AS66" s="154"/>
      <c r="AT66" s="153">
        <f>+-PMT($G$18,$G$14,NPV($G$18,AT28:AT62))</f>
        <v>149.44895901850032</v>
      </c>
      <c r="AV66" s="153">
        <f>+-PMT($G$18,$G$14,NPV($G$18,AV28:AV62))</f>
        <v>496.22489703779212</v>
      </c>
      <c r="AW66" s="273"/>
      <c r="AX66" s="155">
        <f>+-PMT($G$18,$G$14,NPV($G$18,AX28:AX62))</f>
        <v>645.67385605629227</v>
      </c>
      <c r="AZ66" s="146"/>
      <c r="BA66" s="117"/>
      <c r="BB66" s="154">
        <f>+-PMT($G$18,$G$14,NPV($G$18,BB28:BB62))</f>
        <v>61.278004642383742</v>
      </c>
      <c r="BD66" s="154">
        <f>+-PMT($G$18,$G$14,NPV($G$18,BD28:BD62))</f>
        <v>13.323092144219144</v>
      </c>
      <c r="BF66" s="153">
        <f>+-PMT($G$18,$G$14,NPV($G$18,BF28:BF62))</f>
        <v>33.127772174678398</v>
      </c>
      <c r="BH66" s="235"/>
    </row>
    <row r="67" spans="1:60">
      <c r="A67" s="235"/>
      <c r="E67" s="169"/>
      <c r="Z67" s="235"/>
      <c r="AA67" s="311"/>
      <c r="AX67" s="235"/>
      <c r="AY67" s="311"/>
      <c r="BH67" s="235"/>
    </row>
    <row r="68" spans="1:60">
      <c r="A68" s="235"/>
      <c r="E68" s="169"/>
      <c r="Z68" s="235"/>
      <c r="AA68" s="311"/>
      <c r="AX68" s="235"/>
      <c r="AY68" s="311"/>
      <c r="BH68" s="235"/>
    </row>
    <row r="69" spans="1:60">
      <c r="A69" s="235"/>
      <c r="B69" s="238"/>
      <c r="C69" s="277"/>
      <c r="D69" s="277"/>
      <c r="E69" s="278"/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39"/>
      <c r="AA69" s="311"/>
      <c r="AB69" s="238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77"/>
      <c r="AP69" s="277"/>
      <c r="AQ69" s="277"/>
      <c r="AR69" s="277"/>
      <c r="AS69" s="277"/>
      <c r="AT69" s="277"/>
      <c r="AU69" s="277"/>
      <c r="AV69" s="277"/>
      <c r="AW69" s="277"/>
      <c r="AX69" s="239"/>
      <c r="AY69" s="311"/>
      <c r="AZ69" s="238"/>
      <c r="BA69" s="277"/>
      <c r="BB69" s="277"/>
      <c r="BC69" s="277"/>
      <c r="BD69" s="277"/>
      <c r="BE69" s="277"/>
      <c r="BF69" s="277"/>
      <c r="BG69" s="277"/>
      <c r="BH69" s="239"/>
    </row>
    <row r="70" spans="1:60">
      <c r="E70" s="169"/>
    </row>
    <row r="71" spans="1:60">
      <c r="E71" s="169"/>
    </row>
    <row r="72" spans="1:60">
      <c r="E72" s="169"/>
    </row>
    <row r="73" spans="1:60">
      <c r="E73" s="169"/>
    </row>
    <row r="74" spans="1:60">
      <c r="E74" s="169"/>
    </row>
    <row r="75" spans="1:60">
      <c r="E75" s="169"/>
    </row>
    <row r="76" spans="1:60">
      <c r="E76" s="169"/>
    </row>
    <row r="77" spans="1:60">
      <c r="E77" s="169"/>
    </row>
    <row r="78" spans="1:60">
      <c r="E78" s="169"/>
    </row>
    <row r="79" spans="1:60">
      <c r="E79" s="169"/>
    </row>
    <row r="80" spans="1:60">
      <c r="E80" s="169"/>
    </row>
  </sheetData>
  <pageMargins left="0.25" right="0.25" top="0.25" bottom="0.75" header="0.3" footer="0.3"/>
  <pageSetup paperSize="5" scale="46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0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146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4.2</v>
      </c>
      <c r="H11" s="252"/>
      <c r="AB11" s="122" t="s">
        <v>99</v>
      </c>
      <c r="AC11" s="123"/>
      <c r="AD11" s="123"/>
      <c r="AE11" s="123"/>
      <c r="AF11" s="281">
        <f>+G11*(G12/AJ16)</f>
        <v>4.0329782182807907</v>
      </c>
      <c r="AG11" s="127"/>
      <c r="AH11" s="123" t="s">
        <v>100</v>
      </c>
      <c r="AI11" s="124"/>
      <c r="AJ11" s="166">
        <f>'(2.1)_Proxy Resources'!N94</f>
        <v>7.5808934397681389</v>
      </c>
      <c r="AK11" s="235"/>
      <c r="AZ11" s="122" t="s">
        <v>99</v>
      </c>
      <c r="BA11" s="123"/>
      <c r="BB11" s="123"/>
      <c r="BC11" s="123"/>
      <c r="BD11" s="134">
        <f>(AF11*AF13-G11*G19)</f>
        <v>2.0692795881438046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0.4675472928897586</v>
      </c>
      <c r="H12" s="252"/>
      <c r="AB12" s="122" t="s">
        <v>32</v>
      </c>
      <c r="AC12" s="123"/>
      <c r="AD12" s="123"/>
      <c r="AE12" s="123"/>
      <c r="AF12" s="131">
        <f>+AD58/8760/AF11</f>
        <v>0.486910299003323</v>
      </c>
      <c r="AG12" s="127"/>
      <c r="AH12" s="117" t="s">
        <v>101</v>
      </c>
      <c r="AI12" s="118"/>
      <c r="AJ12" s="117">
        <v>2008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2009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Resources'!$O$94</f>
        <v>2.8538881199911357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29</v>
      </c>
      <c r="H14" s="252"/>
      <c r="AB14" s="122" t="s">
        <v>104</v>
      </c>
      <c r="AC14" s="123"/>
      <c r="AD14" s="123"/>
      <c r="AE14" s="123"/>
      <c r="AF14" s="134">
        <f>'(2.1)_Proxy Resources'!H94*(1+E28)</f>
        <v>7277.4747099407059</v>
      </c>
      <c r="AG14" s="127"/>
      <c r="AH14" s="117" t="s">
        <v>148</v>
      </c>
      <c r="AI14" s="118"/>
      <c r="AJ14" s="166">
        <f>'(2.1)_Proxy Resources'!P94</f>
        <v>6.0023887836530019</v>
      </c>
      <c r="AK14" s="235"/>
      <c r="AL14" t="s">
        <v>193</v>
      </c>
      <c r="AZ14" s="122" t="s">
        <v>192</v>
      </c>
      <c r="BA14" s="123"/>
      <c r="BB14" s="123"/>
      <c r="BC14" s="123"/>
      <c r="BD14" s="167">
        <f>'(2.1)_Proxy Resources'!J95</f>
        <v>747</v>
      </c>
      <c r="BE14" s="132"/>
    </row>
    <row r="15" spans="1:57" ht="12">
      <c r="A15" t="s">
        <v>138</v>
      </c>
      <c r="B15" s="250"/>
      <c r="C15" s="231" t="s">
        <v>107</v>
      </c>
      <c r="D15" s="231"/>
      <c r="E15" s="231"/>
      <c r="F15" s="231"/>
      <c r="G15" s="283">
        <v>171.69496414373259</v>
      </c>
      <c r="H15" s="252"/>
      <c r="AB15" s="122" t="s">
        <v>192</v>
      </c>
      <c r="AC15" s="123"/>
      <c r="AD15" s="123"/>
      <c r="AE15" s="123"/>
      <c r="AF15" s="167">
        <f>'(2.1)_Proxy Resources'!J94</f>
        <v>1174.8198494434653</v>
      </c>
      <c r="AG15" s="127"/>
      <c r="AH15" s="117" t="s">
        <v>145</v>
      </c>
      <c r="AI15" s="118"/>
      <c r="AJ15" s="166">
        <f>'(2.1)_Proxy Resources'!$P$81</f>
        <v>2.302423580786026</v>
      </c>
      <c r="AK15" s="235"/>
      <c r="AZ15" s="122" t="s">
        <v>108</v>
      </c>
      <c r="BA15" s="123"/>
      <c r="BB15" s="123"/>
      <c r="BC15" s="123"/>
      <c r="BD15" s="136">
        <f>'(2.1)_Proxy Resources'!K95</f>
        <v>8.6199999999999999E-2</v>
      </c>
      <c r="BE15" s="132"/>
    </row>
    <row r="16" spans="1:57" ht="12">
      <c r="A16" t="s">
        <v>138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Resources'!K92</f>
        <v>8.5860000000000006E-2</v>
      </c>
      <c r="AG16" s="127"/>
      <c r="AH16" s="117" t="s">
        <v>110</v>
      </c>
      <c r="AI16" s="124"/>
      <c r="AJ16" s="137">
        <f>'(2.1)_Proxy Resources'!$D$81</f>
        <v>0.48691029900332239</v>
      </c>
      <c r="AK16" s="235"/>
      <c r="AZ16" s="122" t="s">
        <v>100</v>
      </c>
      <c r="BA16" s="124"/>
      <c r="BB16" s="166">
        <f>'(2.1)_Proxy Resources'!N95</f>
        <v>4.24</v>
      </c>
      <c r="BE16" s="130"/>
    </row>
    <row r="17" spans="1:60" ht="12">
      <c r="A17" t="s">
        <v>138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v>7.3599999999999999E-2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v>0.4675472928897586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2009</v>
      </c>
      <c r="E28" s="169">
        <f>+INDEX('(2.2)_Forward_Price_Curve'!$U:$U,MATCH($C28,'(2.2)_Forward_Price_Curve'!C:C,0))</f>
        <v>1.7999999999999999E-2</v>
      </c>
      <c r="G28" s="18">
        <v>17202</v>
      </c>
      <c r="I28" s="268">
        <f>$G$15*(1+E28)</f>
        <v>174.78547349831979</v>
      </c>
      <c r="J28" s="268"/>
      <c r="K28" s="268">
        <f>$G$16</f>
        <v>0</v>
      </c>
      <c r="L28" s="269"/>
      <c r="M28" s="268">
        <f>$G$17</f>
        <v>0</v>
      </c>
      <c r="O28" s="270"/>
      <c r="Q28" s="28"/>
      <c r="S28" s="18">
        <f>(I28*$G$11*1000+(K28+M28+O28+Q28)*G28)/1000</f>
        <v>734.09898869294307</v>
      </c>
      <c r="U28" s="18">
        <f t="shared" ref="U28:U56" si="0">AX28</f>
        <v>1975.7103258681059</v>
      </c>
      <c r="W28" s="18">
        <f t="shared" ref="W28:W56" si="1">S28-U28</f>
        <v>-1241.6113371751628</v>
      </c>
      <c r="Y28" s="271">
        <f>+W28*1000/G28</f>
        <v>-72.178312822646362</v>
      </c>
      <c r="Z28" s="235"/>
      <c r="AB28" s="146">
        <f>$C$28</f>
        <v>2009</v>
      </c>
      <c r="AC28" s="117"/>
      <c r="AD28" s="151">
        <f t="shared" ref="AD28:AD56" si="2">G28</f>
        <v>17202</v>
      </c>
      <c r="AF28" s="152">
        <f>$AF$15*$AF$16*(1+E28)</f>
        <v>102.68569285413383</v>
      </c>
      <c r="AG28" s="272"/>
      <c r="AH28" s="152">
        <f>$AJ$11*(1+E28)</f>
        <v>7.7173495216839658</v>
      </c>
      <c r="AI28" s="272"/>
      <c r="AJ28" s="152">
        <f>$AJ$13*(1+E28)</f>
        <v>2.9052581061509763</v>
      </c>
      <c r="AK28" s="272"/>
      <c r="AL28" s="153">
        <f>((AF28+AH28)*$AF$11*1000+AJ28*AD28)/1000</f>
        <v>495.22931507561344</v>
      </c>
      <c r="AN28" s="154">
        <f>INDEX('(2.2)_Forward_Price_Curve'!$J:$J,MATCH($AB28,'(2.2)_Forward_Price_Curve'!$C:$C,0),1)</f>
        <v>11.848729166666667</v>
      </c>
      <c r="AO28" s="279"/>
      <c r="AP28" s="154">
        <f>AN28*$AF$14/1000+$AJ$14/(1+E29)</f>
        <v>92.125083027900644</v>
      </c>
      <c r="AQ28" s="272"/>
      <c r="AR28" s="152">
        <f>$AJ$15*(1+E28)</f>
        <v>2.3438672052401746</v>
      </c>
      <c r="AS28" s="152"/>
      <c r="AT28" s="153">
        <f t="shared" ref="AT28:AT56" si="3">AL28-BF28</f>
        <v>350.65544395761754</v>
      </c>
      <c r="AU28" s="272"/>
      <c r="AV28" s="153">
        <f t="shared" ref="AV28:AV56" si="4">(AP28+AR28)*AD28/1000</f>
        <v>1625.0548819104883</v>
      </c>
      <c r="AW28" s="273"/>
      <c r="AX28" s="155">
        <f>AT28+AV28</f>
        <v>1975.7103258681059</v>
      </c>
      <c r="AZ28" s="146">
        <f>$C$28</f>
        <v>2009</v>
      </c>
      <c r="BA28" s="117"/>
      <c r="BB28" s="152">
        <f>$BD$14*$BD$15*(1+E28)</f>
        <v>65.550445199999999</v>
      </c>
      <c r="BD28" s="152">
        <f>$BB$16*(1+E28)</f>
        <v>4.3163200000000002</v>
      </c>
      <c r="BE28" s="272"/>
      <c r="BF28" s="153">
        <f>(BB28+BD28)*$BD$11</f>
        <v>144.57387111799591</v>
      </c>
      <c r="BG28" s="272"/>
      <c r="BH28" s="156"/>
    </row>
    <row r="29" spans="1:60" ht="12">
      <c r="B29" s="2"/>
      <c r="C29">
        <f>+IF(C28&gt;$G$13+$G$14,XX,C28+1)</f>
        <v>2010</v>
      </c>
      <c r="E29" s="169">
        <f>+INDEX('(2.2)_Forward_Price_Curve'!$U:$U,MATCH($C29,'(2.2)_Forward_Price_Curve'!C:C,0))</f>
        <v>1.7999999999999999E-2</v>
      </c>
      <c r="G29" s="18">
        <f>$G$28</f>
        <v>17202</v>
      </c>
      <c r="I29" s="28">
        <f>I28*(1+$E29)</f>
        <v>177.93161202128954</v>
      </c>
      <c r="K29" s="28">
        <f>K28*(1+$E29)</f>
        <v>0</v>
      </c>
      <c r="M29" s="28">
        <f>M28*(1+$E29)</f>
        <v>0</v>
      </c>
      <c r="O29" s="270"/>
      <c r="Q29" s="28"/>
      <c r="S29" s="18">
        <f t="shared" ref="S29:S56" si="5">(I29*$G$11*1000+(K29+M29+O29+Q29)*G29)/1000</f>
        <v>747.31277048941604</v>
      </c>
      <c r="U29" s="18">
        <f t="shared" si="0"/>
        <v>1857.9024537566165</v>
      </c>
      <c r="W29" s="18">
        <f t="shared" si="1"/>
        <v>-1110.5896832672006</v>
      </c>
      <c r="Y29" s="271">
        <f t="shared" ref="Y29:Y56" si="6">+W29*1000/G29</f>
        <v>-64.56166046199283</v>
      </c>
      <c r="Z29" s="235"/>
      <c r="AB29" s="146">
        <f>+IF(AB28&gt;$G$13+$G$14,XX,AB28+1)</f>
        <v>2010</v>
      </c>
      <c r="AC29" s="117"/>
      <c r="AD29" s="151">
        <f t="shared" si="2"/>
        <v>17202</v>
      </c>
      <c r="AF29" s="154">
        <f>AF28*(1+$E29)</f>
        <v>104.53403532550824</v>
      </c>
      <c r="AH29" s="154">
        <f>AH28*(1+$E29)</f>
        <v>7.8562618130742772</v>
      </c>
      <c r="AJ29" s="154">
        <f>AJ28*(1+$E29)</f>
        <v>2.957552752061694</v>
      </c>
      <c r="AL29" s="153">
        <f t="shared" ref="AL29:AL56" si="7">((AF29+AH29)*$AF$11*1000+AJ29*AD29)/1000</f>
        <v>504.14344274697447</v>
      </c>
      <c r="AN29" s="154">
        <f>INDEX('(2.2)_Forward_Price_Curve'!$J:$J,MATCH($AB29,'(2.2)_Forward_Price_Curve'!$C:$C,0),1)</f>
        <v>10.836874999999999</v>
      </c>
      <c r="AP29" s="154">
        <f>AN29*$AF$14/1000+$AJ$14</f>
        <v>84.867472530941683</v>
      </c>
      <c r="AR29" s="154">
        <f>AR28*(1+$E29)</f>
        <v>2.3860568149344976</v>
      </c>
      <c r="AS29" s="154"/>
      <c r="AT29" s="153">
        <f t="shared" si="3"/>
        <v>356.96724194885462</v>
      </c>
      <c r="AV29" s="153">
        <f t="shared" si="4"/>
        <v>1500.935211807762</v>
      </c>
      <c r="AW29" s="273"/>
      <c r="AX29" s="155">
        <f t="shared" ref="AX29:AX56" si="8">AT29+AV29</f>
        <v>1857.9024537566165</v>
      </c>
      <c r="AZ29" s="146">
        <f>+IF(AZ28&gt;$G$13+$G$14,XX,AZ28+1)</f>
        <v>2010</v>
      </c>
      <c r="BA29" s="117"/>
      <c r="BB29" s="154">
        <f>BB28*(1+$E29)</f>
        <v>66.730353213599997</v>
      </c>
      <c r="BD29" s="154">
        <f>BD28*(1+$E29)</f>
        <v>4.39401376</v>
      </c>
      <c r="BF29" s="153">
        <f t="shared" ref="BF29:BF51" si="9">(BB29+BD29)*$BD$11</f>
        <v>147.17620079811982</v>
      </c>
      <c r="BH29" s="157"/>
    </row>
    <row r="30" spans="1:60" ht="12">
      <c r="B30" s="2"/>
      <c r="C30">
        <f>+IF(C29&gt;$G$13+$G$14,XX,C29+1)</f>
        <v>2011</v>
      </c>
      <c r="E30" s="169">
        <f>+INDEX('(2.2)_Forward_Price_Curve'!$U:$U,MATCH($C30,'(2.2)_Forward_Price_Curve'!C:C,0))</f>
        <v>1.9E-2</v>
      </c>
      <c r="G30" s="18">
        <f t="shared" ref="G30:G56" si="10">$G$28</f>
        <v>17202</v>
      </c>
      <c r="I30" s="28">
        <f t="shared" ref="I30:I56" si="11">I29*(1+$E30)</f>
        <v>181.31231264969404</v>
      </c>
      <c r="K30" s="28">
        <f t="shared" ref="K30:K56" si="12">K29*(1+$E30)</f>
        <v>0</v>
      </c>
      <c r="M30" s="28">
        <f t="shared" ref="M30:M56" si="13">M29*(1+$E30)</f>
        <v>0</v>
      </c>
      <c r="O30" s="270"/>
      <c r="Q30" s="28"/>
      <c r="S30" s="18">
        <f t="shared" si="5"/>
        <v>761.51171312871497</v>
      </c>
      <c r="U30" s="18">
        <f t="shared" si="0"/>
        <v>1815.173911877725</v>
      </c>
      <c r="W30" s="18">
        <f t="shared" si="1"/>
        <v>-1053.66219874901</v>
      </c>
      <c r="Y30" s="271">
        <f t="shared" si="6"/>
        <v>-61.252307798454247</v>
      </c>
      <c r="Z30" s="235"/>
      <c r="AB30" s="146">
        <f>+IF(AB29&gt;$G$13+$G$14,XX,AB29+1)</f>
        <v>2011</v>
      </c>
      <c r="AC30" s="117"/>
      <c r="AD30" s="151">
        <f t="shared" si="2"/>
        <v>17202</v>
      </c>
      <c r="AF30" s="154">
        <f t="shared" ref="AF30:AF56" si="14">AF29*(1+$E30)</f>
        <v>106.52018199669288</v>
      </c>
      <c r="AH30" s="154">
        <f t="shared" ref="AH30:AH56" si="15">AH29*(1+$E30)</f>
        <v>8.0055307875226873</v>
      </c>
      <c r="AJ30" s="154">
        <f t="shared" ref="AJ30:AJ56" si="16">AJ29*(1+$E30)</f>
        <v>3.013746254350866</v>
      </c>
      <c r="AL30" s="153">
        <f t="shared" si="7"/>
        <v>513.72216815916681</v>
      </c>
      <c r="AN30" s="154">
        <f>INDEX('(2.2)_Forward_Price_Curve'!$J:$J,MATCH($AB30,'(2.2)_Forward_Price_Curve'!$C:$C,0),1)</f>
        <v>10.419479166666667</v>
      </c>
      <c r="AP30" s="154">
        <f>AN30*$AF$14/1000+$AJ$14*(1+E30)</f>
        <v>81.943930296713134</v>
      </c>
      <c r="AR30" s="154">
        <f t="shared" ref="AR30:AR56" si="17">AR29*(1+$E30)</f>
        <v>2.4313918944182529</v>
      </c>
      <c r="AS30" s="154"/>
      <c r="AT30" s="153">
        <f t="shared" si="3"/>
        <v>363.74961954588275</v>
      </c>
      <c r="AV30" s="153">
        <f t="shared" si="4"/>
        <v>1451.4242923318423</v>
      </c>
      <c r="AW30" s="273"/>
      <c r="AX30" s="155">
        <f t="shared" si="8"/>
        <v>1815.173911877725</v>
      </c>
      <c r="AZ30" s="146">
        <f>+IF(AZ29&gt;$G$13+$G$14,XX,AZ29+1)</f>
        <v>2011</v>
      </c>
      <c r="BA30" s="117"/>
      <c r="BB30" s="154">
        <f t="shared" ref="BB30:BB56" si="18">BB29*(1+$E30)</f>
        <v>67.998229924658389</v>
      </c>
      <c r="BD30" s="154">
        <f t="shared" ref="BD30:BD56" si="19">BD29*(1+$E30)</f>
        <v>4.4775000214399991</v>
      </c>
      <c r="BF30" s="153">
        <f t="shared" si="9"/>
        <v>149.97254861328406</v>
      </c>
      <c r="BH30" s="157"/>
    </row>
    <row r="31" spans="1:60" ht="12">
      <c r="B31" s="2"/>
      <c r="C31">
        <f>+IF(C30&gt;$G$13+$G$14,XX,C30+1)</f>
        <v>2012</v>
      </c>
      <c r="E31" s="169">
        <f>+INDEX('(2.2)_Forward_Price_Curve'!$U:$U,MATCH($C31,'(2.2)_Forward_Price_Curve'!C:C,0))</f>
        <v>0.02</v>
      </c>
      <c r="G31" s="18">
        <f t="shared" si="10"/>
        <v>17202</v>
      </c>
      <c r="I31" s="28">
        <f t="shared" si="11"/>
        <v>184.93855890268793</v>
      </c>
      <c r="K31" s="28">
        <f t="shared" si="12"/>
        <v>0</v>
      </c>
      <c r="M31" s="28">
        <f t="shared" si="13"/>
        <v>0</v>
      </c>
      <c r="O31" s="270"/>
      <c r="Q31" s="28"/>
      <c r="S31" s="18">
        <f t="shared" si="5"/>
        <v>776.74194739128939</v>
      </c>
      <c r="U31" s="18">
        <f t="shared" si="0"/>
        <v>1824.5407010439374</v>
      </c>
      <c r="W31" s="18">
        <f t="shared" si="1"/>
        <v>-1047.798753652648</v>
      </c>
      <c r="Y31" s="271">
        <f t="shared" si="6"/>
        <v>-60.911449462425765</v>
      </c>
      <c r="Z31" s="235"/>
      <c r="AB31" s="146">
        <f>+IF(AB30&gt;$G$13+$G$14,XX,AB30+1)</f>
        <v>2012</v>
      </c>
      <c r="AC31" s="117"/>
      <c r="AD31" s="151">
        <f t="shared" si="2"/>
        <v>17202</v>
      </c>
      <c r="AF31" s="154">
        <f t="shared" si="14"/>
        <v>108.65058563662674</v>
      </c>
      <c r="AH31" s="154">
        <f t="shared" si="15"/>
        <v>8.1656414032731419</v>
      </c>
      <c r="AJ31" s="154">
        <f t="shared" si="16"/>
        <v>3.0740211794378833</v>
      </c>
      <c r="AL31" s="153">
        <f t="shared" si="7"/>
        <v>523.99661152235024</v>
      </c>
      <c r="AN31" s="154">
        <f>INDEX('(2.2)_Forward_Price_Curve'!$J:$J,MATCH($AB31,'(2.2)_Forward_Price_Curve'!$C:$C,0),1)</f>
        <v>10.428681771666666</v>
      </c>
      <c r="AP31" s="154">
        <f>AN31*$AF$14/1000+$AJ$14*(1+E31)</f>
        <v>82.016904410649843</v>
      </c>
      <c r="AR31" s="154">
        <f t="shared" si="17"/>
        <v>2.480019732306618</v>
      </c>
      <c r="AS31" s="154"/>
      <c r="AT31" s="153">
        <f t="shared" si="3"/>
        <v>371.02461193680051</v>
      </c>
      <c r="AV31" s="153">
        <f t="shared" si="4"/>
        <v>1453.5160891071368</v>
      </c>
      <c r="AW31" s="273"/>
      <c r="AX31" s="155">
        <f t="shared" si="8"/>
        <v>1824.5407010439374</v>
      </c>
      <c r="AZ31" s="146">
        <f>+IF(AZ30&gt;$G$13+$G$14,XX,AZ30+1)</f>
        <v>2012</v>
      </c>
      <c r="BA31" s="117"/>
      <c r="BB31" s="154">
        <f t="shared" si="18"/>
        <v>69.358194523151553</v>
      </c>
      <c r="BD31" s="154">
        <f t="shared" si="19"/>
        <v>4.5670500218687993</v>
      </c>
      <c r="BF31" s="153">
        <f t="shared" si="9"/>
        <v>152.97199958554975</v>
      </c>
      <c r="BH31" s="157"/>
    </row>
    <row r="32" spans="1:60" ht="12">
      <c r="B32" s="2"/>
      <c r="C32">
        <f>+IF(C31&gt;$G$13+$G$14,XX,C31+1)</f>
        <v>2013</v>
      </c>
      <c r="E32" s="169">
        <f>+INDEX('(2.2)_Forward_Price_Curve'!$U:$U,MATCH($C32,'(2.2)_Forward_Price_Curve'!C:C,0))</f>
        <v>0.02</v>
      </c>
      <c r="G32" s="18">
        <f t="shared" si="10"/>
        <v>17202</v>
      </c>
      <c r="I32" s="28">
        <f t="shared" si="11"/>
        <v>188.63733008074169</v>
      </c>
      <c r="K32" s="28">
        <f t="shared" si="12"/>
        <v>0</v>
      </c>
      <c r="M32" s="28">
        <f t="shared" si="13"/>
        <v>0</v>
      </c>
      <c r="O32" s="270"/>
      <c r="Q32" s="28"/>
      <c r="S32" s="18">
        <f t="shared" si="5"/>
        <v>792.27678633911512</v>
      </c>
      <c r="U32" s="18">
        <f t="shared" si="0"/>
        <v>1858.3734562632915</v>
      </c>
      <c r="W32" s="18">
        <f t="shared" si="1"/>
        <v>-1066.0966699241762</v>
      </c>
      <c r="Y32" s="271">
        <f t="shared" si="6"/>
        <v>-61.975158116740865</v>
      </c>
      <c r="Z32" s="235"/>
      <c r="AB32" s="146">
        <f>+IF(AB31&gt;$G$13+$G$14,XX,AB31+1)</f>
        <v>2013</v>
      </c>
      <c r="AC32" s="117"/>
      <c r="AD32" s="151">
        <f t="shared" si="2"/>
        <v>17202</v>
      </c>
      <c r="AF32" s="154">
        <f t="shared" si="14"/>
        <v>110.82359734935928</v>
      </c>
      <c r="AH32" s="154">
        <f t="shared" si="15"/>
        <v>8.3289542313386047</v>
      </c>
      <c r="AJ32" s="154">
        <f t="shared" si="16"/>
        <v>3.1355016030266412</v>
      </c>
      <c r="AL32" s="153">
        <f t="shared" si="7"/>
        <v>534.47654375279717</v>
      </c>
      <c r="AN32" s="154">
        <f>INDEX('(2.2)_Forward_Price_Curve'!$J:$J,MATCH($AB32,'(2.2)_Forward_Price_Curve'!$C:$C,0),1)</f>
        <v>10.632848438333333</v>
      </c>
      <c r="AP32" s="154">
        <f t="shared" ref="AP32:AP56" si="20">AN32*$AF$14/1000+$AJ$14*(1+E32)</f>
        <v>83.50272216392942</v>
      </c>
      <c r="AR32" s="154">
        <f t="shared" si="17"/>
        <v>2.5296201269527505</v>
      </c>
      <c r="AS32" s="154"/>
      <c r="AT32" s="153">
        <f t="shared" si="3"/>
        <v>378.44510417553641</v>
      </c>
      <c r="AV32" s="153">
        <f t="shared" si="4"/>
        <v>1479.928352087755</v>
      </c>
      <c r="AW32" s="273"/>
      <c r="AX32" s="155">
        <f t="shared" si="8"/>
        <v>1858.3734562632915</v>
      </c>
      <c r="AZ32" s="146">
        <f>+IF(AZ31&gt;$G$13+$G$14,XX,AZ31+1)</f>
        <v>2013</v>
      </c>
      <c r="BA32" s="117"/>
      <c r="BB32" s="154">
        <f t="shared" si="18"/>
        <v>70.745358413614582</v>
      </c>
      <c r="BD32" s="154">
        <f t="shared" si="19"/>
        <v>4.6583910223061755</v>
      </c>
      <c r="BF32" s="153">
        <f t="shared" si="9"/>
        <v>156.03143957726076</v>
      </c>
      <c r="BH32" s="157"/>
    </row>
    <row r="33" spans="2:60" ht="12">
      <c r="B33" s="2"/>
      <c r="C33">
        <f>+IF(C32&gt;$G$13+$G$14,XX,C32+1)</f>
        <v>2014</v>
      </c>
      <c r="E33" s="169">
        <f>+INDEX('(2.2)_Forward_Price_Curve'!$U:$U,MATCH($C33,'(2.2)_Forward_Price_Curve'!C:C,0))</f>
        <v>0.02</v>
      </c>
      <c r="G33" s="18">
        <f t="shared" si="10"/>
        <v>17202</v>
      </c>
      <c r="I33" s="28">
        <f t="shared" si="11"/>
        <v>192.41007668235653</v>
      </c>
      <c r="K33" s="28">
        <f t="shared" si="12"/>
        <v>0</v>
      </c>
      <c r="M33" s="28">
        <f t="shared" si="13"/>
        <v>0</v>
      </c>
      <c r="O33" s="270"/>
      <c r="Q33" s="28"/>
      <c r="S33" s="18">
        <f t="shared" si="5"/>
        <v>808.12232206589749</v>
      </c>
      <c r="U33" s="18">
        <f t="shared" si="0"/>
        <v>1831.0224651313642</v>
      </c>
      <c r="W33" s="18">
        <f t="shared" si="1"/>
        <v>-1022.9001430654668</v>
      </c>
      <c r="Y33" s="271">
        <f t="shared" si="6"/>
        <v>-59.464024128907496</v>
      </c>
      <c r="Z33" s="235"/>
      <c r="AB33" s="146">
        <f>+IF(AB32&gt;$G$13+$G$14,XX,AB32+1)</f>
        <v>2014</v>
      </c>
      <c r="AC33" s="117"/>
      <c r="AD33" s="151">
        <f t="shared" si="2"/>
        <v>17202</v>
      </c>
      <c r="AF33" s="154">
        <f t="shared" si="14"/>
        <v>113.04006929634646</v>
      </c>
      <c r="AH33" s="154">
        <f t="shared" si="15"/>
        <v>8.4955333159653765</v>
      </c>
      <c r="AJ33" s="154">
        <f t="shared" si="16"/>
        <v>3.1982116350871741</v>
      </c>
      <c r="AL33" s="153">
        <f t="shared" si="7"/>
        <v>545.16607462785328</v>
      </c>
      <c r="AN33" s="154">
        <f>INDEX('(2.2)_Forward_Price_Curve'!$J:$J,MATCH($AB33,'(2.2)_Forward_Price_Curve'!$C:$C,0),1)</f>
        <v>10.346954939583332</v>
      </c>
      <c r="AP33" s="154">
        <f t="shared" si="20"/>
        <v>81.422139457039833</v>
      </c>
      <c r="AR33" s="154">
        <f t="shared" si="17"/>
        <v>2.5802125294918055</v>
      </c>
      <c r="AS33" s="154"/>
      <c r="AT33" s="153">
        <f t="shared" si="3"/>
        <v>386.01400625904728</v>
      </c>
      <c r="AV33" s="153">
        <f t="shared" si="4"/>
        <v>1445.0084588723171</v>
      </c>
      <c r="AW33" s="273"/>
      <c r="AX33" s="155">
        <f t="shared" si="8"/>
        <v>1831.0224651313642</v>
      </c>
      <c r="AZ33" s="146">
        <f>+IF(AZ32&gt;$G$13+$G$14,XX,AZ32+1)</f>
        <v>2014</v>
      </c>
      <c r="BA33" s="117"/>
      <c r="BB33" s="154">
        <f t="shared" si="18"/>
        <v>72.160265581886875</v>
      </c>
      <c r="BD33" s="154">
        <f t="shared" si="19"/>
        <v>4.7515588427522992</v>
      </c>
      <c r="BF33" s="153">
        <f t="shared" si="9"/>
        <v>159.15206836880597</v>
      </c>
      <c r="BH33" s="157"/>
    </row>
    <row r="34" spans="2:60" ht="12">
      <c r="B34" s="2"/>
      <c r="C34">
        <f>+IF(C33&gt;$G$13+$G$14,XX,C33+1)</f>
        <v>2015</v>
      </c>
      <c r="E34" s="169">
        <f>+INDEX('(2.2)_Forward_Price_Curve'!$U:$U,MATCH($C34,'(2.2)_Forward_Price_Curve'!C:C,0))</f>
        <v>0.02</v>
      </c>
      <c r="G34" s="18">
        <f t="shared" si="10"/>
        <v>17202</v>
      </c>
      <c r="I34" s="28">
        <f t="shared" si="11"/>
        <v>196.25827821600367</v>
      </c>
      <c r="K34" s="28">
        <f t="shared" si="12"/>
        <v>0</v>
      </c>
      <c r="M34" s="28">
        <f t="shared" si="13"/>
        <v>0</v>
      </c>
      <c r="O34" s="270"/>
      <c r="Q34" s="28"/>
      <c r="S34" s="18">
        <f t="shared" si="5"/>
        <v>824.28476850721552</v>
      </c>
      <c r="U34" s="18">
        <f t="shared" si="0"/>
        <v>1712.6986009296475</v>
      </c>
      <c r="W34" s="18">
        <f t="shared" si="1"/>
        <v>-888.41383242243194</v>
      </c>
      <c r="Y34" s="271">
        <f t="shared" si="6"/>
        <v>-51.645961656925465</v>
      </c>
      <c r="Z34" s="235"/>
      <c r="AB34" s="146">
        <f>+IF(AB33&gt;$G$13+$G$14,XX,AB33+1)</f>
        <v>2015</v>
      </c>
      <c r="AC34" s="117"/>
      <c r="AD34" s="151">
        <f t="shared" si="2"/>
        <v>17202</v>
      </c>
      <c r="AF34" s="154">
        <f t="shared" si="14"/>
        <v>115.30087068227338</v>
      </c>
      <c r="AH34" s="154">
        <f t="shared" si="15"/>
        <v>8.6654439822846836</v>
      </c>
      <c r="AJ34" s="154">
        <f t="shared" si="16"/>
        <v>3.2621758677889177</v>
      </c>
      <c r="AL34" s="153">
        <f t="shared" si="7"/>
        <v>556.06939612041015</v>
      </c>
      <c r="AN34" s="154">
        <f>INDEX('(2.2)_Forward_Price_Curve'!$J:$J,MATCH($AB34,'(2.2)_Forward_Price_Curve'!$C:$C,0),1)</f>
        <v>9.3330180370833329</v>
      </c>
      <c r="AP34" s="154">
        <f t="shared" si="20"/>
        <v>74.043239291620466</v>
      </c>
      <c r="AR34" s="154">
        <f t="shared" si="17"/>
        <v>2.6318167800816417</v>
      </c>
      <c r="AS34" s="154"/>
      <c r="AT34" s="153">
        <f t="shared" si="3"/>
        <v>393.73428638422808</v>
      </c>
      <c r="AV34" s="153">
        <f t="shared" si="4"/>
        <v>1318.9643145454195</v>
      </c>
      <c r="AW34" s="273"/>
      <c r="AX34" s="155">
        <f t="shared" si="8"/>
        <v>1712.6986009296475</v>
      </c>
      <c r="AZ34" s="146">
        <f>+IF(AZ33&gt;$G$13+$G$14,XX,AZ33+1)</f>
        <v>2015</v>
      </c>
      <c r="BA34" s="117"/>
      <c r="BB34" s="154">
        <f t="shared" si="18"/>
        <v>73.603470893524616</v>
      </c>
      <c r="BD34" s="154">
        <f t="shared" si="19"/>
        <v>4.846590019607345</v>
      </c>
      <c r="BF34" s="153">
        <f t="shared" si="9"/>
        <v>162.33510973618209</v>
      </c>
      <c r="BH34" s="157"/>
    </row>
    <row r="35" spans="2:60" ht="12">
      <c r="B35" s="2"/>
      <c r="C35">
        <f>+IF(C34&gt;$G$13+$G$14,XX,C34+1)</f>
        <v>2016</v>
      </c>
      <c r="E35" s="169">
        <f>+INDEX('(2.2)_Forward_Price_Curve'!$U:$U,MATCH($C35,'(2.2)_Forward_Price_Curve'!C:C,0))</f>
        <v>0.02</v>
      </c>
      <c r="G35" s="18">
        <f t="shared" si="10"/>
        <v>17202</v>
      </c>
      <c r="I35" s="28">
        <f t="shared" si="11"/>
        <v>200.18344378032376</v>
      </c>
      <c r="K35" s="28">
        <f t="shared" si="12"/>
        <v>0</v>
      </c>
      <c r="M35" s="28">
        <f t="shared" si="13"/>
        <v>0</v>
      </c>
      <c r="O35" s="270"/>
      <c r="Q35" s="28"/>
      <c r="S35" s="18">
        <f t="shared" si="5"/>
        <v>840.77046387735982</v>
      </c>
      <c r="U35" s="18">
        <f t="shared" si="0"/>
        <v>1674.0514249468383</v>
      </c>
      <c r="W35" s="18">
        <f t="shared" si="1"/>
        <v>-833.28096106947851</v>
      </c>
      <c r="Y35" s="271">
        <f t="shared" si="6"/>
        <v>-48.440934837197915</v>
      </c>
      <c r="Z35" s="235"/>
      <c r="AB35" s="146">
        <f>+IF(AB34&gt;$G$13+$G$14,XX,AB34+1)</f>
        <v>2016</v>
      </c>
      <c r="AC35" s="117"/>
      <c r="AD35" s="151">
        <f t="shared" si="2"/>
        <v>17202</v>
      </c>
      <c r="AF35" s="154">
        <f t="shared" si="14"/>
        <v>117.60688809591885</v>
      </c>
      <c r="AH35" s="154">
        <f t="shared" si="15"/>
        <v>8.8387528619303772</v>
      </c>
      <c r="AJ35" s="154">
        <f t="shared" si="16"/>
        <v>3.327419385144696</v>
      </c>
      <c r="AL35" s="153">
        <f t="shared" si="7"/>
        <v>567.19078404281834</v>
      </c>
      <c r="AN35" s="154">
        <f>INDEX('(2.2)_Forward_Price_Curve'!$J:$J,MATCH($AB35,'(2.2)_Forward_Price_Curve'!$C:$C,0),1)</f>
        <v>8.9541666666666657</v>
      </c>
      <c r="AP35" s="154">
        <f t="shared" si="20"/>
        <v>71.286158024586797</v>
      </c>
      <c r="AR35" s="154">
        <f t="shared" si="17"/>
        <v>2.6844531156832745</v>
      </c>
      <c r="AS35" s="154"/>
      <c r="AT35" s="153">
        <f t="shared" si="3"/>
        <v>401.60897211191264</v>
      </c>
      <c r="AV35" s="153">
        <f t="shared" si="4"/>
        <v>1272.4424528349257</v>
      </c>
      <c r="AW35" s="273"/>
      <c r="AX35" s="155">
        <f t="shared" si="8"/>
        <v>1674.0514249468383</v>
      </c>
      <c r="AZ35" s="146">
        <f>+IF(AZ34&gt;$G$13+$G$14,XX,AZ34+1)</f>
        <v>2016</v>
      </c>
      <c r="BA35" s="117"/>
      <c r="BB35" s="154">
        <f t="shared" si="18"/>
        <v>75.075540311395116</v>
      </c>
      <c r="BD35" s="154">
        <f t="shared" si="19"/>
        <v>4.9435218199994919</v>
      </c>
      <c r="BF35" s="153">
        <f t="shared" si="9"/>
        <v>165.58181193090573</v>
      </c>
      <c r="BH35" s="157"/>
    </row>
    <row r="36" spans="2:60" ht="12">
      <c r="B36" s="2"/>
      <c r="C36">
        <f>+IF(C35&gt;$G$13+$G$14,XX,C35+1)</f>
        <v>2017</v>
      </c>
      <c r="E36" s="169">
        <f>+INDEX('(2.2)_Forward_Price_Curve'!$U:$U,MATCH($C36,'(2.2)_Forward_Price_Curve'!C:C,0))</f>
        <v>1.9E-2</v>
      </c>
      <c r="G36" s="18">
        <f t="shared" si="10"/>
        <v>17202</v>
      </c>
      <c r="I36" s="28">
        <f t="shared" si="11"/>
        <v>203.9869292121499</v>
      </c>
      <c r="K36" s="28">
        <f t="shared" si="12"/>
        <v>0</v>
      </c>
      <c r="M36" s="28">
        <f t="shared" si="13"/>
        <v>0</v>
      </c>
      <c r="O36" s="270"/>
      <c r="Q36" s="28"/>
      <c r="S36" s="18">
        <f t="shared" si="5"/>
        <v>856.74510269102962</v>
      </c>
      <c r="U36" s="18">
        <f t="shared" si="0"/>
        <v>1768.5744298852906</v>
      </c>
      <c r="W36" s="18">
        <f t="shared" si="1"/>
        <v>-911.82932719426094</v>
      </c>
      <c r="Y36" s="271">
        <f t="shared" si="6"/>
        <v>-53.007169352067251</v>
      </c>
      <c r="Z36" s="235"/>
      <c r="AB36" s="146">
        <f>+IF(AB35&gt;$G$13+$G$14,XX,AB35+1)</f>
        <v>2017</v>
      </c>
      <c r="AC36" s="117"/>
      <c r="AD36" s="151">
        <f t="shared" si="2"/>
        <v>17202</v>
      </c>
      <c r="AF36" s="154">
        <f t="shared" si="14"/>
        <v>119.8414189697413</v>
      </c>
      <c r="AH36" s="154">
        <f t="shared" si="15"/>
        <v>9.0066891663070532</v>
      </c>
      <c r="AJ36" s="154">
        <f t="shared" si="16"/>
        <v>3.390640353462445</v>
      </c>
      <c r="AL36" s="153">
        <f t="shared" si="7"/>
        <v>577.96740893963192</v>
      </c>
      <c r="AN36" s="154">
        <f>INDEX('(2.2)_Forward_Price_Curve'!$J:$J,MATCH($AB36,'(2.2)_Forward_Price_Curve'!$C:$C,0),1)</f>
        <v>9.6420833333333338</v>
      </c>
      <c r="AP36" s="154">
        <f t="shared" si="20"/>
        <v>76.28645178001652</v>
      </c>
      <c r="AR36" s="154">
        <f t="shared" si="17"/>
        <v>2.7354577248812566</v>
      </c>
      <c r="AS36" s="154"/>
      <c r="AT36" s="153">
        <f t="shared" si="3"/>
        <v>409.23954258203901</v>
      </c>
      <c r="AV36" s="153">
        <f t="shared" si="4"/>
        <v>1359.3348873032514</v>
      </c>
      <c r="AW36" s="273"/>
      <c r="AX36" s="155">
        <f t="shared" si="8"/>
        <v>1768.5744298852906</v>
      </c>
      <c r="AZ36" s="146">
        <f>+IF(AZ35&gt;$G$13+$G$14,XX,AZ35+1)</f>
        <v>2017</v>
      </c>
      <c r="BA36" s="117"/>
      <c r="BB36" s="154">
        <f t="shared" si="18"/>
        <v>76.501975577311612</v>
      </c>
      <c r="BD36" s="154">
        <f t="shared" si="19"/>
        <v>5.0374487345794821</v>
      </c>
      <c r="BF36" s="153">
        <f t="shared" si="9"/>
        <v>168.72786635759294</v>
      </c>
      <c r="BH36" s="157"/>
    </row>
    <row r="37" spans="2:60" ht="12">
      <c r="B37" s="2"/>
      <c r="C37">
        <f>+IF(C36&gt;$G$13+$G$14,XX,C36+1)</f>
        <v>2018</v>
      </c>
      <c r="E37" s="169">
        <f>+INDEX('(2.2)_Forward_Price_Curve'!$U:$U,MATCH($C37,'(2.2)_Forward_Price_Curve'!C:C,0))</f>
        <v>1.9E-2</v>
      </c>
      <c r="G37" s="18">
        <f t="shared" si="10"/>
        <v>17202</v>
      </c>
      <c r="I37" s="28">
        <f t="shared" si="11"/>
        <v>207.86268086718073</v>
      </c>
      <c r="K37" s="28">
        <f t="shared" si="12"/>
        <v>0</v>
      </c>
      <c r="M37" s="28">
        <f t="shared" si="13"/>
        <v>0</v>
      </c>
      <c r="O37" s="270"/>
      <c r="Q37" s="28"/>
      <c r="S37" s="18">
        <f t="shared" si="5"/>
        <v>873.02325964215913</v>
      </c>
      <c r="U37" s="18">
        <f t="shared" si="0"/>
        <v>1985.5762648603336</v>
      </c>
      <c r="W37" s="18">
        <f t="shared" si="1"/>
        <v>-1112.5530052181743</v>
      </c>
      <c r="Y37" s="271">
        <f t="shared" si="6"/>
        <v>-64.675793815729236</v>
      </c>
      <c r="Z37" s="235"/>
      <c r="AB37" s="146">
        <f>+IF(AB36&gt;$G$13+$G$14,XX,AB36+1)</f>
        <v>2018</v>
      </c>
      <c r="AC37" s="117"/>
      <c r="AD37" s="151">
        <f t="shared" si="2"/>
        <v>17202</v>
      </c>
      <c r="AF37" s="154">
        <f t="shared" si="14"/>
        <v>122.11840593016638</v>
      </c>
      <c r="AH37" s="154">
        <f t="shared" si="15"/>
        <v>9.1778162604668871</v>
      </c>
      <c r="AJ37" s="154">
        <f t="shared" si="16"/>
        <v>3.455062520178231</v>
      </c>
      <c r="AL37" s="153">
        <f t="shared" si="7"/>
        <v>588.94878970948491</v>
      </c>
      <c r="AN37" s="154">
        <f>INDEX('(2.2)_Forward_Price_Curve'!$J:$J,MATCH($AB37,'(2.2)_Forward_Price_Curve'!$C:$C,0),1)</f>
        <v>11.30625</v>
      </c>
      <c r="AP37" s="154">
        <f t="shared" si="20"/>
        <v>88.397382609809526</v>
      </c>
      <c r="AR37" s="154">
        <f t="shared" si="17"/>
        <v>2.7874314216540004</v>
      </c>
      <c r="AS37" s="154"/>
      <c r="AT37" s="153">
        <f t="shared" si="3"/>
        <v>417.01509389109776</v>
      </c>
      <c r="AV37" s="153">
        <f t="shared" si="4"/>
        <v>1568.5611709692357</v>
      </c>
      <c r="AW37" s="273"/>
      <c r="AX37" s="155">
        <f t="shared" si="8"/>
        <v>1985.5762648603336</v>
      </c>
      <c r="AZ37" s="146">
        <f>+IF(AZ36&gt;$G$13+$G$14,XX,AZ36+1)</f>
        <v>2018</v>
      </c>
      <c r="BA37" s="117"/>
      <c r="BB37" s="154">
        <f t="shared" si="18"/>
        <v>77.955513113280531</v>
      </c>
      <c r="BD37" s="154">
        <f t="shared" si="19"/>
        <v>5.1331602605364921</v>
      </c>
      <c r="BF37" s="153">
        <f t="shared" si="9"/>
        <v>171.93369581838718</v>
      </c>
      <c r="BH37" s="157"/>
    </row>
    <row r="38" spans="2:60" ht="12">
      <c r="B38" s="2"/>
      <c r="C38">
        <f>+IF(C37&gt;$G$13+$G$14,XX,C37+1)</f>
        <v>2019</v>
      </c>
      <c r="E38" s="169">
        <f>+INDEX('(2.2)_Forward_Price_Curve'!$U:$U,MATCH($C38,'(2.2)_Forward_Price_Curve'!C:C,0))</f>
        <v>1.9E-2</v>
      </c>
      <c r="G38" s="18">
        <f t="shared" si="10"/>
        <v>17202</v>
      </c>
      <c r="I38" s="28">
        <f t="shared" si="11"/>
        <v>211.81207180365715</v>
      </c>
      <c r="K38" s="28">
        <f t="shared" si="12"/>
        <v>0</v>
      </c>
      <c r="M38" s="28">
        <f t="shared" si="13"/>
        <v>0</v>
      </c>
      <c r="O38" s="270"/>
      <c r="Q38" s="28"/>
      <c r="S38" s="18">
        <f t="shared" si="5"/>
        <v>889.61070157536005</v>
      </c>
      <c r="U38" s="18">
        <f t="shared" si="0"/>
        <v>2050.2231811375991</v>
      </c>
      <c r="W38" s="18">
        <f t="shared" si="1"/>
        <v>-1160.6124795622391</v>
      </c>
      <c r="Y38" s="271">
        <f t="shared" si="6"/>
        <v>-67.469624436823565</v>
      </c>
      <c r="Z38" s="235"/>
      <c r="AB38" s="146">
        <f>+IF(AB37&gt;$G$13+$G$14,XX,AB37+1)</f>
        <v>2019</v>
      </c>
      <c r="AC38" s="117"/>
      <c r="AD38" s="151">
        <f t="shared" si="2"/>
        <v>17202</v>
      </c>
      <c r="AF38" s="154">
        <f t="shared" si="14"/>
        <v>124.43865564283952</v>
      </c>
      <c r="AH38" s="154">
        <f t="shared" si="15"/>
        <v>9.3521947694157568</v>
      </c>
      <c r="AJ38" s="154">
        <f t="shared" si="16"/>
        <v>3.5207087080616173</v>
      </c>
      <c r="AL38" s="153">
        <f t="shared" si="7"/>
        <v>600.13881671396507</v>
      </c>
      <c r="AN38" s="154">
        <f>INDEX('(2.2)_Forward_Price_Curve'!$J:$J,MATCH($AB38,'(2.2)_Forward_Price_Curve'!$C:$C,0),1)</f>
        <v>11.752083333333331</v>
      </c>
      <c r="AP38" s="154">
        <f t="shared" si="20"/>
        <v>91.641923417991393</v>
      </c>
      <c r="AR38" s="154">
        <f t="shared" si="17"/>
        <v>2.840392618665426</v>
      </c>
      <c r="AS38" s="154"/>
      <c r="AT38" s="153">
        <f t="shared" si="3"/>
        <v>424.9383806750285</v>
      </c>
      <c r="AV38" s="153">
        <f t="shared" si="4"/>
        <v>1625.2848004625705</v>
      </c>
      <c r="AW38" s="273"/>
      <c r="AX38" s="155">
        <f t="shared" si="8"/>
        <v>2050.2231811375991</v>
      </c>
      <c r="AZ38" s="146">
        <f>+IF(AZ37&gt;$G$13+$G$14,XX,AZ37+1)</f>
        <v>2019</v>
      </c>
      <c r="BA38" s="117"/>
      <c r="BB38" s="154">
        <f t="shared" si="18"/>
        <v>79.436667862432856</v>
      </c>
      <c r="BD38" s="154">
        <f t="shared" si="19"/>
        <v>5.2306903054866849</v>
      </c>
      <c r="BF38" s="153">
        <f t="shared" si="9"/>
        <v>175.20043603893654</v>
      </c>
      <c r="BH38" s="157"/>
    </row>
    <row r="39" spans="2:60" ht="12">
      <c r="B39" s="2"/>
      <c r="C39">
        <f>+IF(C38&gt;$G$13+$G$14,XX,C38+1)</f>
        <v>2020</v>
      </c>
      <c r="E39" s="169">
        <f>+INDEX('(2.2)_Forward_Price_Curve'!$U:$U,MATCH($C39,'(2.2)_Forward_Price_Curve'!C:C,0))</f>
        <v>1.9E-2</v>
      </c>
      <c r="G39" s="18">
        <f t="shared" si="10"/>
        <v>17202</v>
      </c>
      <c r="I39" s="28">
        <f t="shared" si="11"/>
        <v>215.83650116792663</v>
      </c>
      <c r="K39" s="28">
        <f t="shared" si="12"/>
        <v>0</v>
      </c>
      <c r="M39" s="28">
        <f t="shared" si="13"/>
        <v>0</v>
      </c>
      <c r="O39" s="270"/>
      <c r="Q39" s="28"/>
      <c r="S39" s="18">
        <f t="shared" si="5"/>
        <v>906.51330490529188</v>
      </c>
      <c r="U39" s="18">
        <f t="shared" si="0"/>
        <v>2024.3816102241469</v>
      </c>
      <c r="W39" s="18">
        <f t="shared" si="1"/>
        <v>-1117.8683053188552</v>
      </c>
      <c r="Y39" s="271">
        <f t="shared" si="6"/>
        <v>-64.984786961914622</v>
      </c>
      <c r="Z39" s="235"/>
      <c r="AB39" s="146">
        <f>+IF(AB38&gt;$G$13+$G$14,XX,AB38+1)</f>
        <v>2020</v>
      </c>
      <c r="AC39" s="117"/>
      <c r="AD39" s="151">
        <f t="shared" si="2"/>
        <v>17202</v>
      </c>
      <c r="AF39" s="154">
        <f t="shared" si="14"/>
        <v>126.80299010005346</v>
      </c>
      <c r="AH39" s="154">
        <f t="shared" si="15"/>
        <v>9.5298864700346559</v>
      </c>
      <c r="AJ39" s="154">
        <f t="shared" si="16"/>
        <v>3.5876021735147878</v>
      </c>
      <c r="AL39" s="153">
        <f t="shared" si="7"/>
        <v>611.54145423153045</v>
      </c>
      <c r="AN39" s="154">
        <f>INDEX('(2.2)_Forward_Price_Curve'!$J:$J,MATCH($AB39,'(2.2)_Forward_Price_Curve'!$C:$C,0),1)</f>
        <v>11.473750000000003</v>
      </c>
      <c r="AP39" s="154">
        <f t="shared" si="20"/>
        <v>89.616359623724605</v>
      </c>
      <c r="AR39" s="154">
        <f t="shared" si="17"/>
        <v>2.8943600784200689</v>
      </c>
      <c r="AS39" s="154"/>
      <c r="AT39" s="153">
        <f t="shared" si="3"/>
        <v>433.01220990785413</v>
      </c>
      <c r="AV39" s="153">
        <f t="shared" si="4"/>
        <v>1591.3694003162927</v>
      </c>
      <c r="AW39" s="273"/>
      <c r="AX39" s="155">
        <f t="shared" si="8"/>
        <v>2024.3816102241469</v>
      </c>
      <c r="AZ39" s="146">
        <f>+IF(AZ38&gt;$G$13+$G$14,XX,AZ38+1)</f>
        <v>2020</v>
      </c>
      <c r="BA39" s="117"/>
      <c r="BB39" s="154">
        <f t="shared" si="18"/>
        <v>80.945964551819074</v>
      </c>
      <c r="BD39" s="154">
        <f t="shared" si="19"/>
        <v>5.3300734212909315</v>
      </c>
      <c r="BF39" s="153">
        <f t="shared" si="9"/>
        <v>178.52924432367632</v>
      </c>
      <c r="BH39" s="157"/>
    </row>
    <row r="40" spans="2:60" ht="12">
      <c r="B40" s="2"/>
      <c r="C40">
        <f>+IF(C39&gt;$G$13+$G$14,XX,C39+1)</f>
        <v>2021</v>
      </c>
      <c r="E40" s="169">
        <f>+INDEX('(2.2)_Forward_Price_Curve'!$U:$U,MATCH($C40,'(2.2)_Forward_Price_Curve'!C:C,0))</f>
        <v>1.7999999999999999E-2</v>
      </c>
      <c r="G40" s="18">
        <f t="shared" si="10"/>
        <v>17202</v>
      </c>
      <c r="I40" s="28">
        <f t="shared" si="11"/>
        <v>219.7215581889493</v>
      </c>
      <c r="K40" s="28">
        <f t="shared" si="12"/>
        <v>0</v>
      </c>
      <c r="M40" s="28">
        <f t="shared" si="13"/>
        <v>0</v>
      </c>
      <c r="O40" s="270"/>
      <c r="Q40" s="28"/>
      <c r="S40" s="18">
        <f t="shared" si="5"/>
        <v>922.83054439358716</v>
      </c>
      <c r="U40" s="18">
        <f t="shared" si="0"/>
        <v>2060.3012961792269</v>
      </c>
      <c r="W40" s="18">
        <f t="shared" si="1"/>
        <v>-1137.4707517856398</v>
      </c>
      <c r="Y40" s="271">
        <f t="shared" si="6"/>
        <v>-66.124331576888721</v>
      </c>
      <c r="Z40" s="235"/>
      <c r="AB40" s="146">
        <f>+IF(AB39&gt;$G$13+$G$14,XX,AB39+1)</f>
        <v>2021</v>
      </c>
      <c r="AC40" s="117"/>
      <c r="AD40" s="151">
        <f t="shared" si="2"/>
        <v>17202</v>
      </c>
      <c r="AF40" s="154">
        <f t="shared" si="14"/>
        <v>129.08544392185442</v>
      </c>
      <c r="AH40" s="154">
        <f t="shared" si="15"/>
        <v>9.7014244264952794</v>
      </c>
      <c r="AJ40" s="154">
        <f t="shared" si="16"/>
        <v>3.652179012638054</v>
      </c>
      <c r="AL40" s="153">
        <f t="shared" si="7"/>
        <v>622.54920040769787</v>
      </c>
      <c r="AN40" s="154">
        <f>INDEX('(2.2)_Forward_Price_Curve'!$J:$J,MATCH($AB40,'(2.2)_Forward_Price_Curve'!$C:$C,0),1)</f>
        <v>11.692083333333334</v>
      </c>
      <c r="AP40" s="154">
        <f t="shared" si="20"/>
        <v>91.199272546611326</v>
      </c>
      <c r="AR40" s="154">
        <f t="shared" si="17"/>
        <v>2.9464585598316302</v>
      </c>
      <c r="AS40" s="154"/>
      <c r="AT40" s="153">
        <f t="shared" si="3"/>
        <v>440.80642968619532</v>
      </c>
      <c r="AV40" s="153">
        <f t="shared" si="4"/>
        <v>1619.4948664930316</v>
      </c>
      <c r="AW40" s="273"/>
      <c r="AX40" s="155">
        <f t="shared" si="8"/>
        <v>2060.3012961792269</v>
      </c>
      <c r="AZ40" s="146">
        <f>+IF(AZ39&gt;$G$13+$G$14,XX,AZ39+1)</f>
        <v>2021</v>
      </c>
      <c r="BA40" s="117"/>
      <c r="BB40" s="154">
        <f t="shared" si="18"/>
        <v>82.402991913751819</v>
      </c>
      <c r="BD40" s="154">
        <f t="shared" si="19"/>
        <v>5.4260147428741687</v>
      </c>
      <c r="BF40" s="153">
        <f t="shared" si="9"/>
        <v>181.74277072150252</v>
      </c>
      <c r="BH40" s="157"/>
    </row>
    <row r="41" spans="2:60" ht="12">
      <c r="B41" s="2"/>
      <c r="C41">
        <f>+IF(C40&gt;$G$13+$G$14,XX,C40+1)</f>
        <v>2022</v>
      </c>
      <c r="E41" s="169">
        <f>+INDEX('(2.2)_Forward_Price_Curve'!$U:$U,MATCH($C41,'(2.2)_Forward_Price_Curve'!C:C,0))</f>
        <v>1.7999999999999999E-2</v>
      </c>
      <c r="G41" s="18">
        <f t="shared" si="10"/>
        <v>17202</v>
      </c>
      <c r="I41" s="28">
        <f t="shared" si="11"/>
        <v>223.67654623635039</v>
      </c>
      <c r="K41" s="28">
        <f t="shared" si="12"/>
        <v>0</v>
      </c>
      <c r="M41" s="28">
        <f t="shared" si="13"/>
        <v>0</v>
      </c>
      <c r="O41" s="270"/>
      <c r="Q41" s="28"/>
      <c r="S41" s="18">
        <f t="shared" si="5"/>
        <v>939.44149419267171</v>
      </c>
      <c r="U41" s="18">
        <f t="shared" si="0"/>
        <v>2096.7936305474655</v>
      </c>
      <c r="W41" s="18">
        <f t="shared" si="1"/>
        <v>-1157.3521363547939</v>
      </c>
      <c r="Y41" s="271">
        <f t="shared" si="6"/>
        <v>-67.280091637878954</v>
      </c>
      <c r="Z41" s="235"/>
      <c r="AB41" s="146">
        <f>+IF(AB40&gt;$G$13+$G$14,XX,AB40+1)</f>
        <v>2022</v>
      </c>
      <c r="AC41" s="117"/>
      <c r="AD41" s="151">
        <f t="shared" si="2"/>
        <v>17202</v>
      </c>
      <c r="AF41" s="154">
        <f t="shared" si="14"/>
        <v>131.40898191244781</v>
      </c>
      <c r="AH41" s="154">
        <f t="shared" si="15"/>
        <v>9.8760500661721942</v>
      </c>
      <c r="AJ41" s="154">
        <f t="shared" si="16"/>
        <v>3.7179182348655391</v>
      </c>
      <c r="AL41" s="153">
        <f t="shared" si="7"/>
        <v>633.75508601503645</v>
      </c>
      <c r="AN41" s="154">
        <f>INDEX('(2.2)_Forward_Price_Curve'!$J:$J,MATCH($AB41,'(2.2)_Forward_Price_Curve'!$C:$C,0),1)</f>
        <v>11.912916666666668</v>
      </c>
      <c r="AP41" s="154">
        <f t="shared" si="20"/>
        <v>92.806381545056553</v>
      </c>
      <c r="AR41" s="154">
        <f t="shared" si="17"/>
        <v>2.9994948139085995</v>
      </c>
      <c r="AS41" s="154"/>
      <c r="AT41" s="153">
        <f t="shared" si="3"/>
        <v>448.74094542054689</v>
      </c>
      <c r="AV41" s="153">
        <f t="shared" si="4"/>
        <v>1648.0526851269185</v>
      </c>
      <c r="AW41" s="273"/>
      <c r="AX41" s="155">
        <f t="shared" si="8"/>
        <v>2096.7936305474655</v>
      </c>
      <c r="AZ41" s="146">
        <f>+IF(AZ40&gt;$G$13+$G$14,XX,AZ40+1)</f>
        <v>2022</v>
      </c>
      <c r="BA41" s="117"/>
      <c r="BB41" s="154">
        <f t="shared" si="18"/>
        <v>83.886245768199359</v>
      </c>
      <c r="BD41" s="154">
        <f t="shared" si="19"/>
        <v>5.5236830082459036</v>
      </c>
      <c r="BF41" s="153">
        <f t="shared" si="9"/>
        <v>185.01414059448956</v>
      </c>
      <c r="BH41" s="157"/>
    </row>
    <row r="42" spans="2:60" ht="12">
      <c r="B42" s="2"/>
      <c r="C42">
        <f>+IF(C41&gt;$G$13+$G$14,XX,C41+1)</f>
        <v>2023</v>
      </c>
      <c r="E42" s="169">
        <f>+INDEX('(2.2)_Forward_Price_Curve'!$U:$U,MATCH($C42,'(2.2)_Forward_Price_Curve'!C:C,0))</f>
        <v>1.9E-2</v>
      </c>
      <c r="G42" s="18">
        <f t="shared" si="10"/>
        <v>17202</v>
      </c>
      <c r="I42" s="28">
        <f t="shared" si="11"/>
        <v>227.92640061484101</v>
      </c>
      <c r="K42" s="28">
        <f t="shared" si="12"/>
        <v>0</v>
      </c>
      <c r="M42" s="28">
        <f t="shared" si="13"/>
        <v>0</v>
      </c>
      <c r="O42" s="270"/>
      <c r="Q42" s="28"/>
      <c r="S42" s="18">
        <f t="shared" si="5"/>
        <v>957.2908825823323</v>
      </c>
      <c r="U42" s="18">
        <f t="shared" si="0"/>
        <v>2134.7268963793413</v>
      </c>
      <c r="W42" s="18">
        <f t="shared" si="1"/>
        <v>-1177.4360137970089</v>
      </c>
      <c r="Y42" s="271">
        <f t="shared" si="6"/>
        <v>-68.447623171550333</v>
      </c>
      <c r="Z42" s="235"/>
      <c r="AB42" s="146">
        <f>+IF(AB41&gt;$G$13+$G$14,XX,AB41+1)</f>
        <v>2023</v>
      </c>
      <c r="AC42" s="117"/>
      <c r="AD42" s="151">
        <f t="shared" si="2"/>
        <v>17202</v>
      </c>
      <c r="AF42" s="154">
        <f t="shared" si="14"/>
        <v>133.90575256878432</v>
      </c>
      <c r="AH42" s="154">
        <f t="shared" si="15"/>
        <v>10.063695017429465</v>
      </c>
      <c r="AJ42" s="154">
        <f t="shared" si="16"/>
        <v>3.7885586813279839</v>
      </c>
      <c r="AL42" s="153">
        <f t="shared" si="7"/>
        <v>645.79643264932224</v>
      </c>
      <c r="AN42" s="154">
        <f>INDEX('(2.2)_Forward_Price_Curve'!$J:$J,MATCH($AB42,'(2.2)_Forward_Price_Curve'!$C:$C,0),1)</f>
        <v>12.139166666666668</v>
      </c>
      <c r="AP42" s="154">
        <f t="shared" si="20"/>
        <v>94.458912586964303</v>
      </c>
      <c r="AR42" s="154">
        <f t="shared" si="17"/>
        <v>3.0564852153728626</v>
      </c>
      <c r="AS42" s="154"/>
      <c r="AT42" s="153">
        <f t="shared" si="3"/>
        <v>457.26702338353738</v>
      </c>
      <c r="AV42" s="153">
        <f t="shared" si="4"/>
        <v>1677.4598729958038</v>
      </c>
      <c r="AW42" s="273"/>
      <c r="AX42" s="155">
        <f t="shared" si="8"/>
        <v>2134.7268963793413</v>
      </c>
      <c r="AZ42" s="146">
        <f>+IF(AZ41&gt;$G$13+$G$14,XX,AZ41+1)</f>
        <v>2023</v>
      </c>
      <c r="BA42" s="117"/>
      <c r="BB42" s="154">
        <f t="shared" si="18"/>
        <v>85.480084437795142</v>
      </c>
      <c r="BD42" s="154">
        <f t="shared" si="19"/>
        <v>5.6286329854025752</v>
      </c>
      <c r="BF42" s="153">
        <f t="shared" si="9"/>
        <v>188.52940926578486</v>
      </c>
      <c r="BH42" s="157"/>
    </row>
    <row r="43" spans="2:60" ht="12">
      <c r="B43" s="2"/>
      <c r="C43">
        <f>+IF(C42&gt;$G$13+$G$14,XX,C42+1)</f>
        <v>2024</v>
      </c>
      <c r="E43" s="169">
        <f>+INDEX('(2.2)_Forward_Price_Curve'!$U:$U,MATCH($C43,'(2.2)_Forward_Price_Curve'!C:C,0))</f>
        <v>1.9E-2</v>
      </c>
      <c r="G43" s="18">
        <f t="shared" si="10"/>
        <v>17202</v>
      </c>
      <c r="I43" s="28">
        <f t="shared" si="11"/>
        <v>232.25700222652299</v>
      </c>
      <c r="K43" s="28">
        <f t="shared" si="12"/>
        <v>0</v>
      </c>
      <c r="M43" s="28">
        <f t="shared" si="13"/>
        <v>0</v>
      </c>
      <c r="O43" s="270"/>
      <c r="Q43" s="28"/>
      <c r="S43" s="18">
        <f t="shared" si="5"/>
        <v>975.47940935139661</v>
      </c>
      <c r="U43" s="18">
        <f t="shared" si="0"/>
        <v>2173.4677894292599</v>
      </c>
      <c r="W43" s="18">
        <f t="shared" si="1"/>
        <v>-1197.9883800778634</v>
      </c>
      <c r="Y43" s="271">
        <f t="shared" si="6"/>
        <v>-69.642389261589543</v>
      </c>
      <c r="Z43" s="235"/>
      <c r="AB43" s="146">
        <f>+IF(AB42&gt;$G$13+$G$14,XX,AB42+1)</f>
        <v>2024</v>
      </c>
      <c r="AC43" s="117"/>
      <c r="AD43" s="151">
        <f t="shared" si="2"/>
        <v>17202</v>
      </c>
      <c r="AF43" s="154">
        <f t="shared" si="14"/>
        <v>136.44996186759121</v>
      </c>
      <c r="AH43" s="154">
        <f t="shared" si="15"/>
        <v>10.254905222760623</v>
      </c>
      <c r="AJ43" s="154">
        <f t="shared" si="16"/>
        <v>3.8605412962732153</v>
      </c>
      <c r="AL43" s="153">
        <f t="shared" si="7"/>
        <v>658.06656486965926</v>
      </c>
      <c r="AN43" s="154">
        <f>INDEX('(2.2)_Forward_Price_Curve'!$J:$J,MATCH($AB43,'(2.2)_Forward_Price_Curve'!$C:$C,0),1)</f>
        <v>12.371250000000002</v>
      </c>
      <c r="AP43" s="154">
        <f t="shared" si="20"/>
        <v>96.147893175896371</v>
      </c>
      <c r="AR43" s="154">
        <f t="shared" si="17"/>
        <v>3.1145584344649468</v>
      </c>
      <c r="AS43" s="154"/>
      <c r="AT43" s="153">
        <f t="shared" si="3"/>
        <v>465.95509682782449</v>
      </c>
      <c r="AV43" s="153">
        <f t="shared" si="4"/>
        <v>1707.5126926014357</v>
      </c>
      <c r="AW43" s="273"/>
      <c r="AX43" s="155">
        <f t="shared" si="8"/>
        <v>2173.4677894292599</v>
      </c>
      <c r="AZ43" s="146">
        <f>+IF(AZ42&gt;$G$13+$G$14,XX,AZ42+1)</f>
        <v>2024</v>
      </c>
      <c r="BA43" s="117"/>
      <c r="BB43" s="154">
        <f t="shared" si="18"/>
        <v>87.104206042113248</v>
      </c>
      <c r="BD43" s="154">
        <f t="shared" si="19"/>
        <v>5.7355770121252236</v>
      </c>
      <c r="BF43" s="153">
        <f t="shared" si="9"/>
        <v>192.11146804183474</v>
      </c>
      <c r="BH43" s="157"/>
    </row>
    <row r="44" spans="2:60" ht="12">
      <c r="B44" s="2"/>
      <c r="C44">
        <f>+IF(C43&gt;$G$13+$G$14,XX,C43+1)</f>
        <v>2025</v>
      </c>
      <c r="E44" s="169">
        <f>+INDEX('(2.2)_Forward_Price_Curve'!$U:$U,MATCH($C44,'(2.2)_Forward_Price_Curve'!C:C,0))</f>
        <v>1.9E-2</v>
      </c>
      <c r="G44" s="18">
        <f t="shared" si="10"/>
        <v>17202</v>
      </c>
      <c r="I44" s="28">
        <f t="shared" si="11"/>
        <v>236.6698852688269</v>
      </c>
      <c r="K44" s="28">
        <f t="shared" si="12"/>
        <v>0</v>
      </c>
      <c r="M44" s="28">
        <f t="shared" si="13"/>
        <v>0</v>
      </c>
      <c r="O44" s="270"/>
      <c r="Q44" s="28"/>
      <c r="S44" s="18">
        <f t="shared" si="5"/>
        <v>994.01351812907308</v>
      </c>
      <c r="U44" s="18">
        <f t="shared" si="0"/>
        <v>2211.0887039098143</v>
      </c>
      <c r="W44" s="18">
        <f t="shared" si="1"/>
        <v>-1217.0751857807413</v>
      </c>
      <c r="Y44" s="271">
        <f t="shared" si="6"/>
        <v>-70.751958247921252</v>
      </c>
      <c r="Z44" s="235"/>
      <c r="AB44" s="146">
        <f>+IF(AB43&gt;$G$13+$G$14,XX,AB43+1)</f>
        <v>2025</v>
      </c>
      <c r="AC44" s="117"/>
      <c r="AD44" s="151">
        <f t="shared" si="2"/>
        <v>17202</v>
      </c>
      <c r="AF44" s="154">
        <f t="shared" si="14"/>
        <v>139.04251114307544</v>
      </c>
      <c r="AH44" s="154">
        <f t="shared" si="15"/>
        <v>10.449748421993075</v>
      </c>
      <c r="AJ44" s="154">
        <f t="shared" si="16"/>
        <v>3.9338915809024062</v>
      </c>
      <c r="AL44" s="153">
        <f t="shared" si="7"/>
        <v>670.56982960218272</v>
      </c>
      <c r="AN44" s="154">
        <f>INDEX('(2.2)_Forward_Price_Curve'!$J:$J,MATCH($AB44,'(2.2)_Forward_Price_Curve'!$C:$C,0),1)</f>
        <v>12.592916666666667</v>
      </c>
      <c r="AP44" s="154">
        <f t="shared" si="20"/>
        <v>97.761066736599886</v>
      </c>
      <c r="AR44" s="154">
        <f t="shared" si="17"/>
        <v>3.1737350447197805</v>
      </c>
      <c r="AS44" s="154"/>
      <c r="AT44" s="153">
        <f t="shared" si="3"/>
        <v>474.80824366755314</v>
      </c>
      <c r="AV44" s="153">
        <f t="shared" si="4"/>
        <v>1736.2804602422609</v>
      </c>
      <c r="AW44" s="273"/>
      <c r="AX44" s="155">
        <f t="shared" si="8"/>
        <v>2211.0887039098143</v>
      </c>
      <c r="AZ44" s="146">
        <f>+IF(AZ43&gt;$G$13+$G$14,XX,AZ43+1)</f>
        <v>2025</v>
      </c>
      <c r="BA44" s="117"/>
      <c r="BB44" s="154">
        <f t="shared" si="18"/>
        <v>88.759185956913385</v>
      </c>
      <c r="BD44" s="154">
        <f t="shared" si="19"/>
        <v>5.8445529753556027</v>
      </c>
      <c r="BF44" s="153">
        <f t="shared" si="9"/>
        <v>195.76158593462958</v>
      </c>
      <c r="BH44" s="157"/>
    </row>
    <row r="45" spans="2:60" ht="12">
      <c r="B45" s="2"/>
      <c r="C45">
        <f>+IF(C44&gt;$G$13+$G$14,XX,C44+1)</f>
        <v>2026</v>
      </c>
      <c r="E45" s="169">
        <f>+INDEX('(2.2)_Forward_Price_Curve'!$U:$U,MATCH($C45,'(2.2)_Forward_Price_Curve'!C:C,0))</f>
        <v>1.9E-2</v>
      </c>
      <c r="G45" s="18">
        <f t="shared" si="10"/>
        <v>17202</v>
      </c>
      <c r="I45" s="28">
        <f t="shared" si="11"/>
        <v>241.16661308893458</v>
      </c>
      <c r="K45" s="28">
        <f t="shared" si="12"/>
        <v>0</v>
      </c>
      <c r="M45" s="28">
        <f t="shared" si="13"/>
        <v>0</v>
      </c>
      <c r="O45" s="270"/>
      <c r="Q45" s="28"/>
      <c r="S45" s="18">
        <f t="shared" si="5"/>
        <v>1012.8997749735253</v>
      </c>
      <c r="U45" s="18">
        <f t="shared" si="0"/>
        <v>2249.4709436450844</v>
      </c>
      <c r="W45" s="18">
        <f t="shared" si="1"/>
        <v>-1236.571168671559</v>
      </c>
      <c r="Y45" s="271">
        <f t="shared" si="6"/>
        <v>-71.885313839760443</v>
      </c>
      <c r="Z45" s="235"/>
      <c r="AB45" s="146">
        <f>+IF(AB44&gt;$G$13+$G$14,XX,AB44+1)</f>
        <v>2026</v>
      </c>
      <c r="AC45" s="117"/>
      <c r="AD45" s="151">
        <f t="shared" si="2"/>
        <v>17202</v>
      </c>
      <c r="AF45" s="154">
        <f t="shared" si="14"/>
        <v>141.68431885479387</v>
      </c>
      <c r="AH45" s="154">
        <f t="shared" si="15"/>
        <v>10.648293642010943</v>
      </c>
      <c r="AJ45" s="154">
        <f t="shared" si="16"/>
        <v>4.0086355209395519</v>
      </c>
      <c r="AL45" s="153">
        <f t="shared" si="7"/>
        <v>683.31065636462415</v>
      </c>
      <c r="AN45" s="154">
        <f>INDEX('(2.2)_Forward_Price_Curve'!$J:$J,MATCH($AB45,'(2.2)_Forward_Price_Curve'!$C:$C,0),1)</f>
        <v>12.819166666666668</v>
      </c>
      <c r="AP45" s="154">
        <f t="shared" si="20"/>
        <v>99.40759538972398</v>
      </c>
      <c r="AR45" s="154">
        <f t="shared" si="17"/>
        <v>3.2340360105694561</v>
      </c>
      <c r="AS45" s="154"/>
      <c r="AT45" s="153">
        <f t="shared" si="3"/>
        <v>483.8296002972366</v>
      </c>
      <c r="AV45" s="153">
        <f t="shared" si="4"/>
        <v>1765.6413433478476</v>
      </c>
      <c r="AW45" s="273"/>
      <c r="AX45" s="155">
        <f t="shared" si="8"/>
        <v>2249.4709436450844</v>
      </c>
      <c r="AZ45" s="146">
        <f>+IF(AZ44&gt;$G$13+$G$14,XX,AZ44+1)</f>
        <v>2026</v>
      </c>
      <c r="BA45" s="117"/>
      <c r="BB45" s="154">
        <f t="shared" si="18"/>
        <v>90.445610490094737</v>
      </c>
      <c r="BD45" s="154">
        <f t="shared" si="19"/>
        <v>5.9555994818873588</v>
      </c>
      <c r="BF45" s="153">
        <f t="shared" si="9"/>
        <v>199.48105606738756</v>
      </c>
      <c r="BH45" s="157"/>
    </row>
    <row r="46" spans="2:60" ht="12">
      <c r="B46" s="2"/>
      <c r="C46">
        <f>+IF(C45&gt;$G$13+$G$14,XX,C45+1)</f>
        <v>2027</v>
      </c>
      <c r="E46" s="169">
        <f>+INDEX('(2.2)_Forward_Price_Curve'!$U:$U,MATCH($C46,'(2.2)_Forward_Price_Curve'!C:C,0))</f>
        <v>1.9E-2</v>
      </c>
      <c r="G46" s="18">
        <f t="shared" si="10"/>
        <v>17202</v>
      </c>
      <c r="I46" s="28">
        <f t="shared" si="11"/>
        <v>245.74877873762432</v>
      </c>
      <c r="K46" s="28">
        <f t="shared" si="12"/>
        <v>0</v>
      </c>
      <c r="M46" s="28">
        <f t="shared" si="13"/>
        <v>0</v>
      </c>
      <c r="O46" s="270"/>
      <c r="Q46" s="28"/>
      <c r="S46" s="18">
        <f t="shared" si="5"/>
        <v>1032.1448706980223</v>
      </c>
      <c r="U46" s="18">
        <f t="shared" si="0"/>
        <v>2290.339395002668</v>
      </c>
      <c r="W46" s="18">
        <f t="shared" si="1"/>
        <v>-1258.1945243046457</v>
      </c>
      <c r="Y46" s="271">
        <f t="shared" si="6"/>
        <v>-73.142339513117406</v>
      </c>
      <c r="Z46" s="235"/>
      <c r="AB46" s="146">
        <f>+IF(AB45&gt;$G$13+$G$14,XX,AB45+1)</f>
        <v>2027</v>
      </c>
      <c r="AC46" s="117"/>
      <c r="AD46" s="151">
        <f t="shared" si="2"/>
        <v>17202</v>
      </c>
      <c r="AF46" s="154">
        <f t="shared" si="14"/>
        <v>144.37632091303493</v>
      </c>
      <c r="AH46" s="154">
        <f t="shared" si="15"/>
        <v>10.850611221209149</v>
      </c>
      <c r="AJ46" s="154">
        <f t="shared" si="16"/>
        <v>4.0847995958374028</v>
      </c>
      <c r="AL46" s="153">
        <f t="shared" si="7"/>
        <v>696.29355883555183</v>
      </c>
      <c r="AN46" s="154">
        <f>INDEX('(2.2)_Forward_Price_Curve'!$J:$J,MATCH($AB46,'(2.2)_Forward_Price_Curve'!$C:$C,0),1)</f>
        <v>13.063749999999999</v>
      </c>
      <c r="AP46" s="154">
        <f t="shared" si="20"/>
        <v>101.18754441253029</v>
      </c>
      <c r="AR46" s="154">
        <f t="shared" si="17"/>
        <v>3.2954826947702753</v>
      </c>
      <c r="AS46" s="154"/>
      <c r="AT46" s="153">
        <f t="shared" si="3"/>
        <v>493.02236270288392</v>
      </c>
      <c r="AV46" s="153">
        <f t="shared" si="4"/>
        <v>1797.3170322997842</v>
      </c>
      <c r="AW46" s="273"/>
      <c r="AX46" s="155">
        <f t="shared" si="8"/>
        <v>2290.339395002668</v>
      </c>
      <c r="AZ46" s="146">
        <f>+IF(AZ45&gt;$G$13+$G$14,XX,AZ45+1)</f>
        <v>2027</v>
      </c>
      <c r="BA46" s="117"/>
      <c r="BB46" s="154">
        <f t="shared" si="18"/>
        <v>92.164077089406533</v>
      </c>
      <c r="BD46" s="154">
        <f t="shared" si="19"/>
        <v>6.0687558720432184</v>
      </c>
      <c r="BF46" s="153">
        <f t="shared" si="9"/>
        <v>203.27119613266788</v>
      </c>
      <c r="BH46" s="157"/>
    </row>
    <row r="47" spans="2:60" ht="12">
      <c r="B47" s="2"/>
      <c r="C47">
        <f>+IF(C46&gt;$G$13+$G$14,XX,C46+1)</f>
        <v>2028</v>
      </c>
      <c r="E47" s="169">
        <f>+INDEX('(2.2)_Forward_Price_Curve'!$U:$U,MATCH($C47,'(2.2)_Forward_Price_Curve'!C:C,0))</f>
        <v>1.9E-2</v>
      </c>
      <c r="G47" s="18">
        <f t="shared" si="10"/>
        <v>17202</v>
      </c>
      <c r="I47" s="28">
        <f t="shared" si="11"/>
        <v>250.41800553363916</v>
      </c>
      <c r="K47" s="28">
        <f t="shared" si="12"/>
        <v>0</v>
      </c>
      <c r="M47" s="28">
        <f t="shared" si="13"/>
        <v>0</v>
      </c>
      <c r="O47" s="270"/>
      <c r="Q47" s="28"/>
      <c r="S47" s="18">
        <f t="shared" si="5"/>
        <v>1051.7556232412844</v>
      </c>
      <c r="U47" s="18">
        <f t="shared" si="0"/>
        <v>2331.8198823571993</v>
      </c>
      <c r="W47" s="18">
        <f t="shared" si="1"/>
        <v>-1280.0642591159149</v>
      </c>
      <c r="Y47" s="271">
        <f t="shared" si="6"/>
        <v>-74.413687891868079</v>
      </c>
      <c r="Z47" s="235"/>
      <c r="AB47" s="146">
        <f>+IF(AB46&gt;$G$13+$G$14,XX,AB46+1)</f>
        <v>2028</v>
      </c>
      <c r="AC47" s="117"/>
      <c r="AD47" s="151">
        <f t="shared" si="2"/>
        <v>17202</v>
      </c>
      <c r="AF47" s="154">
        <f t="shared" si="14"/>
        <v>147.11947101038257</v>
      </c>
      <c r="AH47" s="154">
        <f t="shared" si="15"/>
        <v>11.056772834412122</v>
      </c>
      <c r="AJ47" s="154">
        <f t="shared" si="16"/>
        <v>4.1624107881583132</v>
      </c>
      <c r="AL47" s="153">
        <f t="shared" si="7"/>
        <v>709.52313645342736</v>
      </c>
      <c r="AN47" s="154">
        <f>INDEX('(2.2)_Forward_Price_Curve'!$J:$J,MATCH($AB47,'(2.2)_Forward_Price_Curve'!$C:$C,0),1)</f>
        <v>13.311666666666667</v>
      </c>
      <c r="AP47" s="154">
        <f t="shared" si="20"/>
        <v>102.99175168436977</v>
      </c>
      <c r="AR47" s="154">
        <f t="shared" si="17"/>
        <v>3.3580968659709103</v>
      </c>
      <c r="AS47" s="154"/>
      <c r="AT47" s="153">
        <f t="shared" si="3"/>
        <v>502.38978759423878</v>
      </c>
      <c r="AV47" s="153">
        <f t="shared" si="4"/>
        <v>1829.4300947629604</v>
      </c>
      <c r="AW47" s="273"/>
      <c r="AX47" s="155">
        <f t="shared" si="8"/>
        <v>2331.8198823571993</v>
      </c>
      <c r="AZ47" s="146">
        <f>+IF(AZ46&gt;$G$13+$G$14,XX,AZ46+1)</f>
        <v>2028</v>
      </c>
      <c r="BA47" s="117"/>
      <c r="BB47" s="154">
        <f t="shared" si="18"/>
        <v>93.915194554105241</v>
      </c>
      <c r="BD47" s="154">
        <f t="shared" si="19"/>
        <v>6.184062233612039</v>
      </c>
      <c r="BF47" s="153">
        <f t="shared" si="9"/>
        <v>207.13334885918854</v>
      </c>
      <c r="BH47" s="157"/>
    </row>
    <row r="48" spans="2:60" ht="12">
      <c r="B48" s="2"/>
      <c r="C48">
        <f>+IF(C47&gt;$G$13+$G$14,XX,C47+1)</f>
        <v>2029</v>
      </c>
      <c r="E48" s="169">
        <f>+INDEX('(2.2)_Forward_Price_Curve'!$U:$U,MATCH($C48,'(2.2)_Forward_Price_Curve'!C:C,0))</f>
        <v>1.7999999999999999E-2</v>
      </c>
      <c r="G48" s="18">
        <f t="shared" si="10"/>
        <v>17202</v>
      </c>
      <c r="I48" s="28">
        <f t="shared" si="11"/>
        <v>254.92552963324468</v>
      </c>
      <c r="K48" s="28">
        <f t="shared" si="12"/>
        <v>0</v>
      </c>
      <c r="M48" s="28">
        <f t="shared" si="13"/>
        <v>0</v>
      </c>
      <c r="O48" s="270"/>
      <c r="Q48" s="28"/>
      <c r="S48" s="18">
        <f t="shared" si="5"/>
        <v>1070.6872244596277</v>
      </c>
      <c r="U48" s="18">
        <f t="shared" si="0"/>
        <v>2373.6178261131663</v>
      </c>
      <c r="W48" s="18">
        <f t="shared" si="1"/>
        <v>-1302.9306016535386</v>
      </c>
      <c r="Y48" s="271">
        <f t="shared" si="6"/>
        <v>-75.74297184359601</v>
      </c>
      <c r="Z48" s="235"/>
      <c r="AB48" s="146">
        <f>+IF(AB47&gt;$G$13+$G$14,XX,AB47+1)</f>
        <v>2029</v>
      </c>
      <c r="AC48" s="117"/>
      <c r="AD48" s="151">
        <f t="shared" si="2"/>
        <v>17202</v>
      </c>
      <c r="AF48" s="154">
        <f t="shared" si="14"/>
        <v>149.76762148856946</v>
      </c>
      <c r="AH48" s="154">
        <f t="shared" si="15"/>
        <v>11.25579474543154</v>
      </c>
      <c r="AJ48" s="154">
        <f t="shared" si="16"/>
        <v>4.2373341823451627</v>
      </c>
      <c r="AL48" s="153">
        <f t="shared" si="7"/>
        <v>722.2945529095889</v>
      </c>
      <c r="AN48" s="154">
        <f>INDEX('(2.2)_Forward_Price_Curve'!$J:$J,MATCH($AB48,'(2.2)_Forward_Price_Curve'!$C:$C,0),1)</f>
        <v>13.565833333333336</v>
      </c>
      <c r="AP48" s="154">
        <f t="shared" si="20"/>
        <v>104.83544078436273</v>
      </c>
      <c r="AR48" s="154">
        <f t="shared" si="17"/>
        <v>3.4185426095583868</v>
      </c>
      <c r="AS48" s="154"/>
      <c r="AT48" s="153">
        <f t="shared" si="3"/>
        <v>511.43280377093492</v>
      </c>
      <c r="AV48" s="153">
        <f t="shared" si="4"/>
        <v>1862.1850223422312</v>
      </c>
      <c r="AW48" s="273"/>
      <c r="AX48" s="155">
        <f t="shared" si="8"/>
        <v>2373.6178261131663</v>
      </c>
      <c r="AZ48" s="146">
        <f>+IF(AZ47&gt;$G$13+$G$14,XX,AZ47+1)</f>
        <v>2029</v>
      </c>
      <c r="BA48" s="117"/>
      <c r="BB48" s="154">
        <f t="shared" si="18"/>
        <v>95.605668056079139</v>
      </c>
      <c r="BD48" s="154">
        <f t="shared" si="19"/>
        <v>6.2953753538170556</v>
      </c>
      <c r="BF48" s="153">
        <f t="shared" si="9"/>
        <v>210.86174913865395</v>
      </c>
      <c r="BH48" s="157"/>
    </row>
    <row r="49" spans="2:60" ht="12">
      <c r="B49" s="2"/>
      <c r="C49">
        <f>+IF(C48&gt;$G$13+$G$14,XX,C48+1)</f>
        <v>2030</v>
      </c>
      <c r="E49" s="169">
        <f>+INDEX('(2.2)_Forward_Price_Curve'!$U:$U,MATCH($C49,'(2.2)_Forward_Price_Curve'!C:C,0))</f>
        <v>1.7999999999999999E-2</v>
      </c>
      <c r="G49" s="18">
        <f t="shared" si="10"/>
        <v>17202</v>
      </c>
      <c r="I49" s="28">
        <f t="shared" si="11"/>
        <v>259.51418916664306</v>
      </c>
      <c r="K49" s="28">
        <f t="shared" si="12"/>
        <v>0</v>
      </c>
      <c r="M49" s="28">
        <f t="shared" si="13"/>
        <v>0</v>
      </c>
      <c r="O49" s="270"/>
      <c r="Q49" s="28"/>
      <c r="S49" s="18">
        <f t="shared" si="5"/>
        <v>1089.959594499901</v>
      </c>
      <c r="U49" s="18">
        <f t="shared" si="0"/>
        <v>2415.9613199303485</v>
      </c>
      <c r="W49" s="18">
        <f t="shared" si="1"/>
        <v>-1326.0017254304476</v>
      </c>
      <c r="Y49" s="271">
        <f t="shared" si="6"/>
        <v>-77.084160297084509</v>
      </c>
      <c r="Z49" s="235"/>
      <c r="AB49" s="146">
        <f>+IF(AB48&gt;$G$13+$G$14,XX,AB48+1)</f>
        <v>2030</v>
      </c>
      <c r="AC49" s="117"/>
      <c r="AD49" s="151">
        <f t="shared" si="2"/>
        <v>17202</v>
      </c>
      <c r="AF49" s="154">
        <f t="shared" si="14"/>
        <v>152.4634386753637</v>
      </c>
      <c r="AH49" s="154">
        <f t="shared" si="15"/>
        <v>11.458399050849309</v>
      </c>
      <c r="AJ49" s="154">
        <f t="shared" si="16"/>
        <v>4.3136061976273758</v>
      </c>
      <c r="AL49" s="153">
        <f t="shared" si="7"/>
        <v>735.29585486196163</v>
      </c>
      <c r="AN49" s="154">
        <f>INDEX('(2.2)_Forward_Price_Curve'!$J:$J,MATCH($AB49,'(2.2)_Forward_Price_Curve'!$C:$C,0),1)</f>
        <v>13.822083333333332</v>
      </c>
      <c r="AP49" s="154">
        <f t="shared" si="20"/>
        <v>106.70029367878502</v>
      </c>
      <c r="AR49" s="154">
        <f t="shared" si="17"/>
        <v>3.4800763765304379</v>
      </c>
      <c r="AS49" s="154"/>
      <c r="AT49" s="153">
        <f t="shared" si="3"/>
        <v>520.63859423881195</v>
      </c>
      <c r="AV49" s="153">
        <f t="shared" si="4"/>
        <v>1895.3227256915363</v>
      </c>
      <c r="AW49" s="273"/>
      <c r="AX49" s="155">
        <f t="shared" si="8"/>
        <v>2415.9613199303485</v>
      </c>
      <c r="AZ49" s="146">
        <f>+IF(AZ48&gt;$G$13+$G$14,XX,AZ48+1)</f>
        <v>2030</v>
      </c>
      <c r="BA49" s="117"/>
      <c r="BB49" s="154">
        <f t="shared" si="18"/>
        <v>97.326570081088562</v>
      </c>
      <c r="BD49" s="154">
        <f t="shared" si="19"/>
        <v>6.408692110185763</v>
      </c>
      <c r="BF49" s="153">
        <f t="shared" si="9"/>
        <v>214.65726062314974</v>
      </c>
      <c r="BH49" s="157"/>
    </row>
    <row r="50" spans="2:60" ht="12">
      <c r="B50" s="2"/>
      <c r="C50">
        <f>+IF(C49&gt;$G$13+$G$14,XX,C49+1)</f>
        <v>2031</v>
      </c>
      <c r="E50" s="169">
        <f>+INDEX('(2.2)_Forward_Price_Curve'!$U:$U,MATCH($C50,'(2.2)_Forward_Price_Curve'!C:C,0))</f>
        <v>1.7999999999999999E-2</v>
      </c>
      <c r="G50" s="18">
        <f t="shared" si="10"/>
        <v>17202</v>
      </c>
      <c r="I50" s="28">
        <f t="shared" si="11"/>
        <v>264.18544457164262</v>
      </c>
      <c r="K50" s="28">
        <f t="shared" si="12"/>
        <v>0</v>
      </c>
      <c r="M50" s="28">
        <f t="shared" si="13"/>
        <v>0</v>
      </c>
      <c r="O50" s="270"/>
      <c r="Q50" s="28"/>
      <c r="S50" s="18">
        <f t="shared" si="5"/>
        <v>1109.5788672008991</v>
      </c>
      <c r="U50" s="18">
        <f t="shared" si="0"/>
        <v>2459.3241518451587</v>
      </c>
      <c r="W50" s="18">
        <f t="shared" si="1"/>
        <v>-1349.7452846442595</v>
      </c>
      <c r="Y50" s="271">
        <f t="shared" si="6"/>
        <v>-78.464439288702451</v>
      </c>
      <c r="Z50" s="235"/>
      <c r="AB50" s="146">
        <f>+IF(AB49&gt;$G$13+$G$14,XX,AB49+1)</f>
        <v>2031</v>
      </c>
      <c r="AC50" s="117"/>
      <c r="AD50" s="151">
        <f t="shared" si="2"/>
        <v>17202</v>
      </c>
      <c r="AF50" s="154">
        <f t="shared" si="14"/>
        <v>155.20778057152026</v>
      </c>
      <c r="AH50" s="154">
        <f t="shared" si="15"/>
        <v>11.664650233764597</v>
      </c>
      <c r="AJ50" s="154">
        <f t="shared" si="16"/>
        <v>4.3912511091846689</v>
      </c>
      <c r="AL50" s="153">
        <f t="shared" si="7"/>
        <v>748.53118024947707</v>
      </c>
      <c r="AN50" s="154">
        <f>INDEX('(2.2)_Forward_Price_Curve'!$J:$J,MATCH($AB50,'(2.2)_Forward_Price_Curve'!$C:$C,0),1)</f>
        <v>14.084999999999999</v>
      </c>
      <c r="AP50" s="154">
        <f t="shared" si="20"/>
        <v>108.61366307127358</v>
      </c>
      <c r="AR50" s="154">
        <f t="shared" si="17"/>
        <v>3.5427177513079857</v>
      </c>
      <c r="AS50" s="154"/>
      <c r="AT50" s="153">
        <f t="shared" si="3"/>
        <v>530.01008893511062</v>
      </c>
      <c r="AV50" s="153">
        <f t="shared" si="4"/>
        <v>1929.3140629100481</v>
      </c>
      <c r="AW50" s="273"/>
      <c r="AX50" s="155">
        <f t="shared" si="8"/>
        <v>2459.3241518451587</v>
      </c>
      <c r="AZ50" s="146">
        <f>+IF(AZ49&gt;$G$13+$G$14,XX,AZ49+1)</f>
        <v>2031</v>
      </c>
      <c r="BA50" s="117"/>
      <c r="BB50" s="154">
        <f t="shared" si="18"/>
        <v>99.078448342548157</v>
      </c>
      <c r="BD50" s="154">
        <f t="shared" si="19"/>
        <v>6.5240485681691069</v>
      </c>
      <c r="BF50" s="153">
        <f t="shared" si="9"/>
        <v>218.52109131436643</v>
      </c>
      <c r="BH50" s="157"/>
    </row>
    <row r="51" spans="2:60" ht="12">
      <c r="B51" s="2"/>
      <c r="C51">
        <f>+IF(C50&gt;$G$13+$G$14,XX,C50+1)</f>
        <v>2032</v>
      </c>
      <c r="E51" s="169">
        <f>+INDEX('(2.2)_Forward_Price_Curve'!$U:$U,MATCH($C51,'(2.2)_Forward_Price_Curve'!C:C,0))</f>
        <v>1.7999999999999999E-2</v>
      </c>
      <c r="G51" s="18">
        <f t="shared" si="10"/>
        <v>17202</v>
      </c>
      <c r="I51" s="28">
        <f t="shared" si="11"/>
        <v>268.94078257393221</v>
      </c>
      <c r="K51" s="28">
        <f t="shared" si="12"/>
        <v>0</v>
      </c>
      <c r="M51" s="28">
        <f t="shared" si="13"/>
        <v>0</v>
      </c>
      <c r="O51" s="270"/>
      <c r="Q51" s="28"/>
      <c r="S51" s="18">
        <f t="shared" si="5"/>
        <v>1129.5512868105154</v>
      </c>
      <c r="U51" s="18">
        <f t="shared" si="0"/>
        <v>2503.3445183890749</v>
      </c>
      <c r="W51" s="18">
        <f t="shared" si="1"/>
        <v>-1373.7932315785595</v>
      </c>
      <c r="Y51" s="271">
        <f t="shared" si="6"/>
        <v>-79.862413183267023</v>
      </c>
      <c r="Z51" s="235"/>
      <c r="AB51" s="146">
        <f>+IF(AB50&gt;$G$13+$G$14,XX,AB50+1)</f>
        <v>2032</v>
      </c>
      <c r="AC51" s="117"/>
      <c r="AD51" s="151">
        <f t="shared" si="2"/>
        <v>17202</v>
      </c>
      <c r="AF51" s="154">
        <f t="shared" si="14"/>
        <v>158.00152062180763</v>
      </c>
      <c r="AH51" s="154">
        <f t="shared" si="15"/>
        <v>11.874613937972359</v>
      </c>
      <c r="AJ51" s="154">
        <f t="shared" si="16"/>
        <v>4.4702936291499933</v>
      </c>
      <c r="AL51" s="153">
        <f t="shared" si="7"/>
        <v>762.00474149396757</v>
      </c>
      <c r="AN51" s="154">
        <f>INDEX('(2.2)_Forward_Price_Curve'!$J:$J,MATCH($AB51,'(2.2)_Forward_Price_Curve'!$C:$C,0),1)</f>
        <v>14.351666666666667</v>
      </c>
      <c r="AP51" s="154">
        <f t="shared" si="20"/>
        <v>110.55432299392444</v>
      </c>
      <c r="AR51" s="154">
        <f t="shared" si="17"/>
        <v>3.6064866708315297</v>
      </c>
      <c r="AS51" s="154"/>
      <c r="AT51" s="153">
        <f t="shared" si="3"/>
        <v>539.55027053594256</v>
      </c>
      <c r="AV51" s="153">
        <f t="shared" si="4"/>
        <v>1963.7942478531322</v>
      </c>
      <c r="AW51" s="273"/>
      <c r="AX51" s="155">
        <f t="shared" si="8"/>
        <v>2503.3445183890749</v>
      </c>
      <c r="AZ51" s="146">
        <f>+IF(AZ50&gt;$G$13+$G$14,XX,AZ50+1)</f>
        <v>2032</v>
      </c>
      <c r="BA51" s="117"/>
      <c r="BB51" s="154">
        <f t="shared" si="18"/>
        <v>100.86186041271402</v>
      </c>
      <c r="BD51" s="154">
        <f t="shared" si="19"/>
        <v>6.6414814423961506</v>
      </c>
      <c r="BF51" s="153">
        <f t="shared" si="9"/>
        <v>222.45447095802501</v>
      </c>
      <c r="BH51" s="157"/>
    </row>
    <row r="52" spans="2:60" ht="12">
      <c r="B52" s="2"/>
      <c r="C52">
        <f>+IF(C51&gt;$G$13+$G$14,XX,C51+1)</f>
        <v>2033</v>
      </c>
      <c r="E52" s="169">
        <f>+INDEX('(2.2)_Forward_Price_Curve'!$U:$U,MATCH($C52,'(2.2)_Forward_Price_Curve'!C:C,0))</f>
        <v>1.9E-2</v>
      </c>
      <c r="G52" s="18">
        <f t="shared" si="10"/>
        <v>17202</v>
      </c>
      <c r="I52" s="28">
        <f t="shared" si="11"/>
        <v>274.05065744283689</v>
      </c>
      <c r="K52" s="28">
        <f t="shared" si="12"/>
        <v>0</v>
      </c>
      <c r="M52" s="28">
        <f t="shared" si="13"/>
        <v>0</v>
      </c>
      <c r="O52" s="270"/>
      <c r="Q52" s="28"/>
      <c r="S52" s="18">
        <f t="shared" si="5"/>
        <v>1151.0127612599149</v>
      </c>
      <c r="U52" s="18">
        <f t="shared" si="0"/>
        <v>2547.3222921013721</v>
      </c>
      <c r="W52" s="18">
        <f t="shared" si="1"/>
        <v>-1396.3095308414572</v>
      </c>
      <c r="Y52" s="271">
        <f t="shared" si="6"/>
        <v>-81.171348147974484</v>
      </c>
      <c r="Z52" s="235"/>
      <c r="AB52" s="146">
        <f>+IF(AB51&gt;$G$13+$G$14,XX,AB51+1)</f>
        <v>2033</v>
      </c>
      <c r="AC52" s="117"/>
      <c r="AD52" s="151">
        <f t="shared" si="2"/>
        <v>17202</v>
      </c>
      <c r="AF52" s="154">
        <f t="shared" si="14"/>
        <v>161.00354951362195</v>
      </c>
      <c r="AH52" s="154">
        <f t="shared" si="15"/>
        <v>12.100231602793833</v>
      </c>
      <c r="AJ52" s="154">
        <f t="shared" si="16"/>
        <v>4.5552292081038424</v>
      </c>
      <c r="AL52" s="153">
        <f t="shared" si="7"/>
        <v>776.48283158235279</v>
      </c>
      <c r="AN52" s="154">
        <f>INDEX('(2.2)_Forward_Price_Curve'!$J:$J,MATCH($AB52,'(2.2)_Forward_Price_Curve'!$C:$C,0),1)</f>
        <v>14.610833333333332</v>
      </c>
      <c r="AP52" s="154">
        <f t="shared" si="20"/>
        <v>112.44640424503439</v>
      </c>
      <c r="AR52" s="154">
        <f t="shared" si="17"/>
        <v>3.6750099175773285</v>
      </c>
      <c r="AS52" s="154"/>
      <c r="AT52" s="153">
        <f t="shared" si="3"/>
        <v>549.80172567612533</v>
      </c>
      <c r="AV52" s="153">
        <f t="shared" si="4"/>
        <v>1997.5205664252467</v>
      </c>
      <c r="AW52" s="273"/>
      <c r="AX52" s="155">
        <f t="shared" si="8"/>
        <v>2547.3222921013721</v>
      </c>
      <c r="AZ52" s="146">
        <f>+IF(AZ51&gt;$G$13+$G$14,XX,AZ51+1)</f>
        <v>2033</v>
      </c>
      <c r="BA52" s="117"/>
      <c r="BB52" s="154">
        <f t="shared" si="18"/>
        <v>102.77823576055557</v>
      </c>
      <c r="BD52" s="154">
        <f t="shared" si="19"/>
        <v>6.7676695898016765</v>
      </c>
      <c r="BF52" s="153">
        <f>(BB52+BD52)*$BD$11</f>
        <v>226.68110590622746</v>
      </c>
      <c r="BH52" s="157"/>
    </row>
    <row r="53" spans="2:60" ht="12">
      <c r="B53" s="2"/>
      <c r="C53">
        <f>+IF(C52&gt;$G$13+$G$14,XX,C52+1)</f>
        <v>2034</v>
      </c>
      <c r="E53" s="169">
        <f>+INDEX('(2.2)_Forward_Price_Curve'!$U:$U,MATCH($C53,'(2.2)_Forward_Price_Curve'!C:C,0))</f>
        <v>1.7999999999999999E-2</v>
      </c>
      <c r="G53" s="18">
        <f t="shared" si="10"/>
        <v>17202</v>
      </c>
      <c r="I53" s="28">
        <f t="shared" si="11"/>
        <v>278.98356927680794</v>
      </c>
      <c r="K53" s="28">
        <f t="shared" si="12"/>
        <v>0</v>
      </c>
      <c r="M53" s="28">
        <f t="shared" si="13"/>
        <v>0</v>
      </c>
      <c r="O53" s="270"/>
      <c r="Q53" s="28"/>
      <c r="S53" s="18">
        <f t="shared" si="5"/>
        <v>1171.7309909625933</v>
      </c>
      <c r="U53" s="18">
        <f t="shared" si="0"/>
        <v>2591.3236496320646</v>
      </c>
      <c r="W53" s="18">
        <f t="shared" si="1"/>
        <v>-1419.5926586694713</v>
      </c>
      <c r="Y53" s="271">
        <f t="shared" si="6"/>
        <v>-82.524860985319805</v>
      </c>
      <c r="Z53" s="235"/>
      <c r="AB53" s="146">
        <f>+IF(AB52&gt;$G$13+$G$14,XX,AB52+1)</f>
        <v>2034</v>
      </c>
      <c r="AC53" s="117"/>
      <c r="AD53" s="151">
        <f t="shared" si="2"/>
        <v>17202</v>
      </c>
      <c r="AF53" s="154">
        <f t="shared" si="14"/>
        <v>163.90161340486713</v>
      </c>
      <c r="AH53" s="154">
        <f t="shared" si="15"/>
        <v>12.318035771644123</v>
      </c>
      <c r="AJ53" s="154">
        <f t="shared" si="16"/>
        <v>4.637223333849712</v>
      </c>
      <c r="AL53" s="153">
        <f t="shared" si="7"/>
        <v>790.45952255083512</v>
      </c>
      <c r="AN53" s="154">
        <f>INDEX('(2.2)_Forward_Price_Curve'!$J:$J,MATCH($AB53,'(2.2)_Forward_Price_Curve'!$C:$C,0),1)</f>
        <v>14.875000000000002</v>
      </c>
      <c r="AP53" s="154">
        <f t="shared" si="20"/>
        <v>114.36286809212677</v>
      </c>
      <c r="AR53" s="154">
        <f t="shared" si="17"/>
        <v>3.7411600960937204</v>
      </c>
      <c r="AS53" s="154"/>
      <c r="AT53" s="153">
        <f t="shared" si="3"/>
        <v>559.69815673829555</v>
      </c>
      <c r="AV53" s="153">
        <f t="shared" si="4"/>
        <v>2031.625492893769</v>
      </c>
      <c r="AW53" s="273"/>
      <c r="AX53" s="155">
        <f t="shared" si="8"/>
        <v>2591.3236496320646</v>
      </c>
      <c r="AZ53" s="146">
        <f>+IF(AZ52&gt;$G$13+$G$14,XX,AZ52+1)</f>
        <v>2034</v>
      </c>
      <c r="BA53" s="117"/>
      <c r="BB53" s="154">
        <f t="shared" si="18"/>
        <v>104.62824400424557</v>
      </c>
      <c r="BD53" s="154">
        <f t="shared" si="19"/>
        <v>6.8894876424181071</v>
      </c>
      <c r="BF53" s="153">
        <f>(BB53+BD53)*$BD$11</f>
        <v>230.76136581253954</v>
      </c>
      <c r="BH53" s="157"/>
    </row>
    <row r="54" spans="2:60" ht="12">
      <c r="B54" s="2"/>
      <c r="C54">
        <f>+IF(C53&gt;$G$13+$G$14,XX,C53+1)</f>
        <v>2035</v>
      </c>
      <c r="E54" s="169">
        <f>+INDEX('(2.2)_Forward_Price_Curve'!$U:$U,MATCH($C54,'(2.2)_Forward_Price_Curve'!C:C,0))</f>
        <v>1.7999999999999999E-2</v>
      </c>
      <c r="G54" s="18">
        <f t="shared" si="10"/>
        <v>17202</v>
      </c>
      <c r="I54" s="28">
        <f t="shared" si="11"/>
        <v>284.00527352379049</v>
      </c>
      <c r="K54" s="28">
        <f t="shared" si="12"/>
        <v>0</v>
      </c>
      <c r="M54" s="28">
        <f t="shared" si="13"/>
        <v>0</v>
      </c>
      <c r="O54" s="270"/>
      <c r="Q54" s="28"/>
      <c r="S54" s="18">
        <f t="shared" si="5"/>
        <v>1192.8221487999201</v>
      </c>
      <c r="U54" s="18">
        <f t="shared" si="0"/>
        <v>2635.8355236903403</v>
      </c>
      <c r="W54" s="18">
        <f t="shared" si="1"/>
        <v>-1443.0133748904202</v>
      </c>
      <c r="Y54" s="271">
        <f t="shared" si="6"/>
        <v>-83.886372217789798</v>
      </c>
      <c r="Z54" s="235"/>
      <c r="AB54" s="146">
        <f>+IF(AB53&gt;$G$13+$G$14,XX,AB53+1)</f>
        <v>2035</v>
      </c>
      <c r="AC54" s="117"/>
      <c r="AD54" s="151">
        <f t="shared" si="2"/>
        <v>17202</v>
      </c>
      <c r="AF54" s="154">
        <f t="shared" si="14"/>
        <v>166.85184244615473</v>
      </c>
      <c r="AH54" s="154">
        <f t="shared" si="15"/>
        <v>12.539760415533717</v>
      </c>
      <c r="AJ54" s="154">
        <f t="shared" si="16"/>
        <v>4.7206933538590068</v>
      </c>
      <c r="AL54" s="153">
        <f t="shared" si="7"/>
        <v>804.68779395675006</v>
      </c>
      <c r="AN54" s="154">
        <f>INDEX('(2.2)_Forward_Price_Curve'!$J:$J,MATCH($AB54,'(2.2)_Forward_Price_Curve'!$C:$C,0),1)</f>
        <v>15.140833333333333</v>
      </c>
      <c r="AP54" s="154">
        <f t="shared" si="20"/>
        <v>116.29746345251931</v>
      </c>
      <c r="AR54" s="154">
        <f t="shared" si="17"/>
        <v>3.8085009778234076</v>
      </c>
      <c r="AS54" s="154"/>
      <c r="AT54" s="153">
        <f t="shared" si="3"/>
        <v>569.77272355958485</v>
      </c>
      <c r="AV54" s="153">
        <f t="shared" si="4"/>
        <v>2066.0628001307555</v>
      </c>
      <c r="AW54" s="273"/>
      <c r="AX54" s="155">
        <f t="shared" si="8"/>
        <v>2635.8355236903403</v>
      </c>
      <c r="AZ54" s="146">
        <f>+IF(AZ53&gt;$G$13+$G$14,XX,AZ53+1)</f>
        <v>2035</v>
      </c>
      <c r="BA54" s="117"/>
      <c r="BB54" s="154">
        <f t="shared" si="18"/>
        <v>106.51155239632199</v>
      </c>
      <c r="BD54" s="154">
        <f t="shared" si="19"/>
        <v>7.0134984199816328</v>
      </c>
      <c r="BF54" s="153">
        <f>(BB54+BD54)*$BD$11</f>
        <v>234.91507039716524</v>
      </c>
      <c r="BH54" s="157"/>
    </row>
    <row r="55" spans="2:60" ht="12">
      <c r="B55" s="2"/>
      <c r="C55">
        <f>+IF(C54&gt;$G$13+$G$14,XX,C54+1)</f>
        <v>2036</v>
      </c>
      <c r="E55" s="169">
        <f>+INDEX('(2.2)_Forward_Price_Curve'!$U:$U,MATCH($C55,'(2.2)_Forward_Price_Curve'!C:C,0))</f>
        <v>1.7999999999999999E-2</v>
      </c>
      <c r="G55" s="18">
        <f t="shared" si="10"/>
        <v>17202</v>
      </c>
      <c r="I55" s="28">
        <f t="shared" si="11"/>
        <v>289.11736844721872</v>
      </c>
      <c r="K55" s="28">
        <f t="shared" si="12"/>
        <v>0</v>
      </c>
      <c r="M55" s="28">
        <f t="shared" si="13"/>
        <v>0</v>
      </c>
      <c r="O55" s="270"/>
      <c r="Q55" s="28"/>
      <c r="S55" s="18">
        <f t="shared" si="5"/>
        <v>1214.2929474783186</v>
      </c>
      <c r="U55" s="18">
        <f t="shared" si="0"/>
        <v>2681.4363332123753</v>
      </c>
      <c r="W55" s="18">
        <f t="shared" si="1"/>
        <v>-1467.1433857340567</v>
      </c>
      <c r="Y55" s="271">
        <f t="shared" si="6"/>
        <v>-85.289116715152687</v>
      </c>
      <c r="Z55" s="235"/>
      <c r="AB55" s="146">
        <f>+IF(AB54&gt;$G$13+$G$14,XX,AB54+1)</f>
        <v>2036</v>
      </c>
      <c r="AC55" s="117"/>
      <c r="AD55" s="151">
        <f t="shared" si="2"/>
        <v>17202</v>
      </c>
      <c r="AF55" s="154">
        <f t="shared" si="14"/>
        <v>169.85517561018551</v>
      </c>
      <c r="AH55" s="154">
        <f t="shared" si="15"/>
        <v>12.765476103013324</v>
      </c>
      <c r="AJ55" s="154">
        <f t="shared" si="16"/>
        <v>4.8056658342284688</v>
      </c>
      <c r="AL55" s="153">
        <f t="shared" si="7"/>
        <v>819.17217424797172</v>
      </c>
      <c r="AN55" s="154">
        <f>INDEX('(2.2)_Forward_Price_Curve'!$J:$J,MATCH($AB55,'(2.2)_Forward_Price_Curve'!$C:$C,0),1)</f>
        <v>15.413750000000002</v>
      </c>
      <c r="AP55" s="154">
        <f t="shared" si="20"/>
        <v>118.28360759210733</v>
      </c>
      <c r="AR55" s="154">
        <f t="shared" si="17"/>
        <v>3.8770539954242289</v>
      </c>
      <c r="AS55" s="154"/>
      <c r="AT55" s="153">
        <f t="shared" si="3"/>
        <v>580.02863258365744</v>
      </c>
      <c r="AV55" s="153">
        <f t="shared" si="4"/>
        <v>2101.407700628718</v>
      </c>
      <c r="AW55" s="273"/>
      <c r="AX55" s="155">
        <f t="shared" si="8"/>
        <v>2681.4363332123753</v>
      </c>
      <c r="AZ55" s="146">
        <f>+IF(AZ54&gt;$G$13+$G$14,XX,AZ54+1)</f>
        <v>2036</v>
      </c>
      <c r="BA55" s="117"/>
      <c r="BB55" s="154">
        <f t="shared" si="18"/>
        <v>108.42876033945579</v>
      </c>
      <c r="BD55" s="154">
        <f t="shared" si="19"/>
        <v>7.1397413915413024</v>
      </c>
      <c r="BF55" s="153">
        <f>(BB55+BD55)*$BD$11</f>
        <v>239.14354166431426</v>
      </c>
      <c r="BH55" s="157"/>
    </row>
    <row r="56" spans="2:60" ht="12">
      <c r="B56" s="2"/>
      <c r="C56">
        <f>+IF(C55&gt;$G$13+$G$14,XX,C55+1)</f>
        <v>2037</v>
      </c>
      <c r="E56" s="169">
        <f>+INDEX('(2.2)_Forward_Price_Curve'!$U:$U,MATCH($C56,'(2.2)_Forward_Price_Curve'!C:C,0))</f>
        <v>1.7999999999999999E-2</v>
      </c>
      <c r="G56" s="18">
        <f t="shared" si="10"/>
        <v>17202</v>
      </c>
      <c r="I56" s="28">
        <f t="shared" si="11"/>
        <v>294.32148107926866</v>
      </c>
      <c r="K56" s="28">
        <f t="shared" si="12"/>
        <v>0</v>
      </c>
      <c r="M56" s="28">
        <f t="shared" si="13"/>
        <v>0</v>
      </c>
      <c r="O56" s="270"/>
      <c r="Q56" s="28"/>
      <c r="S56" s="18">
        <f t="shared" si="5"/>
        <v>1236.1502205329284</v>
      </c>
      <c r="U56" s="18">
        <f t="shared" si="0"/>
        <v>2729.7988792781925</v>
      </c>
      <c r="W56" s="18">
        <f t="shared" si="1"/>
        <v>-1493.6486587452641</v>
      </c>
      <c r="Y56" s="271">
        <f t="shared" si="6"/>
        <v>-86.829941794283471</v>
      </c>
      <c r="Z56" s="235"/>
      <c r="AB56" s="146">
        <f>+IF(AB55&gt;$G$13+$G$14,XX,AB55+1)</f>
        <v>2037</v>
      </c>
      <c r="AC56" s="117"/>
      <c r="AD56" s="151">
        <f t="shared" si="2"/>
        <v>17202</v>
      </c>
      <c r="AF56" s="154">
        <f t="shared" si="14"/>
        <v>172.91256877116885</v>
      </c>
      <c r="AH56" s="154">
        <f t="shared" si="15"/>
        <v>12.995254672867564</v>
      </c>
      <c r="AJ56" s="154">
        <f t="shared" si="16"/>
        <v>4.8921678192445812</v>
      </c>
      <c r="AL56" s="153">
        <f t="shared" si="7"/>
        <v>833.91727338443513</v>
      </c>
      <c r="AN56" s="154">
        <f>INDEX('(2.2)_Forward_Price_Curve'!$J:$J,MATCH($AB56,'(2.2)_Forward_Price_Curve'!$C:$C,0),1)</f>
        <v>15.707083333333335</v>
      </c>
      <c r="AP56" s="154">
        <f t="shared" si="20"/>
        <v>120.41833350702328</v>
      </c>
      <c r="AR56" s="154">
        <f t="shared" si="17"/>
        <v>3.9468409673418652</v>
      </c>
      <c r="AS56" s="154"/>
      <c r="AT56" s="153">
        <f t="shared" si="3"/>
        <v>590.46914797016325</v>
      </c>
      <c r="AV56" s="153">
        <f t="shared" si="4"/>
        <v>2139.3297313080293</v>
      </c>
      <c r="AW56" s="273"/>
      <c r="AX56" s="155">
        <f t="shared" si="8"/>
        <v>2729.7988792781925</v>
      </c>
      <c r="AZ56" s="146">
        <f>+IF(AZ55&gt;$G$13+$G$14,XX,AZ55+1)</f>
        <v>2037</v>
      </c>
      <c r="BA56" s="117"/>
      <c r="BB56" s="154">
        <f t="shared" si="18"/>
        <v>110.38047802556599</v>
      </c>
      <c r="BD56" s="154">
        <f t="shared" si="19"/>
        <v>7.2682567365890458</v>
      </c>
      <c r="BF56" s="153">
        <f>(BB56+BD56)*$BD$11</f>
        <v>243.44812541427191</v>
      </c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29-year Nominal Levelized at 7.36%</v>
      </c>
      <c r="E58" s="169"/>
      <c r="G58" s="18">
        <f>+-PMT($G$18,$G$14,NPV($G$18,G28:G56))</f>
        <v>17202.000000000022</v>
      </c>
      <c r="I58" s="28">
        <f>+-PMT($G$18,$G$14,NPV($G$18,I28:I56))</f>
        <v>210.84084894148145</v>
      </c>
      <c r="J58" s="28"/>
      <c r="K58" s="28">
        <f>+-PMT($G$18,$G$14,NPV($G$18,K28:K56))</f>
        <v>0</v>
      </c>
      <c r="M58" s="28">
        <f>+-PMT($G$18,$G$14,NPV($G$18,M28:M56))</f>
        <v>0</v>
      </c>
      <c r="O58" s="28">
        <f>+-PMT($G$18,$G$14,NPV($G$18,O28:O56))</f>
        <v>0</v>
      </c>
      <c r="Q58" s="28">
        <f>+-PMT($G$18,$G$14,NPV($G$18,Q28:Q56))</f>
        <v>0</v>
      </c>
      <c r="S58" s="18">
        <f>+-PMT($G$18,$G$14,NPV($G$18,S28:S56))</f>
        <v>885.53156555422208</v>
      </c>
      <c r="U58" s="18">
        <f>+-PMT($G$18,$G$14,NPV($G$18,U28:U56))</f>
        <v>2014.8542606002784</v>
      </c>
      <c r="W58" s="18">
        <f>+-PMT($G$18,$G$14,NPV($G$18,W28:W56))</f>
        <v>-1129.3226950460569</v>
      </c>
      <c r="Y58" s="271">
        <f>+-PMT($G$18,$G$14,NPV($G$18,Y28:Y56))</f>
        <v>-65.650662425651461</v>
      </c>
      <c r="Z58" s="235"/>
      <c r="AB58" s="2"/>
      <c r="AD58" s="151">
        <f>+-PMT($G$18,$G$14,NPV($G$18,AD28:AD56))</f>
        <v>17202.000000000022</v>
      </c>
      <c r="AF58" s="154">
        <f>+-PMT($G$18,$G$14,NPV($G$18,AF28:AF56))</f>
        <v>123.86806650564077</v>
      </c>
      <c r="AH58" s="154">
        <f>+-PMT($G$18,$G$14,NPV($G$18,AH28:AH56))</f>
        <v>9.3093121079402756</v>
      </c>
      <c r="AJ58" s="154">
        <f>+-PMT($G$18,$G$14,NPV($G$18,AJ28:AJ56))</f>
        <v>3.504565186310411</v>
      </c>
      <c r="AL58" s="153">
        <f>+-PMT($G$18,$G$14,NPV($G$18,AL28:AL56))</f>
        <v>597.38699745121812</v>
      </c>
      <c r="AN58" s="154">
        <f>+-PMT($G$18,$G$14,NPV($G$18,AN28:AN56))</f>
        <v>11.490354307318551</v>
      </c>
      <c r="AP58" s="154">
        <f>+-PMT($G$18,$G$14,NPV($G$18,AP28:AP56))</f>
        <v>89.712124053679105</v>
      </c>
      <c r="AR58" s="154">
        <f>+-PMT($G$18,$G$14,NPV($G$18,AR28:AR56))</f>
        <v>2.8273685533923181</v>
      </c>
      <c r="AS58" s="154"/>
      <c r="AT58" s="153">
        <f>+-PMT($G$18,$G$14,NPV($G$18,AT28:AT56))</f>
        <v>422.98990877343618</v>
      </c>
      <c r="AV58" s="153">
        <f>+-PMT($G$18,$G$14,NPV($G$18,AV28:AV56))</f>
        <v>1591.8643518268429</v>
      </c>
      <c r="AW58" s="273"/>
      <c r="AX58" s="155">
        <f>+-PMT($G$18,$G$14,NPV($G$18,AX28:AX56))</f>
        <v>2014.8542606002784</v>
      </c>
      <c r="AZ58" s="2"/>
      <c r="BB58" s="154">
        <f>+-PMT($G$18,$G$14,NPV($G$18,BB28:BB56))</f>
        <v>79.072426545750176</v>
      </c>
      <c r="BD58" s="154">
        <f>+-PMT($G$18,$G$14,NPV($G$18,BD28:BD56))</f>
        <v>5.206705997291265</v>
      </c>
      <c r="BF58" s="153">
        <f>+-PMT($G$18,$G$14,NPV($G$18,BF28:BF56))</f>
        <v>174.39708867778191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03BC-145E-41F4-B626-ACC91B76DE1E}">
  <sheetPr codeName="Sheet26">
    <tabColor theme="0" tint="-0.249977111117893"/>
    <pageSetUpPr fitToPage="1"/>
  </sheetPr>
  <dimension ref="A1:BL99"/>
  <sheetViews>
    <sheetView workbookViewId="0"/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231" customFormat="1">
      <c r="A1" s="231" t="s">
        <v>0</v>
      </c>
    </row>
    <row r="2" spans="1:64" s="231" customFormat="1">
      <c r="A2" s="231" t="s">
        <v>143</v>
      </c>
    </row>
    <row r="3" spans="1:64" s="231" customFormat="1">
      <c r="A3" s="231" t="s">
        <v>1</v>
      </c>
    </row>
    <row r="4" spans="1:64" s="231" customFormat="1"/>
    <row r="5" spans="1:64" s="231" customFormat="1"/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85" t="s">
        <v>96</v>
      </c>
      <c r="AO8" s="386"/>
      <c r="AP8" s="386"/>
      <c r="AQ8" s="386"/>
      <c r="AR8" s="386"/>
      <c r="AS8" s="386"/>
      <c r="AT8" s="386"/>
      <c r="AU8" s="386"/>
      <c r="AV8" s="386"/>
      <c r="AW8" s="387"/>
      <c r="AZ8" s="244" t="s">
        <v>97</v>
      </c>
      <c r="BA8" s="245"/>
      <c r="BB8" s="245"/>
      <c r="BC8" s="245"/>
      <c r="BD8" s="245"/>
      <c r="BE8" s="246"/>
      <c r="BG8" s="385" t="s">
        <v>97</v>
      </c>
      <c r="BH8" s="386"/>
      <c r="BI8" s="386"/>
      <c r="BJ8" s="386"/>
      <c r="BK8" s="386"/>
      <c r="BL8" s="38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436"/>
      <c r="AO9" s="437"/>
      <c r="AP9" s="437"/>
      <c r="AQ9" s="437"/>
      <c r="AR9" s="438"/>
      <c r="AS9" s="437"/>
      <c r="AT9" s="437"/>
      <c r="AU9" s="437"/>
      <c r="AV9" s="439"/>
      <c r="AW9" s="440"/>
      <c r="AZ9" s="116"/>
      <c r="BA9" s="117"/>
      <c r="BB9" s="117"/>
      <c r="BC9" s="117"/>
      <c r="BD9" s="118"/>
      <c r="BE9" s="121"/>
      <c r="BG9" s="436"/>
      <c r="BH9" s="437"/>
      <c r="BI9" s="437"/>
      <c r="BJ9" s="437"/>
      <c r="BK9" s="438"/>
      <c r="BL9" s="441"/>
    </row>
    <row r="10" spans="1:64" ht="12">
      <c r="B10" s="250"/>
      <c r="C10" s="231" t="s">
        <v>98</v>
      </c>
      <c r="D10" s="231"/>
      <c r="E10" s="231"/>
      <c r="F10" s="231"/>
      <c r="G10" s="251" t="s">
        <v>26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230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388" t="s">
        <v>230</v>
      </c>
      <c r="BH10" s="389"/>
      <c r="BI10" s="389"/>
      <c r="BJ10" s="389"/>
      <c r="BK10" s="390"/>
      <c r="BL10" s="398"/>
    </row>
    <row r="11" spans="1:64" ht="12">
      <c r="B11" s="250"/>
      <c r="C11" s="231" t="s">
        <v>31</v>
      </c>
      <c r="D11" s="231"/>
      <c r="E11" s="231"/>
      <c r="F11" s="231"/>
      <c r="G11" s="251">
        <v>140.4</v>
      </c>
      <c r="H11" s="252"/>
      <c r="I11" s="348">
        <v>156</v>
      </c>
      <c r="AB11" s="122" t="s">
        <v>99</v>
      </c>
      <c r="AC11" s="123"/>
      <c r="AD11" s="123"/>
      <c r="AE11" s="123"/>
      <c r="AF11" s="134">
        <f>+G11*(G12/AJ16)</f>
        <v>92.238999866869378</v>
      </c>
      <c r="AG11" s="127"/>
      <c r="AH11" s="123" t="s">
        <v>100</v>
      </c>
      <c r="AI11" s="124"/>
      <c r="AJ11" s="129">
        <v>7.9126910299003335</v>
      </c>
      <c r="AK11" s="235"/>
      <c r="AN11" s="444" t="s">
        <v>99</v>
      </c>
      <c r="AO11" s="445"/>
      <c r="AP11" s="445"/>
      <c r="AQ11" s="445"/>
      <c r="AR11" s="446">
        <f>+I11*(I12/AV16)</f>
        <v>75.306444198308256</v>
      </c>
      <c r="AS11" s="447"/>
      <c r="AT11" s="445" t="s">
        <v>100</v>
      </c>
      <c r="AU11" s="448"/>
      <c r="AV11" s="396">
        <f>'(2.1)_Proxy Resources'!N53</f>
        <v>19.805241420865066</v>
      </c>
      <c r="AW11" s="235"/>
      <c r="AZ11" s="122" t="s">
        <v>99</v>
      </c>
      <c r="BA11" s="123"/>
      <c r="BB11" s="123"/>
      <c r="BC11" s="123"/>
      <c r="BD11" s="134">
        <f>(AF11*AF13-G11*G19)</f>
        <v>85.686999866869371</v>
      </c>
      <c r="BE11" s="130"/>
      <c r="BG11" s="444" t="s">
        <v>99</v>
      </c>
      <c r="BH11" s="445"/>
      <c r="BI11" s="445"/>
      <c r="BJ11" s="445"/>
      <c r="BK11" s="368">
        <f>(AR11*AR13-I11*I19)</f>
        <v>56.898444198308255</v>
      </c>
      <c r="BL11" s="449"/>
    </row>
    <row r="12" spans="1:64" ht="12">
      <c r="B12" s="250"/>
      <c r="C12" s="231" t="s">
        <v>32</v>
      </c>
      <c r="D12" s="231"/>
      <c r="E12" s="231"/>
      <c r="F12" s="231"/>
      <c r="G12" s="254">
        <v>0.3198868874996067</v>
      </c>
      <c r="H12" s="252"/>
      <c r="I12" s="349">
        <v>0.33929209109003633</v>
      </c>
      <c r="AB12" s="122" t="s">
        <v>32</v>
      </c>
      <c r="AC12" s="123"/>
      <c r="AD12" s="123"/>
      <c r="AE12" s="123"/>
      <c r="AF12" s="131">
        <f>+AD39/8760/AF11</f>
        <v>0.48653826666249955</v>
      </c>
      <c r="AG12" s="127"/>
      <c r="AH12" s="117" t="s">
        <v>101</v>
      </c>
      <c r="AI12" s="118"/>
      <c r="AJ12" s="117">
        <v>2006</v>
      </c>
      <c r="AK12" s="235"/>
      <c r="AN12" s="444" t="s">
        <v>32</v>
      </c>
      <c r="AO12" s="445"/>
      <c r="AP12" s="445"/>
      <c r="AQ12" s="445"/>
      <c r="AR12" s="131">
        <f>AD72/8760/AR11</f>
        <v>0.63730394013726599</v>
      </c>
      <c r="AS12" s="447"/>
      <c r="AT12" s="437" t="s">
        <v>101</v>
      </c>
      <c r="AU12" s="438"/>
      <c r="AV12" s="450">
        <v>2016</v>
      </c>
      <c r="AW12" s="235"/>
      <c r="AZ12" s="122"/>
      <c r="BA12" s="123"/>
      <c r="BB12" s="123"/>
      <c r="BC12" s="123"/>
      <c r="BD12" s="131"/>
      <c r="BE12" s="132"/>
      <c r="BG12" s="444"/>
      <c r="BH12" s="445"/>
      <c r="BI12" s="445"/>
      <c r="BJ12" s="445"/>
      <c r="BK12" s="451"/>
      <c r="BL12" s="452"/>
    </row>
    <row r="13" spans="1:64" ht="12">
      <c r="B13" s="250"/>
      <c r="C13" s="231" t="s">
        <v>33</v>
      </c>
      <c r="D13" s="231"/>
      <c r="E13" s="231"/>
      <c r="F13" s="231"/>
      <c r="G13" s="251">
        <v>2007</v>
      </c>
      <c r="H13" s="252"/>
      <c r="I13" s="350">
        <v>2019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N13" s="444" t="s">
        <v>102</v>
      </c>
      <c r="AO13" s="445"/>
      <c r="AP13" s="445"/>
      <c r="AQ13" s="445"/>
      <c r="AR13" s="453">
        <v>1</v>
      </c>
      <c r="AS13" s="447"/>
      <c r="AT13" s="437" t="s">
        <v>103</v>
      </c>
      <c r="AU13" s="438"/>
      <c r="AV13" s="396">
        <f>'(2.1)_Proxy Resources'!O53</f>
        <v>2.02116486562735</v>
      </c>
      <c r="AW13" s="235"/>
      <c r="AZ13" s="122" t="s">
        <v>102</v>
      </c>
      <c r="BA13" s="123"/>
      <c r="BB13" s="123"/>
      <c r="BC13" s="123"/>
      <c r="BD13" s="133">
        <v>1</v>
      </c>
      <c r="BE13" s="132"/>
      <c r="BG13" s="444" t="s">
        <v>102</v>
      </c>
      <c r="BH13" s="445"/>
      <c r="BI13" s="445"/>
      <c r="BJ13" s="445"/>
      <c r="BK13" s="453">
        <v>1</v>
      </c>
      <c r="BL13" s="452"/>
    </row>
    <row r="14" spans="1:64" ht="12">
      <c r="B14" s="250"/>
      <c r="C14" s="231" t="s">
        <v>34</v>
      </c>
      <c r="D14" s="231"/>
      <c r="E14" s="231"/>
      <c r="F14" s="231"/>
      <c r="G14" s="251">
        <v>25</v>
      </c>
      <c r="H14" s="252"/>
      <c r="I14" s="351">
        <v>31</v>
      </c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N14" s="444" t="s">
        <v>104</v>
      </c>
      <c r="AO14" s="445"/>
      <c r="AP14" s="445"/>
      <c r="AQ14" s="445"/>
      <c r="AR14" s="454">
        <f>'(2.1)_Proxy Resources'!H53</f>
        <v>6414.883554173548</v>
      </c>
      <c r="AS14" s="447"/>
      <c r="AT14" s="437"/>
      <c r="AU14" s="438"/>
      <c r="AV14" s="396"/>
      <c r="AW14" s="235"/>
      <c r="AZ14" s="122" t="s">
        <v>105</v>
      </c>
      <c r="BA14" s="123"/>
      <c r="BB14" s="123"/>
      <c r="BC14" s="123"/>
      <c r="BD14" s="135">
        <v>454</v>
      </c>
      <c r="BE14" s="132"/>
      <c r="BG14" s="444" t="s">
        <v>232</v>
      </c>
      <c r="BH14" s="445"/>
      <c r="BI14" s="445"/>
      <c r="BJ14" s="445"/>
      <c r="BK14" s="397">
        <f>'(2.1)_Proxy Resources'!J54</f>
        <v>702</v>
      </c>
      <c r="BL14" s="452"/>
    </row>
    <row r="15" spans="1:64" ht="12">
      <c r="A15" t="s">
        <v>106</v>
      </c>
      <c r="B15" s="250"/>
      <c r="C15" s="231" t="s">
        <v>107</v>
      </c>
      <c r="D15" s="231"/>
      <c r="E15" s="231"/>
      <c r="F15" s="231"/>
      <c r="G15" s="255">
        <v>181.53437359001532</v>
      </c>
      <c r="H15" s="252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N15" s="444" t="s">
        <v>231</v>
      </c>
      <c r="AO15" s="445"/>
      <c r="AP15" s="445"/>
      <c r="AQ15" s="445"/>
      <c r="AR15" s="397">
        <f>'(2.1)_Proxy Resources'!J53</f>
        <v>1362.6215812395926</v>
      </c>
      <c r="AS15" s="447"/>
      <c r="AT15" s="437" t="s">
        <v>141</v>
      </c>
      <c r="AU15" s="438"/>
      <c r="AV15" s="396"/>
      <c r="AW15" s="235"/>
      <c r="AZ15" s="122" t="s">
        <v>108</v>
      </c>
      <c r="BA15" s="123"/>
      <c r="BB15" s="123"/>
      <c r="BC15" s="123"/>
      <c r="BD15" s="136">
        <v>8.3299999999999999E-2</v>
      </c>
      <c r="BE15" s="132"/>
      <c r="BG15" s="444" t="s">
        <v>108</v>
      </c>
      <c r="BH15" s="445"/>
      <c r="BI15" s="445"/>
      <c r="BJ15" s="445"/>
      <c r="BK15" s="455">
        <f>'(2.1)_Proxy Resources'!K54</f>
        <v>7.3700000000000002E-2</v>
      </c>
      <c r="BL15" s="452"/>
    </row>
    <row r="16" spans="1:64" ht="12">
      <c r="A16" t="s">
        <v>106</v>
      </c>
      <c r="B16" s="250"/>
      <c r="C16" s="231" t="s">
        <v>109</v>
      </c>
      <c r="D16" s="231"/>
      <c r="E16" s="231"/>
      <c r="F16" s="231"/>
      <c r="G16" s="255">
        <v>16.892584357750504</v>
      </c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N16" s="444" t="s">
        <v>108</v>
      </c>
      <c r="AO16" s="445"/>
      <c r="AP16" s="445"/>
      <c r="AQ16" s="445"/>
      <c r="AR16" s="455">
        <f>'(2.1)_Proxy Resources'!K52</f>
        <v>7.2562879502455491E-2</v>
      </c>
      <c r="AS16" s="447"/>
      <c r="AT16" s="437" t="s">
        <v>110</v>
      </c>
      <c r="AU16" s="448"/>
      <c r="AV16" s="456">
        <f>'(2.1)_Proxy Resources'!D53</f>
        <v>0.70285573530285894</v>
      </c>
      <c r="AW16" s="235"/>
      <c r="AZ16" s="122" t="s">
        <v>100</v>
      </c>
      <c r="BA16" s="124"/>
      <c r="BB16" s="129">
        <v>5.75</v>
      </c>
      <c r="BE16" s="130"/>
      <c r="BG16" s="444" t="s">
        <v>100</v>
      </c>
      <c r="BH16" s="448"/>
      <c r="BI16" s="396">
        <f>'(2.1)_Proxy Resources'!L54</f>
        <v>15.97</v>
      </c>
      <c r="BL16" s="449"/>
    </row>
    <row r="17" spans="1:64" ht="12">
      <c r="A17" t="s">
        <v>106</v>
      </c>
      <c r="B17" s="250"/>
      <c r="C17" s="231" t="s">
        <v>111</v>
      </c>
      <c r="D17" s="231"/>
      <c r="E17" s="231"/>
      <c r="F17" s="231"/>
      <c r="G17" s="255">
        <v>0</v>
      </c>
      <c r="H17" s="252"/>
      <c r="I17" s="255">
        <v>0</v>
      </c>
      <c r="AB17" s="2"/>
      <c r="AG17" s="127"/>
      <c r="AI17" s="127"/>
      <c r="AJ17" s="123"/>
      <c r="AK17" s="130"/>
      <c r="AN17" s="2"/>
      <c r="AS17" s="447"/>
      <c r="AU17" s="447"/>
      <c r="AV17" s="445"/>
      <c r="AW17" s="449"/>
      <c r="AZ17" s="116" t="s">
        <v>101</v>
      </c>
      <c r="BA17" s="118"/>
      <c r="BB17" s="117">
        <v>2006</v>
      </c>
      <c r="BE17" s="128"/>
      <c r="BG17" s="436" t="s">
        <v>101</v>
      </c>
      <c r="BH17" s="438"/>
      <c r="BI17" s="450">
        <v>2016</v>
      </c>
      <c r="BL17" s="457"/>
    </row>
    <row r="18" spans="1:64" ht="12">
      <c r="B18" s="250"/>
      <c r="C18" s="231" t="s">
        <v>112</v>
      </c>
      <c r="D18" s="231"/>
      <c r="E18" s="231"/>
      <c r="F18" s="231"/>
      <c r="G18" s="254">
        <v>7.125514275E-2</v>
      </c>
      <c r="H18" s="252"/>
      <c r="I18" s="352">
        <v>6.5699999999999995E-2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459"/>
      <c r="AO18" s="460"/>
      <c r="AP18" s="460"/>
      <c r="AQ18" s="460"/>
      <c r="AR18" s="460"/>
      <c r="AS18" s="460"/>
      <c r="AT18" s="460"/>
      <c r="AU18" s="460"/>
      <c r="AV18" s="460"/>
      <c r="AW18" s="461"/>
      <c r="AZ18" s="138"/>
      <c r="BA18" s="139"/>
      <c r="BB18" s="139"/>
      <c r="BC18" s="139"/>
      <c r="BD18" s="139"/>
      <c r="BE18" s="141"/>
      <c r="BG18" s="459"/>
      <c r="BH18" s="460"/>
      <c r="BI18" s="460"/>
      <c r="BJ18" s="460"/>
      <c r="BK18" s="460"/>
      <c r="BL18" s="462"/>
    </row>
    <row r="19" spans="1:64" ht="12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s="352">
        <v>0.11799999999999999</v>
      </c>
    </row>
    <row r="20" spans="1:64">
      <c r="B20" s="231"/>
      <c r="C20" s="231"/>
      <c r="D20" s="231"/>
      <c r="E20" s="231"/>
      <c r="F20" s="231"/>
      <c r="G20" t="s">
        <v>113</v>
      </c>
      <c r="H20" s="231"/>
    </row>
    <row r="21" spans="1:64">
      <c r="G21" s="169"/>
    </row>
    <row r="23" spans="1:64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  <c r="BK24" s="469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f>+G13</f>
        <v>2007</v>
      </c>
      <c r="E28" s="169">
        <v>1.9E-2</v>
      </c>
      <c r="G28" s="18">
        <f>G30</f>
        <v>393129.55527784419</v>
      </c>
      <c r="I28" s="268">
        <f>$G$15</f>
        <v>181.53437359001532</v>
      </c>
      <c r="J28" s="268"/>
      <c r="K28" s="268">
        <f>$G$16</f>
        <v>16.892584357750504</v>
      </c>
      <c r="L28" s="269"/>
      <c r="M28" s="268">
        <f>$G$17</f>
        <v>0</v>
      </c>
      <c r="O28" s="270">
        <v>5.0999999999999996</v>
      </c>
      <c r="Q28" s="28">
        <v>-31.863781128122483</v>
      </c>
      <c r="S28" s="18">
        <f t="shared" ref="S28:S70" si="0">(I28*$G$11*1000+(K28+M28+O28+Q28)*G28)/1000</f>
        <v>21606.766855641723</v>
      </c>
      <c r="U28" s="18">
        <f t="shared" ref="U28:U70" si="1">AX28</f>
        <v>26955.432246399381</v>
      </c>
      <c r="W28" s="18">
        <f t="shared" ref="W28:W70" si="2">S28-U28</f>
        <v>-5348.6653907576583</v>
      </c>
      <c r="Y28" s="271">
        <f t="shared" ref="Y28:Y30" si="3">+W28*1000/G28</f>
        <v>-13.605350498202789</v>
      </c>
      <c r="Z28" s="235"/>
      <c r="AB28" s="146">
        <f>$C$28</f>
        <v>2007</v>
      </c>
      <c r="AC28" s="117"/>
      <c r="AD28" s="151">
        <f t="shared" ref="AD28:AD39" si="4">G28</f>
        <v>393129.55527784419</v>
      </c>
      <c r="AF28" s="152">
        <v>57.078912815282386</v>
      </c>
      <c r="AG28" s="272"/>
      <c r="AH28" s="152">
        <v>8.047206777408638</v>
      </c>
      <c r="AI28" s="272"/>
      <c r="AJ28" s="152">
        <v>2.26211443231441</v>
      </c>
      <c r="AK28" s="272"/>
      <c r="AL28" s="153">
        <f t="shared" ref="AL28:AL70" si="5">((AF28+AH28)*$AF$11*1000+AJ28*AD28)/1000</f>
        <v>6896.4721772033035</v>
      </c>
      <c r="AN28" s="154">
        <f>INDEX('(2.2)_Forward_Price_Curve'!$I:$I,MATCH($AB28,'(2.2)_Forward_Price_Curve'!$C:$C,0),1)</f>
        <v>8.0291312655031408</v>
      </c>
      <c r="AO28" s="279"/>
      <c r="AP28" s="154">
        <f t="shared" ref="AP28:AP70" si="6">AN28*$AF$14/1000</f>
        <v>58.339839041680825</v>
      </c>
      <c r="AQ28" s="272"/>
      <c r="AR28" s="152">
        <v>2.3415647816593883</v>
      </c>
      <c r="AS28" s="152"/>
      <c r="AT28" s="153">
        <f t="shared" ref="AT28:AT70" si="7">AL28-BF28</f>
        <v>3099.7789476943708</v>
      </c>
      <c r="AU28" s="272"/>
      <c r="AV28" s="153">
        <f t="shared" ref="AV28:AV70" si="8">(AP28+AR28)*AD28/1000</f>
        <v>23855.653298705012</v>
      </c>
      <c r="AW28" s="273"/>
      <c r="AX28" s="155">
        <f t="shared" ref="AX28:AX70" si="9">AT28+AV28</f>
        <v>26955.432246399381</v>
      </c>
      <c r="AZ28" s="146">
        <f>$C$28</f>
        <v>2007</v>
      </c>
      <c r="BA28" s="117"/>
      <c r="BB28" s="152">
        <v>38.461109399999991</v>
      </c>
      <c r="BD28" s="152">
        <v>5.8477499999999996</v>
      </c>
      <c r="BE28" s="272"/>
      <c r="BF28" s="153">
        <f t="shared" ref="BF28:BF70" si="10">(BB28+BD28)*$BD$11</f>
        <v>3796.6932295089327</v>
      </c>
      <c r="BG28" s="272"/>
      <c r="BH28" s="156"/>
    </row>
    <row r="29" spans="1:64" ht="12">
      <c r="B29" s="2"/>
      <c r="C29">
        <f>+IF(C28&gt;$G$13+$G$14,XX,C28+1)</f>
        <v>2008</v>
      </c>
      <c r="E29" s="169">
        <v>1.7000000000000001E-2</v>
      </c>
      <c r="G29" s="18">
        <v>394331.98409973102</v>
      </c>
      <c r="I29" s="28">
        <f t="shared" ref="I29:I39" si="11">I28*(1+$E29)</f>
        <v>184.62045794104557</v>
      </c>
      <c r="K29" s="28">
        <f t="shared" ref="K29:K39" si="12">K28*(1+$E29)</f>
        <v>17.179758291832261</v>
      </c>
      <c r="M29" s="28">
        <f t="shared" ref="M29:M68" si="13">M28*(1+$E29)</f>
        <v>0</v>
      </c>
      <c r="O29" s="270">
        <v>5.1866999999999992</v>
      </c>
      <c r="Q29" s="28">
        <v>-32.504243128797739</v>
      </c>
      <c r="S29" s="18">
        <f t="shared" si="0"/>
        <v>21923.059485786031</v>
      </c>
      <c r="U29" s="18">
        <f t="shared" si="1"/>
        <v>26932.197107201151</v>
      </c>
      <c r="W29" s="18">
        <f t="shared" si="2"/>
        <v>-5009.1376214151205</v>
      </c>
      <c r="Y29" s="271">
        <f t="shared" si="3"/>
        <v>-12.702843855922813</v>
      </c>
      <c r="Z29" s="235"/>
      <c r="AB29" s="146">
        <f>+IF(AB28&gt;$G$13+$G$14,XX,AB28+1)</f>
        <v>2008</v>
      </c>
      <c r="AC29" s="117"/>
      <c r="AD29" s="151">
        <f t="shared" si="4"/>
        <v>394331.98409973102</v>
      </c>
      <c r="AF29" s="154">
        <f>AF28*(1+$E29)</f>
        <v>58.04925433314218</v>
      </c>
      <c r="AH29" s="154">
        <f t="shared" ref="AH29:AH39" si="14">AH28*(1+$E29)</f>
        <v>8.1840092926245838</v>
      </c>
      <c r="AJ29" s="154">
        <f t="shared" ref="AJ29:AJ39" si="15">AJ28*(1+$E29)</f>
        <v>2.3005703776637549</v>
      </c>
      <c r="AL29" s="153">
        <f t="shared" si="5"/>
        <v>7016.4784763446414</v>
      </c>
      <c r="AN29" s="154">
        <f>INDEX('(2.2)_Forward_Price_Curve'!$I:$I,MATCH($AB29,'(2.2)_Forward_Price_Curve'!$C:$C,0),1)</f>
        <v>7.9707205782722266</v>
      </c>
      <c r="AP29" s="154">
        <f t="shared" si="6"/>
        <v>57.915425742323464</v>
      </c>
      <c r="AR29" s="154">
        <f t="shared" ref="AR29:AR70" si="16">AR28*(1+$E29)</f>
        <v>2.3813713829475978</v>
      </c>
      <c r="AS29" s="154"/>
      <c r="AT29" s="153">
        <f t="shared" si="7"/>
        <v>3155.241461934057</v>
      </c>
      <c r="AV29" s="153">
        <f t="shared" si="8"/>
        <v>23776.955645267095</v>
      </c>
      <c r="AW29" s="273"/>
      <c r="AX29" s="155">
        <f t="shared" si="9"/>
        <v>26932.197107201151</v>
      </c>
      <c r="AZ29" s="146">
        <f>+IF(AZ28&gt;$G$13+$G$14,XX,AZ28+1)</f>
        <v>2008</v>
      </c>
      <c r="BA29" s="117"/>
      <c r="BB29" s="154">
        <f t="shared" ref="BB29:BB39" si="17">BB28*(1+$E29)</f>
        <v>39.114948259799988</v>
      </c>
      <c r="BD29" s="154">
        <f t="shared" ref="BD29:BD39" si="18">BD28*(1+$E29)</f>
        <v>5.9471617499999994</v>
      </c>
      <c r="BF29" s="153">
        <f t="shared" si="10"/>
        <v>3861.2370144105844</v>
      </c>
      <c r="BH29" s="157"/>
    </row>
    <row r="30" spans="1:64" ht="12">
      <c r="B30" s="2"/>
      <c r="C30">
        <f>+IF(C29&gt;$G$13+$G$14,XX,C29+1)</f>
        <v>2009</v>
      </c>
      <c r="E30" s="169">
        <v>1.7000000000000001E-2</v>
      </c>
      <c r="G30" s="18">
        <v>393129.55527784419</v>
      </c>
      <c r="I30" s="28">
        <f t="shared" si="11"/>
        <v>187.75900572604334</v>
      </c>
      <c r="K30" s="28">
        <f t="shared" si="12"/>
        <v>17.471814182793409</v>
      </c>
      <c r="M30" s="28">
        <f t="shared" si="13"/>
        <v>0</v>
      </c>
      <c r="O30" s="270">
        <v>5.2748738999999985</v>
      </c>
      <c r="Q30" s="28">
        <v>-33.157578415686572</v>
      </c>
      <c r="S30" s="18">
        <f t="shared" si="0"/>
        <v>22268.535717319788</v>
      </c>
      <c r="U30" s="18">
        <f t="shared" si="1"/>
        <v>26369.726244492471</v>
      </c>
      <c r="W30" s="18">
        <f t="shared" si="2"/>
        <v>-4101.1905271726828</v>
      </c>
      <c r="Y30" s="271">
        <f t="shared" si="3"/>
        <v>-10.432160269085259</v>
      </c>
      <c r="Z30" s="235"/>
      <c r="AB30" s="146">
        <f>+IF(AB29&gt;$G$13+$G$14,XX,AB29+1)</f>
        <v>2009</v>
      </c>
      <c r="AC30" s="117"/>
      <c r="AD30" s="151">
        <f t="shared" si="4"/>
        <v>393129.55527784419</v>
      </c>
      <c r="AF30" s="154">
        <f t="shared" ref="AF30:AF39" si="19">AF29*(1+$E30)</f>
        <v>59.036091656805588</v>
      </c>
      <c r="AH30" s="154">
        <f t="shared" si="14"/>
        <v>8.3231374505992015</v>
      </c>
      <c r="AJ30" s="154">
        <f t="shared" si="15"/>
        <v>2.3396800740840384</v>
      </c>
      <c r="AL30" s="153">
        <f t="shared" si="5"/>
        <v>7132.9453116874256</v>
      </c>
      <c r="AN30" s="154">
        <f>INDEX('(2.2)_Forward_Price_Curve'!$I:$I,MATCH($AB30,'(2.2)_Forward_Price_Curve'!$C:$C,0),1)</f>
        <v>7.7758276535043622</v>
      </c>
      <c r="AP30" s="154">
        <f t="shared" si="6"/>
        <v>56.499329593768707</v>
      </c>
      <c r="AR30" s="154">
        <f t="shared" si="16"/>
        <v>2.4218546964577068</v>
      </c>
      <c r="AS30" s="154"/>
      <c r="AT30" s="153">
        <f t="shared" si="7"/>
        <v>3206.0672680318617</v>
      </c>
      <c r="AV30" s="153">
        <f t="shared" si="8"/>
        <v>23163.658976460611</v>
      </c>
      <c r="AW30" s="273"/>
      <c r="AX30" s="155">
        <f t="shared" si="9"/>
        <v>26369.726244492471</v>
      </c>
      <c r="AZ30" s="146">
        <f>+IF(AZ29&gt;$G$13+$G$14,XX,AZ29+1)</f>
        <v>2009</v>
      </c>
      <c r="BA30" s="117"/>
      <c r="BB30" s="154">
        <f t="shared" si="17"/>
        <v>39.779902380216583</v>
      </c>
      <c r="BD30" s="154">
        <f t="shared" si="18"/>
        <v>6.0482634997499991</v>
      </c>
      <c r="BF30" s="153">
        <f t="shared" si="10"/>
        <v>3926.8780436555639</v>
      </c>
      <c r="BH30" s="157"/>
    </row>
    <row r="31" spans="1:64" ht="12">
      <c r="B31" s="2"/>
      <c r="C31">
        <f>+IF(C30&gt;$G$13+$G$14,XX,C30+1)</f>
        <v>2010</v>
      </c>
      <c r="E31" s="169">
        <v>1.9E-2</v>
      </c>
      <c r="G31" s="18">
        <v>393129.55527784419</v>
      </c>
      <c r="I31" s="28">
        <f t="shared" si="11"/>
        <v>191.32642683483814</v>
      </c>
      <c r="K31" s="28">
        <f t="shared" si="12"/>
        <v>17.803778652266484</v>
      </c>
      <c r="M31" s="28">
        <f t="shared" si="13"/>
        <v>0</v>
      </c>
      <c r="O31" s="270">
        <v>5.3750965040999983</v>
      </c>
      <c r="Q31" s="28">
        <v>-33.824045741841871</v>
      </c>
      <c r="S31" s="18">
        <f t="shared" si="0"/>
        <v>22677.299149486546</v>
      </c>
      <c r="U31" s="18">
        <f t="shared" si="1"/>
        <v>25596.40723411271</v>
      </c>
      <c r="W31" s="18">
        <f t="shared" si="2"/>
        <v>-2919.1080846261648</v>
      </c>
      <c r="Y31" s="271">
        <f>+W31*1000/G31</f>
        <v>-7.4253081342690859</v>
      </c>
      <c r="Z31" s="235"/>
      <c r="AB31" s="146">
        <f>+IF(AB30&gt;$G$13+$G$14,XX,AB30+1)</f>
        <v>2010</v>
      </c>
      <c r="AC31" s="117"/>
      <c r="AD31" s="151">
        <f t="shared" si="4"/>
        <v>393129.55527784419</v>
      </c>
      <c r="AF31" s="154">
        <f t="shared" si="19"/>
        <v>60.157777398284892</v>
      </c>
      <c r="AH31" s="154">
        <f t="shared" si="14"/>
        <v>8.4812770621605864</v>
      </c>
      <c r="AJ31" s="154">
        <f t="shared" si="15"/>
        <v>2.3841339954916347</v>
      </c>
      <c r="AL31" s="153">
        <f t="shared" si="5"/>
        <v>7268.4712726094867</v>
      </c>
      <c r="AN31" s="154">
        <f>INDEX('(2.2)_Forward_Price_Curve'!$I:$I,MATCH($AB31,'(2.2)_Forward_Price_Curve'!$C:$C,0),1)</f>
        <v>7.4774457529777205</v>
      </c>
      <c r="AP31" s="154">
        <f t="shared" si="6"/>
        <v>54.331280339864243</v>
      </c>
      <c r="AR31" s="154">
        <f t="shared" si="16"/>
        <v>2.4678699356904028</v>
      </c>
      <c r="AS31" s="154"/>
      <c r="AT31" s="153">
        <f t="shared" si="7"/>
        <v>3266.9825461244673</v>
      </c>
      <c r="AV31" s="153">
        <f t="shared" si="8"/>
        <v>22329.424687988241</v>
      </c>
      <c r="AW31" s="273"/>
      <c r="AX31" s="155">
        <f t="shared" si="9"/>
        <v>25596.40723411271</v>
      </c>
      <c r="AZ31" s="146">
        <f>+IF(AZ30&gt;$G$13+$G$14,XX,AZ30+1)</f>
        <v>2010</v>
      </c>
      <c r="BA31" s="117"/>
      <c r="BB31" s="154">
        <f t="shared" si="17"/>
        <v>40.535720525440695</v>
      </c>
      <c r="BD31" s="154">
        <f t="shared" si="18"/>
        <v>6.1631805062452489</v>
      </c>
      <c r="BF31" s="153">
        <f t="shared" si="10"/>
        <v>4001.4887264850195</v>
      </c>
      <c r="BH31" s="157"/>
    </row>
    <row r="32" spans="1:64" ht="12">
      <c r="B32" s="2"/>
      <c r="C32">
        <f>+IF(C31&gt;$G$13+$G$14,XX,C31+1)</f>
        <v>2011</v>
      </c>
      <c r="E32" s="169">
        <v>1.9E-2</v>
      </c>
      <c r="G32" s="18">
        <v>393129.55527784419</v>
      </c>
      <c r="I32" s="28">
        <f t="shared" si="11"/>
        <v>194.96162894470004</v>
      </c>
      <c r="K32" s="28">
        <f t="shared" si="12"/>
        <v>18.142050446659546</v>
      </c>
      <c r="M32" s="28">
        <f t="shared" si="13"/>
        <v>0</v>
      </c>
      <c r="O32" s="270">
        <v>5.4772233376778976</v>
      </c>
      <c r="Q32" s="28">
        <v>-34.503909061252898</v>
      </c>
      <c r="S32" s="18">
        <f t="shared" si="0"/>
        <v>23093.540878060579</v>
      </c>
      <c r="U32" s="18">
        <f t="shared" si="1"/>
        <v>24547.73787735646</v>
      </c>
      <c r="W32" s="18">
        <f t="shared" si="2"/>
        <v>-1454.1969992958802</v>
      </c>
      <c r="Y32" s="271">
        <f t="shared" ref="Y32:Y70" si="20">+W32*1000/G32</f>
        <v>-3.6990274065457305</v>
      </c>
      <c r="Z32" s="235"/>
      <c r="AB32" s="146">
        <f>+IF(AB31&gt;$G$13+$G$14,XX,AB31+1)</f>
        <v>2011</v>
      </c>
      <c r="AC32" s="117"/>
      <c r="AD32" s="151">
        <f t="shared" si="4"/>
        <v>393129.55527784419</v>
      </c>
      <c r="AF32" s="154">
        <f t="shared" si="19"/>
        <v>61.300775168852297</v>
      </c>
      <c r="AH32" s="154">
        <f t="shared" si="14"/>
        <v>8.642421326341637</v>
      </c>
      <c r="AJ32" s="154">
        <f t="shared" si="15"/>
        <v>2.4294325414059754</v>
      </c>
      <c r="AL32" s="153">
        <f t="shared" si="5"/>
        <v>7406.5722267890651</v>
      </c>
      <c r="AN32" s="154">
        <f>INDEX('(2.2)_Forward_Price_Curve'!$I:$I,MATCH($AB32,'(2.2)_Forward_Price_Curve'!$C:$C,0),1)</f>
        <v>7.0821436233211914</v>
      </c>
      <c r="AP32" s="154">
        <f t="shared" si="6"/>
        <v>51.459006633731178</v>
      </c>
      <c r="AR32" s="154">
        <f t="shared" si="16"/>
        <v>2.5147594644685203</v>
      </c>
      <c r="AS32" s="154"/>
      <c r="AT32" s="153">
        <f t="shared" si="7"/>
        <v>3329.055214500831</v>
      </c>
      <c r="AV32" s="153">
        <f t="shared" si="8"/>
        <v>21218.68266285563</v>
      </c>
      <c r="AW32" s="273"/>
      <c r="AX32" s="155">
        <f t="shared" si="9"/>
        <v>24547.73787735646</v>
      </c>
      <c r="AZ32" s="146">
        <f>+IF(AZ31&gt;$G$13+$G$14,XX,AZ31+1)</f>
        <v>2011</v>
      </c>
      <c r="BA32" s="117"/>
      <c r="BB32" s="154">
        <f t="shared" si="17"/>
        <v>41.305899215424063</v>
      </c>
      <c r="BD32" s="154">
        <f t="shared" si="18"/>
        <v>6.2802809358639085</v>
      </c>
      <c r="BF32" s="153">
        <f t="shared" si="10"/>
        <v>4077.5170122882341</v>
      </c>
      <c r="BH32" s="157"/>
    </row>
    <row r="33" spans="2:60" ht="12">
      <c r="B33" s="2"/>
      <c r="C33">
        <f>+IF(C32&gt;$G$13+$G$14,XX,C32+1)</f>
        <v>2012</v>
      </c>
      <c r="E33" s="169">
        <v>0.02</v>
      </c>
      <c r="G33" s="18">
        <v>394331.98409973102</v>
      </c>
      <c r="I33" s="28">
        <f t="shared" si="11"/>
        <v>198.86086152359405</v>
      </c>
      <c r="K33" s="28">
        <f t="shared" si="12"/>
        <v>18.504891455592738</v>
      </c>
      <c r="M33" s="28">
        <f t="shared" si="13"/>
        <v>0</v>
      </c>
      <c r="O33" s="270">
        <v>5.5867678044314557</v>
      </c>
      <c r="Q33" s="28">
        <v>-35.197437633384084</v>
      </c>
      <c r="S33" s="18">
        <f t="shared" si="0"/>
        <v>23540.701336973718</v>
      </c>
      <c r="U33" s="18">
        <f t="shared" si="1"/>
        <v>23614.180755349575</v>
      </c>
      <c r="W33" s="18">
        <f t="shared" si="2"/>
        <v>-73.479418375856767</v>
      </c>
      <c r="Y33" s="271">
        <f t="shared" si="20"/>
        <v>-0.1863389766458127</v>
      </c>
      <c r="Z33" s="235"/>
      <c r="AB33" s="146">
        <f>+IF(AB32&gt;$G$13+$G$14,XX,AB32+1)</f>
        <v>2012</v>
      </c>
      <c r="AC33" s="117"/>
      <c r="AD33" s="151">
        <f t="shared" si="4"/>
        <v>394331.98409973102</v>
      </c>
      <c r="AF33" s="154">
        <f t="shared" si="19"/>
        <v>62.526790672229346</v>
      </c>
      <c r="AH33" s="154">
        <f t="shared" si="14"/>
        <v>8.8152697528684705</v>
      </c>
      <c r="AJ33" s="154">
        <f t="shared" si="15"/>
        <v>2.4780211922340949</v>
      </c>
      <c r="AL33" s="153">
        <f t="shared" si="5"/>
        <v>7557.6833154276364</v>
      </c>
      <c r="AN33" s="154">
        <f>INDEX('(2.2)_Forward_Price_Curve'!$I:$I,MATCH($AB33,'(2.2)_Forward_Price_Curve'!$C:$C,0),1)</f>
        <v>6.7024699037828679</v>
      </c>
      <c r="AP33" s="154">
        <f t="shared" si="6"/>
        <v>48.700289288881038</v>
      </c>
      <c r="AR33" s="154">
        <f t="shared" si="16"/>
        <v>2.5650546537578909</v>
      </c>
      <c r="AS33" s="154"/>
      <c r="AT33" s="153">
        <f t="shared" si="7"/>
        <v>3398.6159628936375</v>
      </c>
      <c r="AV33" s="153">
        <f t="shared" si="8"/>
        <v>20215.564792455938</v>
      </c>
      <c r="AW33" s="273"/>
      <c r="AX33" s="155">
        <f t="shared" si="9"/>
        <v>23614.180755349575</v>
      </c>
      <c r="AZ33" s="146">
        <f>+IF(AZ32&gt;$G$13+$G$14,XX,AZ32+1)</f>
        <v>2012</v>
      </c>
      <c r="BA33" s="117"/>
      <c r="BB33" s="154">
        <f t="shared" si="17"/>
        <v>42.132017199732545</v>
      </c>
      <c r="BD33" s="154">
        <f t="shared" si="18"/>
        <v>6.4058865545811869</v>
      </c>
      <c r="BF33" s="153">
        <f t="shared" si="10"/>
        <v>4159.0673525339989</v>
      </c>
      <c r="BH33" s="157"/>
    </row>
    <row r="34" spans="2:60" ht="12">
      <c r="B34" s="2"/>
      <c r="C34">
        <f>+IF(C33&gt;$G$13+$G$14,XX,C33+1)</f>
        <v>2013</v>
      </c>
      <c r="E34" s="169">
        <v>1.9E-2</v>
      </c>
      <c r="G34" s="18">
        <v>393129.55527784419</v>
      </c>
      <c r="I34" s="28">
        <f t="shared" si="11"/>
        <v>202.63921789254232</v>
      </c>
      <c r="K34" s="28">
        <f t="shared" si="12"/>
        <v>18.856484393248998</v>
      </c>
      <c r="M34" s="28">
        <f t="shared" si="13"/>
        <v>0</v>
      </c>
      <c r="O34" s="270">
        <v>5.6929163927156532</v>
      </c>
      <c r="Q34" s="28">
        <v>-35.904906129815103</v>
      </c>
      <c r="S34" s="18">
        <f t="shared" si="0"/>
        <v>23986.36142632983</v>
      </c>
      <c r="U34" s="18">
        <f t="shared" si="1"/>
        <v>23624.736734229424</v>
      </c>
      <c r="W34" s="18">
        <f t="shared" si="2"/>
        <v>361.62469210040581</v>
      </c>
      <c r="Y34" s="271">
        <f t="shared" si="20"/>
        <v>0.91986137202232909</v>
      </c>
      <c r="Z34" s="235"/>
      <c r="AB34" s="146">
        <f>+IF(AB33&gt;$G$13+$G$14,XX,AB33+1)</f>
        <v>2013</v>
      </c>
      <c r="AC34" s="117"/>
      <c r="AD34" s="151">
        <f t="shared" si="4"/>
        <v>393129.55527784419</v>
      </c>
      <c r="AF34" s="154">
        <f t="shared" si="19"/>
        <v>63.714799695001695</v>
      </c>
      <c r="AH34" s="154">
        <f t="shared" si="14"/>
        <v>8.9827598781729705</v>
      </c>
      <c r="AJ34" s="154">
        <f t="shared" si="15"/>
        <v>2.5251035948865423</v>
      </c>
      <c r="AL34" s="153">
        <f t="shared" si="5"/>
        <v>7698.2430410800189</v>
      </c>
      <c r="AN34" s="154">
        <f>INDEX('(2.2)_Forward_Price_Curve'!$I:$I,MATCH($AB34,'(2.2)_Forward_Price_Curve'!$C:$C,0),1)</f>
        <v>6.6994948806584134</v>
      </c>
      <c r="AP34" s="154">
        <f t="shared" si="6"/>
        <v>48.678672707399592</v>
      </c>
      <c r="AR34" s="154">
        <f t="shared" si="16"/>
        <v>2.6137906921792906</v>
      </c>
      <c r="AS34" s="154"/>
      <c r="AT34" s="153">
        <f t="shared" si="7"/>
        <v>3460.1534088478747</v>
      </c>
      <c r="AV34" s="153">
        <f t="shared" si="8"/>
        <v>20164.583325381547</v>
      </c>
      <c r="AW34" s="273"/>
      <c r="AX34" s="155">
        <f t="shared" si="9"/>
        <v>23624.736734229424</v>
      </c>
      <c r="AZ34" s="146">
        <f>+IF(AZ33&gt;$G$13+$G$14,XX,AZ33+1)</f>
        <v>2013</v>
      </c>
      <c r="BA34" s="117"/>
      <c r="BB34" s="154">
        <f t="shared" si="17"/>
        <v>42.932525526527456</v>
      </c>
      <c r="BD34" s="154">
        <f t="shared" si="18"/>
        <v>6.5275983991182285</v>
      </c>
      <c r="BF34" s="153">
        <f t="shared" si="10"/>
        <v>4238.0896322321441</v>
      </c>
      <c r="BH34" s="157"/>
    </row>
    <row r="35" spans="2:60" ht="12">
      <c r="B35" s="2"/>
      <c r="C35">
        <f>+IF(C34&gt;$G$13+$G$14,XX,C34+1)</f>
        <v>2014</v>
      </c>
      <c r="E35" s="169">
        <v>1.7999999999999999E-2</v>
      </c>
      <c r="G35" s="18">
        <v>393129.55527784419</v>
      </c>
      <c r="I35" s="28">
        <f t="shared" si="11"/>
        <v>206.28672381460808</v>
      </c>
      <c r="K35" s="28">
        <f t="shared" si="12"/>
        <v>19.19590111232748</v>
      </c>
      <c r="M35" s="28">
        <f t="shared" si="13"/>
        <v>0</v>
      </c>
      <c r="O35" s="270">
        <v>5.7953888877845348</v>
      </c>
      <c r="Q35" s="28">
        <v>-36.626594743024391</v>
      </c>
      <c r="S35" s="18">
        <f t="shared" si="0"/>
        <v>24388.473844467644</v>
      </c>
      <c r="U35" s="18">
        <f t="shared" si="1"/>
        <v>24318.271300732576</v>
      </c>
      <c r="W35" s="18">
        <f t="shared" si="2"/>
        <v>70.202543735067593</v>
      </c>
      <c r="Y35" s="271">
        <f t="shared" si="20"/>
        <v>0.17857355874821462</v>
      </c>
      <c r="Z35" s="235"/>
      <c r="AB35" s="146">
        <f>+IF(AB34&gt;$G$13+$G$14,XX,AB34+1)</f>
        <v>2014</v>
      </c>
      <c r="AC35" s="117"/>
      <c r="AD35" s="151">
        <f t="shared" si="4"/>
        <v>393129.55527784419</v>
      </c>
      <c r="AF35" s="154">
        <f t="shared" si="19"/>
        <v>64.861666089511729</v>
      </c>
      <c r="AH35" s="154">
        <f t="shared" si="14"/>
        <v>9.1444495559800849</v>
      </c>
      <c r="AJ35" s="154">
        <f t="shared" si="15"/>
        <v>2.5705554595944999</v>
      </c>
      <c r="AL35" s="153">
        <f t="shared" si="5"/>
        <v>7836.8114158194594</v>
      </c>
      <c r="AN35" s="154">
        <f>INDEX('(2.2)_Forward_Price_Curve'!$I:$I,MATCH($AB35,'(2.2)_Forward_Price_Curve'!$C:$C,0),1)</f>
        <v>6.9140085811973453</v>
      </c>
      <c r="AP35" s="154">
        <f t="shared" si="6"/>
        <v>50.2373338312307</v>
      </c>
      <c r="AR35" s="154">
        <f t="shared" si="16"/>
        <v>2.6608389246385178</v>
      </c>
      <c r="AS35" s="154"/>
      <c r="AT35" s="153">
        <f t="shared" si="7"/>
        <v>3522.4361702071365</v>
      </c>
      <c r="AV35" s="153">
        <f t="shared" si="8"/>
        <v>20795.83513052544</v>
      </c>
      <c r="AW35" s="273"/>
      <c r="AX35" s="155">
        <f t="shared" si="9"/>
        <v>24318.271300732576</v>
      </c>
      <c r="AZ35" s="146">
        <f>+IF(AZ34&gt;$G$13+$G$14,XX,AZ34+1)</f>
        <v>2014</v>
      </c>
      <c r="BA35" s="117"/>
      <c r="BB35" s="154">
        <f>BB34*(1+$E35)</f>
        <v>43.705310986004953</v>
      </c>
      <c r="BD35" s="154">
        <f t="shared" si="18"/>
        <v>6.6450951703023566</v>
      </c>
      <c r="BF35" s="153">
        <f t="shared" si="10"/>
        <v>4314.3752456123229</v>
      </c>
      <c r="BH35" s="157"/>
    </row>
    <row r="36" spans="2:60" ht="12">
      <c r="B36" s="2"/>
      <c r="C36">
        <f>+IF(C35&gt;$G$13+$G$14,XX,C35+1)</f>
        <v>2015</v>
      </c>
      <c r="E36" s="169">
        <v>1.7999999999999999E-2</v>
      </c>
      <c r="G36" s="18">
        <v>393129.55527784419</v>
      </c>
      <c r="I36" s="28">
        <f t="shared" si="11"/>
        <v>209.99988484327102</v>
      </c>
      <c r="K36" s="28">
        <f t="shared" si="12"/>
        <v>19.541427332349375</v>
      </c>
      <c r="M36" s="28">
        <f t="shared" si="13"/>
        <v>0</v>
      </c>
      <c r="O36" s="270">
        <v>5.8997058877646564</v>
      </c>
      <c r="Q36" s="28">
        <v>-37.362789297359178</v>
      </c>
      <c r="S36" s="18">
        <f t="shared" si="0"/>
        <v>24797.228480172456</v>
      </c>
      <c r="U36" s="18">
        <f t="shared" si="1"/>
        <v>25549.933671065781</v>
      </c>
      <c r="W36" s="18">
        <f t="shared" si="2"/>
        <v>-752.70519089332447</v>
      </c>
      <c r="Y36" s="271">
        <f t="shared" si="20"/>
        <v>-1.91464920606478</v>
      </c>
      <c r="Z36" s="235"/>
      <c r="AB36" s="146">
        <f>+IF(AB35&gt;$G$13+$G$14,XX,AB35+1)</f>
        <v>2015</v>
      </c>
      <c r="AC36" s="117"/>
      <c r="AD36" s="151">
        <f t="shared" si="4"/>
        <v>393129.55527784419</v>
      </c>
      <c r="AF36" s="154">
        <f t="shared" si="19"/>
        <v>66.029176079122948</v>
      </c>
      <c r="AH36" s="154">
        <f t="shared" si="14"/>
        <v>9.3090496479877274</v>
      </c>
      <c r="AJ36" s="154">
        <f t="shared" si="15"/>
        <v>2.616825457867201</v>
      </c>
      <c r="AL36" s="153">
        <f t="shared" si="5"/>
        <v>7977.8740213042111</v>
      </c>
      <c r="AN36" s="154">
        <f>INDEX('(2.2)_Forward_Price_Curve'!$I:$I,MATCH($AB36,'(2.2)_Forward_Price_Curve'!$C:$C,0),1)</f>
        <v>7.3164011858738007</v>
      </c>
      <c r="AP36" s="154">
        <f t="shared" si="6"/>
        <v>53.161127080102943</v>
      </c>
      <c r="AR36" s="154">
        <f t="shared" si="16"/>
        <v>2.7087340252820113</v>
      </c>
      <c r="AS36" s="154"/>
      <c r="AT36" s="153">
        <f t="shared" si="7"/>
        <v>3585.8400212708657</v>
      </c>
      <c r="AV36" s="153">
        <f t="shared" si="8"/>
        <v>21964.093649794915</v>
      </c>
      <c r="AW36" s="273"/>
      <c r="AX36" s="155">
        <f t="shared" si="9"/>
        <v>25549.933671065781</v>
      </c>
      <c r="AZ36" s="146">
        <f>+IF(AZ35&gt;$G$13+$G$14,XX,AZ35+1)</f>
        <v>2015</v>
      </c>
      <c r="BA36" s="117"/>
      <c r="BB36" s="154">
        <f t="shared" si="17"/>
        <v>44.492006583753046</v>
      </c>
      <c r="BD36" s="154">
        <f t="shared" si="18"/>
        <v>6.7647068833677988</v>
      </c>
      <c r="BF36" s="153">
        <f t="shared" si="10"/>
        <v>4392.0340000333454</v>
      </c>
      <c r="BH36" s="157"/>
    </row>
    <row r="37" spans="2:60" ht="12">
      <c r="B37" s="2"/>
      <c r="C37">
        <f>+IF(C36&gt;$G$13+$G$14,XX,C36+1)</f>
        <v>2016</v>
      </c>
      <c r="E37" s="169">
        <v>1.7999999999999999E-2</v>
      </c>
      <c r="G37" s="18">
        <v>394331.98409973102</v>
      </c>
      <c r="I37" s="28">
        <f t="shared" si="11"/>
        <v>213.77988277044989</v>
      </c>
      <c r="K37" s="28">
        <f t="shared" si="12"/>
        <v>19.893173024331663</v>
      </c>
      <c r="M37" s="28">
        <f t="shared" si="13"/>
        <v>0</v>
      </c>
      <c r="O37" s="270">
        <v>6.0059005937444203</v>
      </c>
      <c r="Q37" s="28">
        <v>-38.113781362236097</v>
      </c>
      <c r="S37" s="18">
        <f>(I37*$G$11*1000+(K37+M37+O37+Q37)*G37)/1000</f>
        <v>25198.045601018199</v>
      </c>
      <c r="U37" s="18">
        <f t="shared" si="1"/>
        <v>27436.923317887282</v>
      </c>
      <c r="W37" s="18">
        <f t="shared" si="2"/>
        <v>-2238.8777168690831</v>
      </c>
      <c r="Y37" s="271">
        <f t="shared" si="20"/>
        <v>-5.677646772631169</v>
      </c>
      <c r="Z37" s="235"/>
      <c r="AB37" s="146">
        <f>+IF(AB36&gt;$G$13+$G$14,XX,AB36+1)</f>
        <v>2016</v>
      </c>
      <c r="AC37" s="117"/>
      <c r="AD37" s="151">
        <f t="shared" si="4"/>
        <v>394331.98409973102</v>
      </c>
      <c r="AF37" s="154">
        <f t="shared" si="19"/>
        <v>67.217701248547158</v>
      </c>
      <c r="AH37" s="154">
        <f t="shared" si="14"/>
        <v>9.476612541651507</v>
      </c>
      <c r="AJ37" s="154">
        <f t="shared" si="15"/>
        <v>2.6639283161088105</v>
      </c>
      <c r="AL37" s="153">
        <f t="shared" si="5"/>
        <v>8124.6789378744152</v>
      </c>
      <c r="AN37" s="154">
        <f>INDEX('(2.2)_Forward_Price_Curve'!$I:$I,MATCH($AB37,'(2.2)_Forward_Price_Curve'!$C:$C,0),1)</f>
        <v>7.9211828417083421</v>
      </c>
      <c r="AP37" s="154">
        <f t="shared" si="6"/>
        <v>57.555483491778489</v>
      </c>
      <c r="AR37" s="154">
        <f t="shared" si="16"/>
        <v>2.7574912377370877</v>
      </c>
      <c r="AS37" s="154"/>
      <c r="AT37" s="153">
        <f t="shared" si="7"/>
        <v>3653.5883258404701</v>
      </c>
      <c r="AV37" s="153">
        <f t="shared" si="8"/>
        <v>23783.334992046814</v>
      </c>
      <c r="AW37" s="273"/>
      <c r="AX37" s="155">
        <f t="shared" si="9"/>
        <v>27436.923317887282</v>
      </c>
      <c r="AZ37" s="146">
        <f>+IF(AZ36&gt;$G$13+$G$14,XX,AZ36+1)</f>
        <v>2016</v>
      </c>
      <c r="BA37" s="117"/>
      <c r="BB37" s="154">
        <f t="shared" si="17"/>
        <v>45.292862702260599</v>
      </c>
      <c r="BD37" s="154">
        <f t="shared" si="18"/>
        <v>6.8864716072684189</v>
      </c>
      <c r="BF37" s="153">
        <f t="shared" si="10"/>
        <v>4471.090612033945</v>
      </c>
      <c r="BH37" s="157"/>
    </row>
    <row r="38" spans="2:60" ht="12">
      <c r="B38" s="2"/>
      <c r="C38">
        <f>+IF(C37&gt;$G$13+$G$14,XX,C37+1)</f>
        <v>2017</v>
      </c>
      <c r="E38" s="169">
        <v>1.7999999999999999E-2</v>
      </c>
      <c r="G38" s="18">
        <v>393129.55527784419</v>
      </c>
      <c r="I38" s="28">
        <f t="shared" si="11"/>
        <v>217.62792066031798</v>
      </c>
      <c r="K38" s="28">
        <f t="shared" si="12"/>
        <v>20.251250138769635</v>
      </c>
      <c r="M38" s="28">
        <f t="shared" si="13"/>
        <v>0</v>
      </c>
      <c r="O38" s="270">
        <v>6.1140068044318197</v>
      </c>
      <c r="Q38" s="28">
        <v>0</v>
      </c>
      <c r="S38" s="18">
        <f t="shared" si="0"/>
        <v>40919.921797575524</v>
      </c>
      <c r="U38" s="18">
        <f t="shared" si="1"/>
        <v>29233.3558832524</v>
      </c>
      <c r="W38" s="18">
        <f t="shared" si="2"/>
        <v>11686.565914323124</v>
      </c>
      <c r="Y38" s="271">
        <f t="shared" si="20"/>
        <v>29.727009219807062</v>
      </c>
      <c r="Z38" s="235"/>
      <c r="AB38" s="146">
        <f>+IF(AB37&gt;$G$13+$G$14,XX,AB37+1)</f>
        <v>2017</v>
      </c>
      <c r="AC38" s="117"/>
      <c r="AD38" s="151">
        <f t="shared" si="4"/>
        <v>393129.55527784419</v>
      </c>
      <c r="AF38" s="154">
        <f t="shared" si="19"/>
        <v>68.427619871021008</v>
      </c>
      <c r="AH38" s="154">
        <f t="shared" si="14"/>
        <v>9.6471915674012347</v>
      </c>
      <c r="AJ38" s="154">
        <f t="shared" si="15"/>
        <v>2.711879025798769</v>
      </c>
      <c r="AL38" s="153">
        <f t="shared" si="5"/>
        <v>8267.662317254064</v>
      </c>
      <c r="AN38" s="154">
        <f>INDEX('(2.2)_Forward_Price_Curve'!$I:$I,MATCH($AB38,'(2.2)_Forward_Price_Curve'!$C:$C,0),1)</f>
        <v>8.5467545643478058</v>
      </c>
      <c r="AP38" s="154">
        <f t="shared" si="6"/>
        <v>62.100900972324112</v>
      </c>
      <c r="AR38" s="154">
        <f t="shared" si="16"/>
        <v>2.8071260800163556</v>
      </c>
      <c r="AS38" s="154"/>
      <c r="AT38" s="153">
        <f t="shared" si="7"/>
        <v>3716.0920742035078</v>
      </c>
      <c r="AV38" s="153">
        <f t="shared" si="8"/>
        <v>25517.263809048891</v>
      </c>
      <c r="AW38" s="273"/>
      <c r="AX38" s="155">
        <f t="shared" si="9"/>
        <v>29233.3558832524</v>
      </c>
      <c r="AZ38" s="146">
        <f>+IF(AZ37&gt;$G$13+$G$14,XX,AZ37+1)</f>
        <v>2017</v>
      </c>
      <c r="BA38" s="117"/>
      <c r="BB38" s="154">
        <f t="shared" si="17"/>
        <v>46.108134230901292</v>
      </c>
      <c r="BD38" s="154">
        <f t="shared" si="18"/>
        <v>7.0104280961992504</v>
      </c>
      <c r="BF38" s="153">
        <f t="shared" si="10"/>
        <v>4551.5702430505562</v>
      </c>
      <c r="BH38" s="157"/>
    </row>
    <row r="39" spans="2:60" ht="12">
      <c r="B39" s="2"/>
      <c r="C39">
        <f>+IF(C38&gt;$G$13+$G$14,XX,C38+1)</f>
        <v>2018</v>
      </c>
      <c r="E39" s="169">
        <v>1.7999999999999999E-2</v>
      </c>
      <c r="G39" s="18">
        <v>393129.55527784419</v>
      </c>
      <c r="I39" s="28">
        <f t="shared" si="11"/>
        <v>221.54522323220371</v>
      </c>
      <c r="K39" s="28">
        <f t="shared" si="12"/>
        <v>20.615772641267487</v>
      </c>
      <c r="M39" s="28">
        <f t="shared" si="13"/>
        <v>0</v>
      </c>
      <c r="O39" s="270">
        <v>6.2240589269115922</v>
      </c>
      <c r="Q39" s="28">
        <v>0</v>
      </c>
      <c r="S39" s="18">
        <f t="shared" si="0"/>
        <v>41656.480389931887</v>
      </c>
      <c r="U39" s="18">
        <f t="shared" si="1"/>
        <v>30920.869064602433</v>
      </c>
      <c r="W39" s="18">
        <f t="shared" si="2"/>
        <v>10735.611325329453</v>
      </c>
      <c r="Y39" s="271">
        <f t="shared" si="20"/>
        <v>27.308074860314338</v>
      </c>
      <c r="Z39" s="235"/>
      <c r="AB39" s="146">
        <f>+IF(AB38&gt;$G$13+$G$14,XX,AB38+1)</f>
        <v>2018</v>
      </c>
      <c r="AC39" s="117"/>
      <c r="AD39" s="151">
        <f t="shared" si="4"/>
        <v>393129.55527784419</v>
      </c>
      <c r="AF39" s="154">
        <f t="shared" si="19"/>
        <v>69.659317028699391</v>
      </c>
      <c r="AH39" s="154">
        <f t="shared" si="14"/>
        <v>9.820841015614457</v>
      </c>
      <c r="AJ39" s="154">
        <f t="shared" si="15"/>
        <v>2.760692848263147</v>
      </c>
      <c r="AL39" s="153">
        <f t="shared" si="5"/>
        <v>8416.4802389646375</v>
      </c>
      <c r="AN39" s="154">
        <f>INDEX('(2.2)_Forward_Price_Curve'!$I:$I,MATCH($AB39,'(2.2)_Forward_Price_Curve'!$C:$C,0),1)</f>
        <v>9.1071488375904099</v>
      </c>
      <c r="AP39" s="154">
        <f t="shared" si="6"/>
        <v>66.172737715275218</v>
      </c>
      <c r="AR39" s="154">
        <f t="shared" si="16"/>
        <v>2.85765434945665</v>
      </c>
      <c r="AS39" s="154"/>
      <c r="AT39" s="153">
        <f t="shared" si="7"/>
        <v>3782.9817315391711</v>
      </c>
      <c r="AV39" s="153">
        <f t="shared" si="8"/>
        <v>27137.887333063263</v>
      </c>
      <c r="AW39" s="273"/>
      <c r="AX39" s="155">
        <f t="shared" si="9"/>
        <v>30920.869064602433</v>
      </c>
      <c r="AZ39" s="146">
        <f>+IF(AZ38&gt;$G$13+$G$14,XX,AZ38+1)</f>
        <v>2018</v>
      </c>
      <c r="BA39" s="117"/>
      <c r="BB39" s="154">
        <f t="shared" si="17"/>
        <v>46.938080647057518</v>
      </c>
      <c r="BD39" s="154">
        <f t="shared" si="18"/>
        <v>7.1366158019308372</v>
      </c>
      <c r="BF39" s="153">
        <f t="shared" si="10"/>
        <v>4633.4985074254664</v>
      </c>
      <c r="BH39" s="157"/>
    </row>
    <row r="40" spans="2:60" ht="12">
      <c r="B40" s="2"/>
      <c r="C40" s="353">
        <f>+IF(C39&gt;$G$13+$G$14,XX,C39+1)</f>
        <v>2019</v>
      </c>
      <c r="E40" s="355">
        <f>'(2.2)_Forward_Price_Curve'!S33</f>
        <v>2.3E-2</v>
      </c>
      <c r="G40" s="357">
        <v>378735</v>
      </c>
      <c r="I40" s="463">
        <v>241.06168013233008</v>
      </c>
      <c r="K40" s="464">
        <v>40.582033593180896</v>
      </c>
      <c r="M40" s="28">
        <f t="shared" si="13"/>
        <v>0</v>
      </c>
      <c r="O40" s="464">
        <f>'(2.2)_Forward_Price_Curve'!AC33</f>
        <v>1.1100000000000001</v>
      </c>
      <c r="Q40" s="464">
        <v>-12.744310678308612</v>
      </c>
      <c r="S40" s="18">
        <f t="shared" si="0"/>
        <v>44808.575728743301</v>
      </c>
      <c r="U40" s="18">
        <f t="shared" si="1"/>
        <v>13110.678890876006</v>
      </c>
      <c r="W40" s="18">
        <f t="shared" si="2"/>
        <v>31697.896837867294</v>
      </c>
      <c r="Y40" s="271">
        <f t="shared" si="20"/>
        <v>83.694131352706492</v>
      </c>
      <c r="Z40" s="235"/>
      <c r="AB40" s="383">
        <f>+IF(AB39&gt;$G$13+$G$14,XX,AB39+1)</f>
        <v>2019</v>
      </c>
      <c r="AC40" s="117"/>
      <c r="AD40" s="151">
        <f>G40</f>
        <v>378735</v>
      </c>
      <c r="AF40" s="399">
        <f>AR15*AR16</f>
        <v>98.875745606933918</v>
      </c>
      <c r="AH40" s="399">
        <f>AV11</f>
        <v>19.805241420865066</v>
      </c>
      <c r="AJ40" s="399">
        <f>AV13</f>
        <v>2.02116486562735</v>
      </c>
      <c r="AL40" s="153">
        <f>((AF40+AH40)*$AF$11*1000+AJ40*AD40)/1000</f>
        <v>11712.501422040452</v>
      </c>
      <c r="AN40" s="399">
        <f>INDEX('(2.2)_Forward_Price_Curve'!$K:$K,MATCH($AB40,'(2.2)_Forward_Price_Curve'!$C:$C,0),1)</f>
        <v>2.6163124999999998</v>
      </c>
      <c r="AP40" s="154">
        <f t="shared" si="6"/>
        <v>19.010182432628689</v>
      </c>
      <c r="AR40" s="399">
        <f>AV15</f>
        <v>0</v>
      </c>
      <c r="AS40" s="154"/>
      <c r="AT40" s="153">
        <f>AL40-BF40</f>
        <v>5910.8574472543796</v>
      </c>
      <c r="AV40" s="153">
        <f t="shared" si="8"/>
        <v>7199.8214436216258</v>
      </c>
      <c r="AW40" s="273"/>
      <c r="AX40" s="155">
        <f t="shared" si="9"/>
        <v>13110.678890876006</v>
      </c>
      <c r="AZ40" s="383">
        <f>+IF(AZ39&gt;$G$13+$G$14,XX,AZ39+1)</f>
        <v>2019</v>
      </c>
      <c r="BA40" s="117"/>
      <c r="BB40" s="399">
        <f>BK14*BK15</f>
        <v>51.737400000000001</v>
      </c>
      <c r="BD40" s="399">
        <f>BI16</f>
        <v>15.97</v>
      </c>
      <c r="BF40" s="153">
        <f>(BB40+BD40)*$BD$11</f>
        <v>5801.6439747860722</v>
      </c>
      <c r="BH40" s="157"/>
    </row>
    <row r="41" spans="2:60" ht="12">
      <c r="B41" s="2"/>
      <c r="C41" s="354">
        <f>+IF(C40&gt;$I$13+$I$14,XX,C40+1)</f>
        <v>2020</v>
      </c>
      <c r="E41" s="356">
        <f>'(2.2)_Forward_Price_Curve'!S34</f>
        <v>2.5999999999999999E-2</v>
      </c>
      <c r="G41" s="470">
        <v>463645</v>
      </c>
      <c r="I41" s="471">
        <v>292.88738030770497</v>
      </c>
      <c r="K41" s="471">
        <v>54.098797552361106</v>
      </c>
      <c r="M41" s="28">
        <f t="shared" si="13"/>
        <v>0</v>
      </c>
      <c r="O41" s="471">
        <v>0.63</v>
      </c>
      <c r="Q41" s="471">
        <v>-40.290737965156573</v>
      </c>
      <c r="S41" s="18">
        <f>(I41*$G$11*1000+(K41+M41+O41+Q41)*G41)/1000</f>
        <v>47815.522332511224</v>
      </c>
      <c r="U41" s="18">
        <f t="shared" si="1"/>
        <v>15317.730535527939</v>
      </c>
      <c r="W41" s="18">
        <f t="shared" si="2"/>
        <v>32497.791796983285</v>
      </c>
      <c r="Y41" s="271">
        <f t="shared" si="20"/>
        <v>70.091970790115894</v>
      </c>
      <c r="Z41" s="235"/>
      <c r="AB41" s="384">
        <f>+IF(AB40&gt;$I$13+$I$14,XX,AB40+1)</f>
        <v>2020</v>
      </c>
      <c r="AC41" s="117"/>
      <c r="AD41" s="151">
        <f t="shared" ref="AD41:AD70" si="21">G41</f>
        <v>463645</v>
      </c>
      <c r="AF41" s="154">
        <f>AF40*(1+$E41)</f>
        <v>101.4465149927142</v>
      </c>
      <c r="AH41" s="154">
        <f>AH40*(1+$E41)</f>
        <v>20.320177697807559</v>
      </c>
      <c r="AJ41" s="154">
        <f>AJ40*(1+$E41)</f>
        <v>2.0737151521336612</v>
      </c>
      <c r="AL41" s="153">
        <f t="shared" si="5"/>
        <v>12193.105612581172</v>
      </c>
      <c r="AN41" s="154">
        <f>INDEX('(2.2)_Forward_Price_Curve'!$K:$K,MATCH($AB41,'(2.2)_Forward_Price_Curve'!$C:$C,0),1)</f>
        <v>2.6944208333333339</v>
      </c>
      <c r="AP41" s="154">
        <f t="shared" si="6"/>
        <v>19.577719248729689</v>
      </c>
      <c r="AR41" s="154">
        <f>AR40*(1+$E41)</f>
        <v>0</v>
      </c>
      <c r="AS41" s="154"/>
      <c r="AT41" s="153">
        <f t="shared" ref="AT41" si="22">AL41-BF41</f>
        <v>6240.6188944506621</v>
      </c>
      <c r="AV41" s="153">
        <f>(AP41+AR41)*AD41/1000</f>
        <v>9077.1116410772756</v>
      </c>
      <c r="AW41" s="273"/>
      <c r="AX41" s="155">
        <f t="shared" si="9"/>
        <v>15317.730535527939</v>
      </c>
      <c r="AZ41" s="384">
        <f>+IF(AZ40&gt;$I$13+$I$14,XX,AZ40+1)</f>
        <v>2020</v>
      </c>
      <c r="BA41" s="117"/>
      <c r="BB41" s="154">
        <f>BB40*(1+$E41)</f>
        <v>53.082572400000004</v>
      </c>
      <c r="BD41" s="154">
        <f>BD40*(1+$E41)</f>
        <v>16.38522</v>
      </c>
      <c r="BF41" s="153">
        <f t="shared" si="10"/>
        <v>5952.4867181305099</v>
      </c>
      <c r="BH41" s="157"/>
    </row>
    <row r="42" spans="2:60" ht="12">
      <c r="B42" s="2"/>
      <c r="C42" s="354">
        <f>+IF(C41&gt;$I$13+$I$14,XX,C41+1)</f>
        <v>2021</v>
      </c>
      <c r="E42" s="356">
        <f>'(2.2)_Forward_Price_Curve'!S35</f>
        <v>2.4E-2</v>
      </c>
      <c r="G42" s="470">
        <v>463663.00000000006</v>
      </c>
      <c r="I42" s="471">
        <v>298.22264790163047</v>
      </c>
      <c r="K42" s="471">
        <v>51.339463855099709</v>
      </c>
      <c r="M42" s="28">
        <f t="shared" si="13"/>
        <v>0</v>
      </c>
      <c r="O42" s="471">
        <v>0.6399999999999999</v>
      </c>
      <c r="Q42" s="471">
        <v>-41.902367483762823</v>
      </c>
      <c r="S42" s="18">
        <f t="shared" si="0"/>
        <v>46542.836500212099</v>
      </c>
      <c r="U42" s="18">
        <f t="shared" si="1"/>
        <v>16082.202395796601</v>
      </c>
      <c r="W42" s="18">
        <f t="shared" si="2"/>
        <v>30460.634104415498</v>
      </c>
      <c r="Y42" s="271">
        <f t="shared" si="20"/>
        <v>65.695632613375437</v>
      </c>
      <c r="Z42" s="235"/>
      <c r="AB42" s="384">
        <f>+IF(AB41&gt;$I$13+$I$14,XX,AB41+1)</f>
        <v>2021</v>
      </c>
      <c r="AC42" s="117"/>
      <c r="AD42" s="151">
        <f t="shared" si="21"/>
        <v>463663.00000000006</v>
      </c>
      <c r="AF42" s="154">
        <f t="shared" ref="AF42:AF70" si="23">AF41*(1+$E42)</f>
        <v>103.88123135253934</v>
      </c>
      <c r="AH42" s="154">
        <f t="shared" ref="AH42:AH70" si="24">AH41*(1+$E42)</f>
        <v>20.807861962554941</v>
      </c>
      <c r="AJ42" s="154">
        <f t="shared" ref="AJ42:AJ70" si="25">AJ41*(1+$E42)</f>
        <v>2.1234843157848693</v>
      </c>
      <c r="AL42" s="153">
        <f t="shared" si="5"/>
        <v>12485.778370000806</v>
      </c>
      <c r="AN42" s="154">
        <f>INDEX('(2.2)_Forward_Price_Curve'!$K:$K,MATCH($AB42,'(2.2)_Forward_Price_Curve'!$C:$C,0),1)</f>
        <v>2.8767624999999999</v>
      </c>
      <c r="AP42" s="154">
        <f t="shared" si="6"/>
        <v>20.902617688194734</v>
      </c>
      <c r="AR42" s="154">
        <f t="shared" si="16"/>
        <v>0</v>
      </c>
      <c r="AS42" s="154"/>
      <c r="AT42" s="153">
        <f t="shared" si="7"/>
        <v>6390.4319706351644</v>
      </c>
      <c r="AV42" s="153">
        <f t="shared" si="8"/>
        <v>9691.7704251614359</v>
      </c>
      <c r="AW42" s="273"/>
      <c r="AX42" s="155">
        <f t="shared" si="9"/>
        <v>16082.202395796601</v>
      </c>
      <c r="AZ42" s="384">
        <f>+IF(AZ41&gt;$I$13+$I$14,XX,AZ41+1)</f>
        <v>2021</v>
      </c>
      <c r="BA42" s="117"/>
      <c r="BB42" s="154">
        <f t="shared" ref="BB42:BB70" si="26">BB41*(1+$E42)</f>
        <v>54.356554137600007</v>
      </c>
      <c r="BD42" s="154">
        <f t="shared" ref="BD42:BD70" si="27">BD41*(1+$E42)</f>
        <v>16.778465279999999</v>
      </c>
      <c r="BF42" s="153">
        <f t="shared" si="10"/>
        <v>6095.3463993656414</v>
      </c>
      <c r="BH42" s="157"/>
    </row>
    <row r="43" spans="2:60" ht="12">
      <c r="B43" s="2"/>
      <c r="C43" s="354">
        <f>+IF(C42&gt;$I$13+$I$14,XX,C42+1)</f>
        <v>2022</v>
      </c>
      <c r="E43" s="356">
        <f>'(2.2)_Forward_Price_Curve'!S36</f>
        <v>2.3E-2</v>
      </c>
      <c r="G43" s="470">
        <v>463663.00000000006</v>
      </c>
      <c r="I43" s="471">
        <v>303.88887821176144</v>
      </c>
      <c r="K43" s="471">
        <v>40.373586753917238</v>
      </c>
      <c r="M43" s="28">
        <f t="shared" si="13"/>
        <v>0</v>
      </c>
      <c r="O43" s="471">
        <v>0.66</v>
      </c>
      <c r="Q43" s="471">
        <v>-41.902367483762823</v>
      </c>
      <c r="S43" s="18">
        <f t="shared" si="0"/>
        <v>42263.17702138891</v>
      </c>
      <c r="U43" s="18">
        <f t="shared" si="1"/>
        <v>16677.566192783561</v>
      </c>
      <c r="W43" s="18">
        <f t="shared" si="2"/>
        <v>25585.61082860535</v>
      </c>
      <c r="Y43" s="271">
        <f t="shared" si="20"/>
        <v>55.181480576637227</v>
      </c>
      <c r="Z43" s="235"/>
      <c r="AB43" s="384">
        <f>+IF(AB42&gt;$I$13+$I$14,XX,AB42+1)</f>
        <v>2022</v>
      </c>
      <c r="AC43" s="117"/>
      <c r="AD43" s="151">
        <f t="shared" si="21"/>
        <v>463663.00000000006</v>
      </c>
      <c r="AF43" s="154">
        <f t="shared" si="23"/>
        <v>106.27049967364773</v>
      </c>
      <c r="AH43" s="154">
        <f t="shared" si="24"/>
        <v>21.286442787693705</v>
      </c>
      <c r="AJ43" s="154">
        <f t="shared" si="25"/>
        <v>2.1723244550479213</v>
      </c>
      <c r="AL43" s="153">
        <f t="shared" si="5"/>
        <v>12772.951272510823</v>
      </c>
      <c r="AN43" s="154">
        <f>INDEX('(2.2)_Forward_Price_Curve'!$K:$K,MATCH($AB43,'(2.2)_Forward_Price_Curve'!$C:$C,0),1)</f>
        <v>3.0098541666666665</v>
      </c>
      <c r="AP43" s="154">
        <f t="shared" si="6"/>
        <v>21.869664577125601</v>
      </c>
      <c r="AR43" s="154">
        <f t="shared" si="16"/>
        <v>0</v>
      </c>
      <c r="AS43" s="154"/>
      <c r="AT43" s="153">
        <f t="shared" si="7"/>
        <v>6537.4119059597715</v>
      </c>
      <c r="AV43" s="153">
        <f t="shared" si="8"/>
        <v>10140.154286823788</v>
      </c>
      <c r="AW43" s="273"/>
      <c r="AX43" s="155">
        <f t="shared" si="9"/>
        <v>16677.566192783561</v>
      </c>
      <c r="AZ43" s="384">
        <f>+IF(AZ42&gt;$I$13+$I$14,XX,AZ42+1)</f>
        <v>2022</v>
      </c>
      <c r="BA43" s="117"/>
      <c r="BB43" s="154">
        <f t="shared" si="26"/>
        <v>55.606754882764804</v>
      </c>
      <c r="BD43" s="154">
        <f t="shared" si="27"/>
        <v>17.164369981439997</v>
      </c>
      <c r="BF43" s="153">
        <f t="shared" si="10"/>
        <v>6235.5393665510519</v>
      </c>
      <c r="BH43" s="157"/>
    </row>
    <row r="44" spans="2:60" ht="12">
      <c r="B44" s="2"/>
      <c r="C44" s="354">
        <f>+IF(C43&gt;$I$13+$I$14,XX,C43+1)</f>
        <v>2023</v>
      </c>
      <c r="E44" s="356">
        <f>'(2.2)_Forward_Price_Curve'!S37</f>
        <v>2.3E-2</v>
      </c>
      <c r="G44" s="470">
        <v>463663.00000000006</v>
      </c>
      <c r="I44" s="471">
        <v>309.66276689778488</v>
      </c>
      <c r="K44" s="471">
        <v>41.213529578835384</v>
      </c>
      <c r="M44" s="28">
        <f t="shared" si="13"/>
        <v>0</v>
      </c>
      <c r="O44" s="471">
        <v>0.67</v>
      </c>
      <c r="Q44" s="471">
        <v>-43.513997002369095</v>
      </c>
      <c r="S44" s="18">
        <f t="shared" si="0"/>
        <v>42720.665055451092</v>
      </c>
      <c r="U44" s="18">
        <f t="shared" si="1"/>
        <v>18402.070986417599</v>
      </c>
      <c r="W44" s="18">
        <f t="shared" si="2"/>
        <v>24318.594069033494</v>
      </c>
      <c r="Y44" s="271">
        <f t="shared" si="20"/>
        <v>52.448856322444293</v>
      </c>
      <c r="Z44" s="235"/>
      <c r="AB44" s="384">
        <f>+IF(AB43&gt;$I$13+$I$14,XX,AB43+1)</f>
        <v>2023</v>
      </c>
      <c r="AC44" s="117"/>
      <c r="AD44" s="151">
        <f t="shared" si="21"/>
        <v>463663.00000000006</v>
      </c>
      <c r="AF44" s="154">
        <f t="shared" si="23"/>
        <v>108.71472116614163</v>
      </c>
      <c r="AH44" s="154">
        <f t="shared" si="24"/>
        <v>21.776030971810659</v>
      </c>
      <c r="AJ44" s="154">
        <f t="shared" si="25"/>
        <v>2.2222879175140231</v>
      </c>
      <c r="AL44" s="153">
        <f t="shared" si="5"/>
        <v>13066.729151778569</v>
      </c>
      <c r="AN44" s="154">
        <f>INDEX('(2.2)_Forward_Price_Curve'!$K:$K,MATCH($AB44,'(2.2)_Forward_Price_Curve'!$C:$C,0),1)</f>
        <v>3.4771000000000001</v>
      </c>
      <c r="AP44" s="154">
        <f t="shared" si="6"/>
        <v>25.264682768779807</v>
      </c>
      <c r="AR44" s="154">
        <f t="shared" si="16"/>
        <v>0</v>
      </c>
      <c r="AS44" s="154"/>
      <c r="AT44" s="153">
        <f t="shared" si="7"/>
        <v>6687.7723797968447</v>
      </c>
      <c r="AV44" s="153">
        <f t="shared" si="8"/>
        <v>11714.298606620754</v>
      </c>
      <c r="AW44" s="273"/>
      <c r="AX44" s="155">
        <f t="shared" si="9"/>
        <v>18402.070986417599</v>
      </c>
      <c r="AZ44" s="384">
        <f>+IF(AZ43&gt;$I$13+$I$14,XX,AZ43+1)</f>
        <v>2023</v>
      </c>
      <c r="BA44" s="117"/>
      <c r="BB44" s="154">
        <f t="shared" si="26"/>
        <v>56.885710245068388</v>
      </c>
      <c r="BD44" s="154">
        <f t="shared" si="27"/>
        <v>17.559150491013114</v>
      </c>
      <c r="BF44" s="153">
        <f t="shared" si="10"/>
        <v>6378.9567719817242</v>
      </c>
      <c r="BH44" s="157"/>
    </row>
    <row r="45" spans="2:60" ht="12">
      <c r="B45" s="2"/>
      <c r="C45" s="354">
        <f>+IF(C44&gt;$I$13+$I$14,XX,C44+1)</f>
        <v>2024</v>
      </c>
      <c r="E45" s="356">
        <f>'(2.2)_Forward_Price_Curve'!S38</f>
        <v>2.3E-2</v>
      </c>
      <c r="G45" s="470">
        <v>463645</v>
      </c>
      <c r="I45" s="471">
        <v>315.54635946884275</v>
      </c>
      <c r="K45" s="471">
        <v>42.07110674498864</v>
      </c>
      <c r="M45" s="28">
        <f t="shared" si="13"/>
        <v>0</v>
      </c>
      <c r="O45" s="471">
        <v>0.69</v>
      </c>
      <c r="Q45" s="471">
        <v>-43.513997002369095</v>
      </c>
      <c r="S45" s="18">
        <f t="shared" si="0"/>
        <v>43953.635066042356</v>
      </c>
      <c r="U45" s="18">
        <f t="shared" si="1"/>
        <v>20161.27083908768</v>
      </c>
      <c r="W45" s="18">
        <f t="shared" si="2"/>
        <v>23792.364226954676</v>
      </c>
      <c r="Y45" s="271">
        <f t="shared" si="20"/>
        <v>51.315908134358565</v>
      </c>
      <c r="Z45" s="235"/>
      <c r="AB45" s="384">
        <f>+IF(AB44&gt;$I$13+$I$14,XX,AB44+1)</f>
        <v>2024</v>
      </c>
      <c r="AC45" s="117"/>
      <c r="AD45" s="151">
        <f t="shared" si="21"/>
        <v>463645</v>
      </c>
      <c r="AF45" s="154">
        <f t="shared" si="23"/>
        <v>111.21515975296288</v>
      </c>
      <c r="AH45" s="154">
        <f t="shared" si="24"/>
        <v>22.276879684162303</v>
      </c>
      <c r="AJ45" s="154">
        <f t="shared" si="25"/>
        <v>2.2734005396168455</v>
      </c>
      <c r="AL45" s="153">
        <f t="shared" si="5"/>
        <v>13367.223001059763</v>
      </c>
      <c r="AN45" s="154">
        <f>INDEX('(2.2)_Forward_Price_Curve'!$K:$K,MATCH($AB45,'(2.2)_Forward_Price_Curve'!$C:$C,0),1)</f>
        <v>3.9537833333333325</v>
      </c>
      <c r="AP45" s="154">
        <f t="shared" si="6"/>
        <v>28.728274036741947</v>
      </c>
      <c r="AR45" s="154">
        <f t="shared" si="16"/>
        <v>0</v>
      </c>
      <c r="AS45" s="154"/>
      <c r="AT45" s="153">
        <f t="shared" si="7"/>
        <v>6841.5502233224597</v>
      </c>
      <c r="AV45" s="153">
        <f t="shared" si="8"/>
        <v>13319.72061576522</v>
      </c>
      <c r="AW45" s="273"/>
      <c r="AX45" s="155">
        <f t="shared" si="9"/>
        <v>20161.27083908768</v>
      </c>
      <c r="AZ45" s="384">
        <f>+IF(AZ44&gt;$I$13+$I$14,XX,AZ44+1)</f>
        <v>2024</v>
      </c>
      <c r="BA45" s="117"/>
      <c r="BB45" s="154">
        <f t="shared" si="26"/>
        <v>58.194081580704953</v>
      </c>
      <c r="BD45" s="154">
        <f t="shared" si="27"/>
        <v>17.963010952306412</v>
      </c>
      <c r="BF45" s="153">
        <f t="shared" si="10"/>
        <v>6525.6727777373035</v>
      </c>
      <c r="BH45" s="157"/>
    </row>
    <row r="46" spans="2:60" ht="12">
      <c r="B46" s="2"/>
      <c r="C46" s="354">
        <f>+IF(C45&gt;$I$13+$I$14,XX,C45+1)</f>
        <v>2025</v>
      </c>
      <c r="E46" s="356">
        <f>'(2.2)_Forward_Price_Curve'!S39</f>
        <v>2.3E-2</v>
      </c>
      <c r="G46" s="470">
        <v>463663.00000000006</v>
      </c>
      <c r="I46" s="471">
        <v>321.54174029875071</v>
      </c>
      <c r="K46" s="471">
        <v>42.927633323056639</v>
      </c>
      <c r="M46" s="28">
        <f t="shared" si="13"/>
        <v>0</v>
      </c>
      <c r="O46" s="471">
        <v>0.69999999999999984</v>
      </c>
      <c r="Q46" s="471">
        <v>-45.125626520975352</v>
      </c>
      <c r="S46" s="18">
        <f t="shared" si="0"/>
        <v>44449.896317818013</v>
      </c>
      <c r="U46" s="18">
        <f t="shared" si="1"/>
        <v>20840.999168189534</v>
      </c>
      <c r="W46" s="18">
        <f t="shared" si="2"/>
        <v>23608.897149628479</v>
      </c>
      <c r="Y46" s="271">
        <f t="shared" si="20"/>
        <v>50.918225412915149</v>
      </c>
      <c r="Z46" s="235"/>
      <c r="AB46" s="384">
        <f>+IF(AB45&gt;$I$13+$I$14,XX,AB45+1)</f>
        <v>2025</v>
      </c>
      <c r="AC46" s="117"/>
      <c r="AD46" s="151">
        <f t="shared" si="21"/>
        <v>463663.00000000006</v>
      </c>
      <c r="AF46" s="154">
        <f t="shared" si="23"/>
        <v>113.77310842728102</v>
      </c>
      <c r="AH46" s="154">
        <f t="shared" si="24"/>
        <v>22.789247916898034</v>
      </c>
      <c r="AJ46" s="154">
        <f t="shared" si="25"/>
        <v>2.3256887520280327</v>
      </c>
      <c r="AL46" s="153">
        <f t="shared" si="5"/>
        <v>13674.710992481672</v>
      </c>
      <c r="AN46" s="154">
        <f>INDEX('(2.2)_Forward_Price_Curve'!$K:$K,MATCH($AB46,'(2.2)_Forward_Price_Curve'!$C:$C,0),1)</f>
        <v>4.1086708333333339</v>
      </c>
      <c r="AP46" s="154">
        <f t="shared" si="6"/>
        <v>29.853689915591971</v>
      </c>
      <c r="AR46" s="154">
        <f t="shared" si="16"/>
        <v>0</v>
      </c>
      <c r="AS46" s="154"/>
      <c r="AT46" s="153">
        <f t="shared" si="7"/>
        <v>6998.9477408564117</v>
      </c>
      <c r="AV46" s="153">
        <f t="shared" si="8"/>
        <v>13842.051427333123</v>
      </c>
      <c r="AW46" s="273"/>
      <c r="AX46" s="155">
        <f t="shared" si="9"/>
        <v>20840.999168189534</v>
      </c>
      <c r="AZ46" s="384">
        <f>+IF(AZ45&gt;$I$13+$I$14,XX,AZ45+1)</f>
        <v>2025</v>
      </c>
      <c r="BA46" s="117"/>
      <c r="BB46" s="154">
        <f t="shared" si="26"/>
        <v>59.532545457061161</v>
      </c>
      <c r="BD46" s="154">
        <f t="shared" si="27"/>
        <v>18.376160204209459</v>
      </c>
      <c r="BF46" s="153">
        <f t="shared" si="10"/>
        <v>6675.7632516252606</v>
      </c>
      <c r="BH46" s="157"/>
    </row>
    <row r="47" spans="2:60" ht="12">
      <c r="B47" s="2"/>
      <c r="C47" s="354">
        <f>+IF(C46&gt;$I$13+$I$14,XX,C46+1)</f>
        <v>2026</v>
      </c>
      <c r="E47" s="356">
        <f>'(2.2)_Forward_Price_Curve'!S40</f>
        <v>2.1999999999999999E-2</v>
      </c>
      <c r="G47" s="470">
        <v>463663.00000000006</v>
      </c>
      <c r="I47" s="471">
        <v>327.65103336442701</v>
      </c>
      <c r="K47" s="471">
        <v>43.801691768206013</v>
      </c>
      <c r="M47" s="28">
        <f t="shared" si="13"/>
        <v>0</v>
      </c>
      <c r="O47" s="471">
        <v>0.72</v>
      </c>
      <c r="Q47" s="471">
        <v>-46.737256039581631</v>
      </c>
      <c r="S47" s="18">
        <f t="shared" si="0"/>
        <v>44974.929907606718</v>
      </c>
      <c r="U47" s="18">
        <f t="shared" si="1"/>
        <v>21257.181332870412</v>
      </c>
      <c r="W47" s="18">
        <f t="shared" si="2"/>
        <v>23717.748574736306</v>
      </c>
      <c r="Y47" s="271">
        <f t="shared" si="20"/>
        <v>51.152989509053562</v>
      </c>
      <c r="Z47" s="235"/>
      <c r="AB47" s="384">
        <f>+IF(AB46&gt;$I$13+$I$14,XX,AB46+1)</f>
        <v>2026</v>
      </c>
      <c r="AC47" s="117"/>
      <c r="AD47" s="151">
        <f t="shared" si="21"/>
        <v>463663.00000000006</v>
      </c>
      <c r="AF47" s="154">
        <f t="shared" si="23"/>
        <v>116.2761168126812</v>
      </c>
      <c r="AH47" s="154">
        <f t="shared" si="24"/>
        <v>23.29061137106979</v>
      </c>
      <c r="AJ47" s="154">
        <f t="shared" si="25"/>
        <v>2.3768539045726493</v>
      </c>
      <c r="AL47" s="153">
        <f t="shared" si="5"/>
        <v>13975.554634316271</v>
      </c>
      <c r="AN47" s="154">
        <f>INDEX('(2.2)_Forward_Price_Curve'!$K:$K,MATCH($AB47,'(2.2)_Forward_Price_Curve'!$C:$C,0),1)</f>
        <v>4.1864999999999997</v>
      </c>
      <c r="AP47" s="154">
        <f t="shared" si="6"/>
        <v>30.419198300738156</v>
      </c>
      <c r="AR47" s="154">
        <f t="shared" si="16"/>
        <v>0</v>
      </c>
      <c r="AS47" s="154"/>
      <c r="AT47" s="153">
        <f t="shared" si="7"/>
        <v>7152.9245911552553</v>
      </c>
      <c r="AV47" s="153">
        <f t="shared" si="8"/>
        <v>14104.256741715157</v>
      </c>
      <c r="AW47" s="273"/>
      <c r="AX47" s="155">
        <f t="shared" si="9"/>
        <v>21257.181332870412</v>
      </c>
      <c r="AZ47" s="384">
        <f>+IF(AZ46&gt;$I$13+$I$14,XX,AZ46+1)</f>
        <v>2026</v>
      </c>
      <c r="BA47" s="117"/>
      <c r="BB47" s="154">
        <f t="shared" si="26"/>
        <v>60.842261457116507</v>
      </c>
      <c r="BD47" s="154">
        <f t="shared" si="27"/>
        <v>18.780435728702066</v>
      </c>
      <c r="BF47" s="153">
        <f t="shared" si="10"/>
        <v>6822.6300431610161</v>
      </c>
      <c r="BH47" s="157"/>
    </row>
    <row r="48" spans="2:60" ht="12">
      <c r="B48" s="2"/>
      <c r="C48" s="354">
        <f>+IF(C47&gt;$I$13+$I$14,XX,C47+1)</f>
        <v>2027</v>
      </c>
      <c r="E48" s="356">
        <f>'(2.2)_Forward_Price_Curve'!S41</f>
        <v>2.1999999999999999E-2</v>
      </c>
      <c r="G48" s="470">
        <v>463663.00000000006</v>
      </c>
      <c r="I48" s="471">
        <v>333.87640299835107</v>
      </c>
      <c r="K48" s="471">
        <v>44.693642858877489</v>
      </c>
      <c r="M48" s="28">
        <f t="shared" si="13"/>
        <v>0</v>
      </c>
      <c r="O48" s="471">
        <v>0.74</v>
      </c>
      <c r="Q48" s="471">
        <v>-46.737256039581631</v>
      </c>
      <c r="S48" s="18">
        <f t="shared" si="0"/>
        <v>46271.809782763667</v>
      </c>
      <c r="U48" s="18">
        <f t="shared" si="1"/>
        <v>22326.908991412136</v>
      </c>
      <c r="W48" s="18">
        <f t="shared" si="2"/>
        <v>23944.900791351531</v>
      </c>
      <c r="Y48" s="271">
        <f t="shared" si="20"/>
        <v>51.642897516842034</v>
      </c>
      <c r="Z48" s="235"/>
      <c r="AB48" s="384">
        <f>+IF(AB47&gt;$I$13+$I$14,XX,AB47+1)</f>
        <v>2027</v>
      </c>
      <c r="AC48" s="117"/>
      <c r="AD48" s="151">
        <f t="shared" si="21"/>
        <v>463663.00000000006</v>
      </c>
      <c r="AF48" s="154">
        <f t="shared" si="23"/>
        <v>118.83419138256018</v>
      </c>
      <c r="AH48" s="154">
        <f t="shared" si="24"/>
        <v>23.803004821233326</v>
      </c>
      <c r="AJ48" s="154">
        <f t="shared" si="25"/>
        <v>2.4291446904732479</v>
      </c>
      <c r="AL48" s="153">
        <f t="shared" si="5"/>
        <v>14283.016836271228</v>
      </c>
      <c r="AN48" s="154">
        <f>INDEX('(2.2)_Forward_Price_Curve'!$K:$K,MATCH($AB48,'(2.2)_Forward_Price_Curve'!$C:$C,0),1)</f>
        <v>4.4573125000000005</v>
      </c>
      <c r="AP48" s="154">
        <f t="shared" si="6"/>
        <v>32.386927702343002</v>
      </c>
      <c r="AR48" s="154">
        <f t="shared" si="16"/>
        <v>0</v>
      </c>
      <c r="AS48" s="154"/>
      <c r="AT48" s="153">
        <f t="shared" si="7"/>
        <v>7310.2889321606699</v>
      </c>
      <c r="AV48" s="153">
        <f t="shared" si="8"/>
        <v>15016.620059251465</v>
      </c>
      <c r="AW48" s="273"/>
      <c r="AX48" s="155">
        <f t="shared" si="9"/>
        <v>22326.908991412136</v>
      </c>
      <c r="AZ48" s="384">
        <f>+IF(AZ47&gt;$I$13+$I$14,XX,AZ47+1)</f>
        <v>2027</v>
      </c>
      <c r="BA48" s="117"/>
      <c r="BB48" s="154">
        <f t="shared" si="26"/>
        <v>62.180791209173073</v>
      </c>
      <c r="BD48" s="154">
        <f t="shared" si="27"/>
        <v>19.193605314733514</v>
      </c>
      <c r="BF48" s="153">
        <f t="shared" si="10"/>
        <v>6972.7279041105585</v>
      </c>
      <c r="BH48" s="157"/>
    </row>
    <row r="49" spans="2:60" ht="12">
      <c r="B49" s="2"/>
      <c r="C49" s="354">
        <f>+IF(C48&gt;$I$13+$I$14,XX,C48+1)</f>
        <v>2028</v>
      </c>
      <c r="E49" s="356">
        <f>'(2.2)_Forward_Price_Curve'!S42</f>
        <v>2.1999999999999999E-2</v>
      </c>
      <c r="G49" s="470">
        <v>463645</v>
      </c>
      <c r="I49" s="471">
        <v>340.2200546553197</v>
      </c>
      <c r="K49" s="471">
        <v>45.603854837107377</v>
      </c>
      <c r="M49" s="28">
        <f t="shared" si="13"/>
        <v>0</v>
      </c>
      <c r="O49" s="471">
        <v>0.75000000000000011</v>
      </c>
      <c r="Q49" s="471">
        <v>-48.348885558187895</v>
      </c>
      <c r="S49" s="18">
        <f t="shared" si="0"/>
        <v>46841.909654931507</v>
      </c>
      <c r="U49" s="18">
        <f t="shared" si="1"/>
        <v>23013.631574962084</v>
      </c>
      <c r="W49" s="18">
        <f t="shared" si="2"/>
        <v>23828.278079969423</v>
      </c>
      <c r="Y49" s="271">
        <f t="shared" si="20"/>
        <v>51.3933679430802</v>
      </c>
      <c r="Z49" s="235"/>
      <c r="AB49" s="384">
        <f>+IF(AB48&gt;$I$13+$I$14,XX,AB48+1)</f>
        <v>2028</v>
      </c>
      <c r="AC49" s="117"/>
      <c r="AD49" s="151">
        <f t="shared" si="21"/>
        <v>463645</v>
      </c>
      <c r="AF49" s="154">
        <f t="shared" si="23"/>
        <v>121.44854359297651</v>
      </c>
      <c r="AH49" s="154">
        <f t="shared" si="24"/>
        <v>24.326670927300459</v>
      </c>
      <c r="AJ49" s="154">
        <f t="shared" si="25"/>
        <v>2.4825858736636595</v>
      </c>
      <c r="AL49" s="153">
        <f t="shared" si="5"/>
        <v>14597.198520123471</v>
      </c>
      <c r="AN49" s="154">
        <f>INDEX('(2.2)_Forward_Price_Curve'!$K:$K,MATCH($AB49,'(2.2)_Forward_Price_Curve'!$C:$C,0),1)</f>
        <v>4.6136041666666676</v>
      </c>
      <c r="AP49" s="154">
        <f t="shared" si="6"/>
        <v>33.522546286144795</v>
      </c>
      <c r="AR49" s="154">
        <f t="shared" si="16"/>
        <v>0</v>
      </c>
      <c r="AS49" s="154"/>
      <c r="AT49" s="153">
        <f t="shared" si="7"/>
        <v>7471.0706021224796</v>
      </c>
      <c r="AV49" s="153">
        <f t="shared" si="8"/>
        <v>15542.560972839603</v>
      </c>
      <c r="AW49" s="273"/>
      <c r="AX49" s="155">
        <f t="shared" si="9"/>
        <v>23013.631574962084</v>
      </c>
      <c r="AZ49" s="384">
        <f>+IF(AZ48&gt;$I$13+$I$14,XX,AZ48+1)</f>
        <v>2028</v>
      </c>
      <c r="BA49" s="117"/>
      <c r="BB49" s="154">
        <f t="shared" si="26"/>
        <v>63.548768615774883</v>
      </c>
      <c r="BD49" s="154">
        <f t="shared" si="27"/>
        <v>19.615864631657651</v>
      </c>
      <c r="BF49" s="153">
        <f t="shared" si="10"/>
        <v>7126.1279180009915</v>
      </c>
      <c r="BH49" s="157"/>
    </row>
    <row r="50" spans="2:60" ht="12">
      <c r="B50" s="2"/>
      <c r="C50" s="354">
        <f>+IF(C49&gt;$I$13+$I$14,XX,C49+1)</f>
        <v>2029</v>
      </c>
      <c r="E50" s="356">
        <f>'(2.2)_Forward_Price_Curve'!S43</f>
        <v>2.1999999999999999E-2</v>
      </c>
      <c r="G50" s="470">
        <v>463663.00000000006</v>
      </c>
      <c r="I50" s="471">
        <v>346.68423569377069</v>
      </c>
      <c r="K50" s="471">
        <v>46.5119117354906</v>
      </c>
      <c r="M50" s="28">
        <f t="shared" si="13"/>
        <v>0</v>
      </c>
      <c r="O50" s="471">
        <v>0.76999999999999991</v>
      </c>
      <c r="Q50" s="471">
        <v>-48.348885558187895</v>
      </c>
      <c r="S50" s="18">
        <f t="shared" si="0"/>
        <v>48179.750407852109</v>
      </c>
      <c r="U50" s="18">
        <f t="shared" si="1"/>
        <v>23652.197192645996</v>
      </c>
      <c r="W50" s="18">
        <f t="shared" si="2"/>
        <v>24527.553215206113</v>
      </c>
      <c r="Y50" s="271">
        <f t="shared" si="20"/>
        <v>52.899526628620592</v>
      </c>
      <c r="Z50" s="235"/>
      <c r="AB50" s="384">
        <f>+IF(AB49&gt;$I$13+$I$14,XX,AB49+1)</f>
        <v>2029</v>
      </c>
      <c r="AC50" s="117"/>
      <c r="AD50" s="151">
        <f t="shared" si="21"/>
        <v>463663.00000000006</v>
      </c>
      <c r="AF50" s="154">
        <f t="shared" si="23"/>
        <v>124.12041155202199</v>
      </c>
      <c r="AH50" s="154">
        <f t="shared" si="24"/>
        <v>24.861857687701068</v>
      </c>
      <c r="AJ50" s="154">
        <f t="shared" si="25"/>
        <v>2.5372027628842599</v>
      </c>
      <c r="AL50" s="153">
        <f t="shared" si="5"/>
        <v>14918.382557215918</v>
      </c>
      <c r="AN50" s="154">
        <f>INDEX('(2.2)_Forward_Price_Curve'!$K:$K,MATCH($AB50,'(2.2)_Forward_Price_Curve'!$C:$C,0),1)</f>
        <v>4.7541666666666673</v>
      </c>
      <c r="AP50" s="154">
        <f t="shared" si="6"/>
        <v>34.543876409433338</v>
      </c>
      <c r="AR50" s="154">
        <f t="shared" si="16"/>
        <v>0</v>
      </c>
      <c r="AS50" s="154"/>
      <c r="AT50" s="153">
        <f t="shared" si="7"/>
        <v>7635.4798250189051</v>
      </c>
      <c r="AV50" s="153">
        <f t="shared" si="8"/>
        <v>16016.717367627092</v>
      </c>
      <c r="AW50" s="273"/>
      <c r="AX50" s="155">
        <f t="shared" si="9"/>
        <v>23652.197192645996</v>
      </c>
      <c r="AZ50" s="384">
        <f>+IF(AZ49&gt;$I$13+$I$14,XX,AZ49+1)</f>
        <v>2029</v>
      </c>
      <c r="BA50" s="117"/>
      <c r="BB50" s="154">
        <f t="shared" si="26"/>
        <v>64.946841525321929</v>
      </c>
      <c r="BD50" s="154">
        <f t="shared" si="27"/>
        <v>20.04741365355412</v>
      </c>
      <c r="BF50" s="153">
        <f t="shared" si="10"/>
        <v>7282.9027321970134</v>
      </c>
      <c r="BH50" s="157"/>
    </row>
    <row r="51" spans="2:60" ht="12">
      <c r="B51" s="2"/>
      <c r="C51" s="354">
        <f>+IF(C50&gt;$I$13+$I$14,XX,C50+1)</f>
        <v>2030</v>
      </c>
      <c r="E51" s="356">
        <f>'(2.2)_Forward_Price_Curve'!S44</f>
        <v>2.1999999999999999E-2</v>
      </c>
      <c r="G51" s="470">
        <v>463663.00000000006</v>
      </c>
      <c r="I51" s="471">
        <v>353.54294215175867</v>
      </c>
      <c r="K51" s="471">
        <v>47.484606883464636</v>
      </c>
      <c r="M51" s="28">
        <f t="shared" si="13"/>
        <v>0</v>
      </c>
      <c r="O51" s="471">
        <v>0.78</v>
      </c>
      <c r="Q51" s="471">
        <v>0</v>
      </c>
      <c r="S51" s="18">
        <f t="shared" si="0"/>
        <v>72015.941499514782</v>
      </c>
      <c r="U51" s="18">
        <f t="shared" si="1"/>
        <v>24825.356609921451</v>
      </c>
      <c r="W51" s="18">
        <f t="shared" si="2"/>
        <v>47190.58488959333</v>
      </c>
      <c r="Y51" s="271">
        <f t="shared" si="20"/>
        <v>101.77776723524052</v>
      </c>
      <c r="Z51" s="235"/>
      <c r="AB51" s="384">
        <f>+IF(AB50&gt;$I$13+$I$14,XX,AB50+1)</f>
        <v>2030</v>
      </c>
      <c r="AC51" s="117"/>
      <c r="AD51" s="151">
        <f t="shared" si="21"/>
        <v>463663.00000000006</v>
      </c>
      <c r="AF51" s="154">
        <f t="shared" si="23"/>
        <v>126.85106060616648</v>
      </c>
      <c r="AH51" s="154">
        <f t="shared" si="24"/>
        <v>25.408818556830493</v>
      </c>
      <c r="AJ51" s="154">
        <f t="shared" si="25"/>
        <v>2.5930212236677139</v>
      </c>
      <c r="AL51" s="153">
        <f t="shared" si="5"/>
        <v>15246.586973474668</v>
      </c>
      <c r="AN51" s="154">
        <f>INDEX('(2.2)_Forward_Price_Curve'!$K:$K,MATCH($AB51,'(2.2)_Forward_Price_Curve'!$C:$C,0),1)</f>
        <v>5.052529166666667</v>
      </c>
      <c r="AP51" s="154">
        <f t="shared" si="6"/>
        <v>36.711784698697393</v>
      </c>
      <c r="AR51" s="154">
        <f t="shared" si="16"/>
        <v>0</v>
      </c>
      <c r="AS51" s="154"/>
      <c r="AT51" s="153">
        <f t="shared" si="7"/>
        <v>7803.4603811693205</v>
      </c>
      <c r="AV51" s="153">
        <f t="shared" si="8"/>
        <v>17021.896228752132</v>
      </c>
      <c r="AW51" s="273"/>
      <c r="AX51" s="155">
        <f t="shared" si="9"/>
        <v>24825.356609921451</v>
      </c>
      <c r="AZ51" s="384">
        <f>+IF(AZ50&gt;$I$13+$I$14,XX,AZ50+1)</f>
        <v>2030</v>
      </c>
      <c r="BA51" s="117"/>
      <c r="BB51" s="154">
        <f t="shared" si="26"/>
        <v>66.375672038879017</v>
      </c>
      <c r="BD51" s="154">
        <f t="shared" si="27"/>
        <v>20.488456753932311</v>
      </c>
      <c r="BF51" s="153">
        <f t="shared" si="10"/>
        <v>7443.1265923053479</v>
      </c>
      <c r="BH51" s="157"/>
    </row>
    <row r="52" spans="2:60" ht="12">
      <c r="B52" s="2"/>
      <c r="C52" s="354">
        <f>+IF(C51&gt;$I$13+$I$14,XX,C51+1)</f>
        <v>2031</v>
      </c>
      <c r="E52" s="356">
        <f>'(2.2)_Forward_Price_Curve'!S45</f>
        <v>2.1999999999999999E-2</v>
      </c>
      <c r="G52" s="470">
        <v>463663.00000000006</v>
      </c>
      <c r="I52" s="471">
        <v>360.53739815204449</v>
      </c>
      <c r="K52" s="471">
        <v>48.477689986489963</v>
      </c>
      <c r="M52" s="28">
        <f t="shared" si="13"/>
        <v>0</v>
      </c>
      <c r="O52" s="471">
        <v>0.8</v>
      </c>
      <c r="Q52" s="471">
        <v>0</v>
      </c>
      <c r="S52" s="18">
        <f t="shared" si="0"/>
        <v>73467.69227275296</v>
      </c>
      <c r="U52" s="18">
        <f t="shared" si="1"/>
        <v>25459.76286215158</v>
      </c>
      <c r="W52" s="18">
        <f t="shared" si="2"/>
        <v>48007.929410601384</v>
      </c>
      <c r="Y52" s="271">
        <f t="shared" si="20"/>
        <v>103.54056590800081</v>
      </c>
      <c r="Z52" s="235"/>
      <c r="AB52" s="384">
        <f>+IF(AB51&gt;$I$13+$I$14,XX,AB51+1)</f>
        <v>2031</v>
      </c>
      <c r="AC52" s="117"/>
      <c r="AD52" s="151">
        <f t="shared" si="21"/>
        <v>463663.00000000006</v>
      </c>
      <c r="AF52" s="154">
        <f t="shared" si="23"/>
        <v>129.64178393950215</v>
      </c>
      <c r="AH52" s="154">
        <f t="shared" si="24"/>
        <v>25.967812565080763</v>
      </c>
      <c r="AJ52" s="154">
        <f t="shared" si="25"/>
        <v>2.6500676905884037</v>
      </c>
      <c r="AL52" s="153">
        <f t="shared" si="5"/>
        <v>15582.011886891112</v>
      </c>
      <c r="AN52" s="154">
        <f>INDEX('(2.2)_Forward_Price_Curve'!$K:$K,MATCH($AB52,'(2.2)_Forward_Price_Curve'!$C:$C,0),1)</f>
        <v>5.1898791666666666</v>
      </c>
      <c r="AP52" s="154">
        <f t="shared" si="6"/>
        <v>37.709772728461253</v>
      </c>
      <c r="AR52" s="154">
        <f t="shared" si="16"/>
        <v>0</v>
      </c>
      <c r="AS52" s="154"/>
      <c r="AT52" s="153">
        <f t="shared" si="7"/>
        <v>7975.1365095550464</v>
      </c>
      <c r="AV52" s="153">
        <f t="shared" si="8"/>
        <v>17484.626352596533</v>
      </c>
      <c r="AW52" s="273"/>
      <c r="AX52" s="155">
        <f t="shared" si="9"/>
        <v>25459.76286215158</v>
      </c>
      <c r="AZ52" s="384">
        <f>+IF(AZ51&gt;$I$13+$I$14,XX,AZ51+1)</f>
        <v>2031</v>
      </c>
      <c r="BA52" s="117"/>
      <c r="BB52" s="154">
        <f t="shared" si="26"/>
        <v>67.835936823734357</v>
      </c>
      <c r="BD52" s="154">
        <f t="shared" si="27"/>
        <v>20.939202802518821</v>
      </c>
      <c r="BF52" s="153">
        <f t="shared" si="10"/>
        <v>7606.8753773360659</v>
      </c>
      <c r="BH52" s="157"/>
    </row>
    <row r="53" spans="2:60" ht="12">
      <c r="B53" s="2"/>
      <c r="C53" s="354">
        <f>+IF(C52&gt;$I$13+$I$14,XX,C52+1)</f>
        <v>2032</v>
      </c>
      <c r="E53" s="356">
        <f>'(2.2)_Forward_Price_Curve'!S46</f>
        <v>2.1999999999999999E-2</v>
      </c>
      <c r="G53" s="470">
        <v>463645</v>
      </c>
      <c r="I53" s="471">
        <v>79.333732200022737</v>
      </c>
      <c r="K53" s="471">
        <v>22.660584529465428</v>
      </c>
      <c r="M53" s="28">
        <f t="shared" si="13"/>
        <v>0</v>
      </c>
      <c r="O53" s="471">
        <v>0.82</v>
      </c>
      <c r="Q53" s="471">
        <v>0</v>
      </c>
      <c r="S53" s="18">
        <f t="shared" si="0"/>
        <v>22025.11161504719</v>
      </c>
      <c r="U53" s="18">
        <f t="shared" si="1"/>
        <v>26115.588829460627</v>
      </c>
      <c r="W53" s="18">
        <f t="shared" si="2"/>
        <v>-4090.4772144134367</v>
      </c>
      <c r="Y53" s="271">
        <f t="shared" si="20"/>
        <v>-8.8224335739918178</v>
      </c>
      <c r="Z53" s="235"/>
      <c r="AB53" s="384">
        <f>+IF(AB52&gt;$I$13+$I$14,XX,AB52+1)</f>
        <v>2032</v>
      </c>
      <c r="AC53" s="117"/>
      <c r="AD53" s="151">
        <f t="shared" si="21"/>
        <v>463645</v>
      </c>
      <c r="AF53" s="154">
        <f t="shared" si="23"/>
        <v>132.4939031861712</v>
      </c>
      <c r="AH53" s="154">
        <f t="shared" si="24"/>
        <v>26.539104441512539</v>
      </c>
      <c r="AJ53" s="154">
        <f t="shared" si="25"/>
        <v>2.7083691797813487</v>
      </c>
      <c r="AL53" s="153">
        <f t="shared" si="5"/>
        <v>15924.76739775748</v>
      </c>
      <c r="AN53" s="154">
        <f>INDEX('(2.2)_Forward_Price_Curve'!$K:$K,MATCH($AB53,'(2.2)_Forward_Price_Curve'!$C:$C,0),1)</f>
        <v>5.3326874999999996</v>
      </c>
      <c r="AP53" s="154">
        <f t="shared" si="6"/>
        <v>38.747421124654863</v>
      </c>
      <c r="AR53" s="154">
        <f t="shared" si="16"/>
        <v>0</v>
      </c>
      <c r="AS53" s="154"/>
      <c r="AT53" s="153">
        <f t="shared" si="7"/>
        <v>8150.5407621200202</v>
      </c>
      <c r="AV53" s="153">
        <f t="shared" si="8"/>
        <v>17965.048067340605</v>
      </c>
      <c r="AW53" s="273"/>
      <c r="AX53" s="155">
        <f t="shared" si="9"/>
        <v>26115.588829460627</v>
      </c>
      <c r="AZ53" s="384">
        <f>+IF(AZ52&gt;$I$13+$I$14,XX,AZ52+1)</f>
        <v>2032</v>
      </c>
      <c r="BA53" s="117"/>
      <c r="BB53" s="154">
        <f t="shared" si="26"/>
        <v>69.328327433856515</v>
      </c>
      <c r="BD53" s="154">
        <f t="shared" si="27"/>
        <v>21.399865264174235</v>
      </c>
      <c r="BF53" s="153">
        <f t="shared" si="10"/>
        <v>7774.2266356374594</v>
      </c>
      <c r="BH53" s="157"/>
    </row>
    <row r="54" spans="2:60" ht="12">
      <c r="B54" s="2"/>
      <c r="C54" s="354">
        <f>+IF(C53&gt;$I$13+$I$14,XX,C53+1)</f>
        <v>2033</v>
      </c>
      <c r="E54" s="356">
        <f>'(2.2)_Forward_Price_Curve'!S47</f>
        <v>2.1999999999999999E-2</v>
      </c>
      <c r="G54" s="470">
        <v>463663.00000000006</v>
      </c>
      <c r="I54" s="471">
        <v>80.841073111823164</v>
      </c>
      <c r="K54" s="471">
        <v>23.159117389113675</v>
      </c>
      <c r="M54" s="28">
        <f t="shared" si="13"/>
        <v>0</v>
      </c>
      <c r="O54" s="471">
        <v>0.84000000000000008</v>
      </c>
      <c r="Q54" s="471">
        <v>0</v>
      </c>
      <c r="S54" s="18">
        <f t="shared" si="0"/>
        <v>22477.589430888587</v>
      </c>
      <c r="U54" s="18">
        <f t="shared" si="1"/>
        <v>26916.060673867047</v>
      </c>
      <c r="W54" s="18">
        <f t="shared" si="2"/>
        <v>-4438.4712429784595</v>
      </c>
      <c r="Y54" s="271">
        <f t="shared" si="20"/>
        <v>-9.5726233125749918</v>
      </c>
      <c r="Z54" s="235"/>
      <c r="AB54" s="384">
        <f>+IF(AB53&gt;$I$13+$I$14,XX,AB53+1)</f>
        <v>2033</v>
      </c>
      <c r="AC54" s="117"/>
      <c r="AD54" s="151">
        <f t="shared" si="21"/>
        <v>463663.00000000006</v>
      </c>
      <c r="AF54" s="154">
        <f t="shared" si="23"/>
        <v>135.40876905626698</v>
      </c>
      <c r="AH54" s="154">
        <f t="shared" si="24"/>
        <v>27.122964739225814</v>
      </c>
      <c r="AJ54" s="154">
        <f t="shared" si="25"/>
        <v>2.7679533017365383</v>
      </c>
      <c r="AL54" s="153">
        <f t="shared" si="5"/>
        <v>16275.162103667575</v>
      </c>
      <c r="AN54" s="154">
        <f>INDEX('(2.2)_Forward_Price_Curve'!$K:$K,MATCH($AB54,'(2.2)_Forward_Price_Curve'!$C:$C,0),1)</f>
        <v>5.5168416666666671</v>
      </c>
      <c r="AP54" s="154">
        <f t="shared" si="6"/>
        <v>40.085489227781714</v>
      </c>
      <c r="AR54" s="154">
        <f t="shared" si="16"/>
        <v>0</v>
      </c>
      <c r="AS54" s="154"/>
      <c r="AT54" s="153">
        <f t="shared" si="7"/>
        <v>8329.9024820460909</v>
      </c>
      <c r="AV54" s="153">
        <f t="shared" si="8"/>
        <v>18586.158191820956</v>
      </c>
      <c r="AW54" s="273"/>
      <c r="AX54" s="155">
        <f t="shared" si="9"/>
        <v>26916.060673867047</v>
      </c>
      <c r="AZ54" s="384">
        <f>+IF(AZ53&gt;$I$13+$I$14,XX,AZ53+1)</f>
        <v>2033</v>
      </c>
      <c r="BA54" s="117"/>
      <c r="BB54" s="154">
        <f t="shared" si="26"/>
        <v>70.853550637401355</v>
      </c>
      <c r="BD54" s="154">
        <f t="shared" si="27"/>
        <v>21.870662299986069</v>
      </c>
      <c r="BF54" s="153">
        <f t="shared" si="10"/>
        <v>7945.2596216214833</v>
      </c>
      <c r="BH54" s="157"/>
    </row>
    <row r="55" spans="2:60" ht="12">
      <c r="B55" s="2"/>
      <c r="C55" s="354">
        <f>+IF(C54&gt;$I$13+$I$14,XX,C54+1)</f>
        <v>2034</v>
      </c>
      <c r="E55" s="356">
        <f>'(2.2)_Forward_Price_Curve'!S48</f>
        <v>2.1999999999999999E-2</v>
      </c>
      <c r="G55" s="470">
        <v>463663.00000000006</v>
      </c>
      <c r="I55" s="471">
        <v>82.377053500947795</v>
      </c>
      <c r="K55" s="471">
        <v>23.66861797167417</v>
      </c>
      <c r="M55" s="28">
        <f t="shared" si="13"/>
        <v>0</v>
      </c>
      <c r="O55" s="471">
        <v>0.85999999999999988</v>
      </c>
      <c r="Q55" s="471">
        <v>0</v>
      </c>
      <c r="S55" s="18">
        <f t="shared" si="0"/>
        <v>22938.750906133431</v>
      </c>
      <c r="U55" s="18">
        <f t="shared" si="1"/>
        <v>27676.945086719643</v>
      </c>
      <c r="W55" s="18">
        <f t="shared" si="2"/>
        <v>-4738.1941805862116</v>
      </c>
      <c r="Y55" s="271">
        <f t="shared" si="20"/>
        <v>-10.219047412854186</v>
      </c>
      <c r="Z55" s="235"/>
      <c r="AB55" s="384">
        <f>+IF(AB54&gt;$I$13+$I$14,XX,AB54+1)</f>
        <v>2034</v>
      </c>
      <c r="AC55" s="117"/>
      <c r="AD55" s="151">
        <f t="shared" si="21"/>
        <v>463663.00000000006</v>
      </c>
      <c r="AF55" s="154">
        <f t="shared" si="23"/>
        <v>138.38776197550484</v>
      </c>
      <c r="AH55" s="154">
        <f t="shared" si="24"/>
        <v>27.719669963488784</v>
      </c>
      <c r="AJ55" s="154">
        <f t="shared" si="25"/>
        <v>2.8288482743747423</v>
      </c>
      <c r="AL55" s="153">
        <f t="shared" si="5"/>
        <v>16633.215669948262</v>
      </c>
      <c r="AN55" s="154">
        <f>INDEX('(2.2)_Forward_Price_Curve'!$K:$K,MATCH($AB55,'(2.2)_Forward_Price_Curve'!$C:$C,0),1)</f>
        <v>5.688295833333334</v>
      </c>
      <c r="AP55" s="154">
        <f t="shared" si="6"/>
        <v>41.331278860009391</v>
      </c>
      <c r="AR55" s="154">
        <f t="shared" si="16"/>
        <v>0</v>
      </c>
      <c r="AS55" s="154"/>
      <c r="AT55" s="153">
        <f t="shared" si="7"/>
        <v>8513.1603366511063</v>
      </c>
      <c r="AV55" s="153">
        <f t="shared" si="8"/>
        <v>19163.784750068538</v>
      </c>
      <c r="AW55" s="273"/>
      <c r="AX55" s="155">
        <f t="shared" si="9"/>
        <v>27676.945086719643</v>
      </c>
      <c r="AZ55" s="384">
        <f>+IF(AZ54&gt;$I$13+$I$14,XX,AZ54+1)</f>
        <v>2034</v>
      </c>
      <c r="BA55" s="117"/>
      <c r="BB55" s="154">
        <f t="shared" si="26"/>
        <v>72.412328751424184</v>
      </c>
      <c r="BD55" s="154">
        <f t="shared" si="27"/>
        <v>22.351816870585765</v>
      </c>
      <c r="BF55" s="153">
        <f t="shared" si="10"/>
        <v>8120.0553332971558</v>
      </c>
      <c r="BH55" s="157"/>
    </row>
    <row r="56" spans="2:60" ht="12">
      <c r="B56" s="2"/>
      <c r="C56" s="354">
        <f>+IF(C55&gt;$I$13+$I$14,XX,C55+1)</f>
        <v>2035</v>
      </c>
      <c r="E56" s="356">
        <f>'(2.2)_Forward_Price_Curve'!S49</f>
        <v>2.1999999999999999E-2</v>
      </c>
      <c r="G56" s="470">
        <v>463663.00000000006</v>
      </c>
      <c r="I56" s="471">
        <v>83.942217517465807</v>
      </c>
      <c r="K56" s="471">
        <v>24.189327567051002</v>
      </c>
      <c r="M56" s="28">
        <f t="shared" si="13"/>
        <v>0</v>
      </c>
      <c r="O56" s="471">
        <v>0.86999999999999988</v>
      </c>
      <c r="Q56" s="471">
        <v>0</v>
      </c>
      <c r="S56" s="18">
        <f t="shared" si="0"/>
        <v>23404.570337173773</v>
      </c>
      <c r="U56" s="18">
        <f t="shared" si="1"/>
        <v>28395.537625210382</v>
      </c>
      <c r="W56" s="18">
        <f t="shared" si="2"/>
        <v>-4990.9672880366088</v>
      </c>
      <c r="Y56" s="271">
        <f t="shared" si="20"/>
        <v>-10.764212990979674</v>
      </c>
      <c r="Z56" s="235"/>
      <c r="AB56" s="384">
        <f>+IF(AB55&gt;$I$13+$I$14,XX,AB55+1)</f>
        <v>2035</v>
      </c>
      <c r="AC56" s="117"/>
      <c r="AD56" s="151">
        <f t="shared" si="21"/>
        <v>463663.00000000006</v>
      </c>
      <c r="AF56" s="154">
        <f t="shared" si="23"/>
        <v>141.43229273896594</v>
      </c>
      <c r="AH56" s="154">
        <f t="shared" si="24"/>
        <v>28.329502702685538</v>
      </c>
      <c r="AJ56" s="154">
        <f t="shared" si="25"/>
        <v>2.8910829364109865</v>
      </c>
      <c r="AL56" s="153">
        <f t="shared" si="5"/>
        <v>16999.146414687122</v>
      </c>
      <c r="AN56" s="154">
        <f>INDEX('(2.2)_Forward_Price_Curve'!$K:$K,MATCH($AB56,'(2.2)_Forward_Price_Curve'!$C:$C,0),1)</f>
        <v>5.846000000000001</v>
      </c>
      <c r="AP56" s="154">
        <f t="shared" si="6"/>
        <v>42.477160698940715</v>
      </c>
      <c r="AR56" s="154">
        <f t="shared" si="16"/>
        <v>0</v>
      </c>
      <c r="AS56" s="154"/>
      <c r="AT56" s="153">
        <f t="shared" si="7"/>
        <v>8700.4498640574293</v>
      </c>
      <c r="AV56" s="153">
        <f t="shared" si="8"/>
        <v>19695.087761152954</v>
      </c>
      <c r="AW56" s="273"/>
      <c r="AX56" s="155">
        <f t="shared" si="9"/>
        <v>28395.537625210382</v>
      </c>
      <c r="AZ56" s="384">
        <f>+IF(AZ55&gt;$I$13+$I$14,XX,AZ55+1)</f>
        <v>2035</v>
      </c>
      <c r="BA56" s="117"/>
      <c r="BB56" s="154">
        <f t="shared" si="26"/>
        <v>74.005399983955513</v>
      </c>
      <c r="BD56" s="154">
        <f t="shared" si="27"/>
        <v>22.843556841738653</v>
      </c>
      <c r="BF56" s="153">
        <f t="shared" si="10"/>
        <v>8298.6965506296929</v>
      </c>
      <c r="BH56" s="157"/>
    </row>
    <row r="57" spans="2:60" ht="12">
      <c r="B57" s="2"/>
      <c r="C57" s="354">
        <f>+IF(C56&gt;$I$13+$I$14,XX,C56+1)</f>
        <v>2036</v>
      </c>
      <c r="E57" s="356">
        <f>'(2.2)_Forward_Price_Curve'!S50</f>
        <v>2.1999999999999999E-2</v>
      </c>
      <c r="G57" s="470">
        <v>463645</v>
      </c>
      <c r="I57" s="471">
        <v>85.537119650297655</v>
      </c>
      <c r="K57" s="471">
        <v>24.721492773526126</v>
      </c>
      <c r="M57" s="28">
        <f t="shared" si="13"/>
        <v>0</v>
      </c>
      <c r="O57" s="471">
        <v>0.89000000000000024</v>
      </c>
      <c r="Q57" s="471">
        <v>0</v>
      </c>
      <c r="S57" s="18">
        <f t="shared" si="0"/>
        <v>23884.052165883309</v>
      </c>
      <c r="U57" s="18">
        <f t="shared" si="1"/>
        <v>29346.662680169204</v>
      </c>
      <c r="W57" s="18">
        <f t="shared" si="2"/>
        <v>-5462.6105142858942</v>
      </c>
      <c r="Y57" s="271">
        <f t="shared" si="20"/>
        <v>-11.781881642821327</v>
      </c>
      <c r="Z57" s="235"/>
      <c r="AB57" s="384">
        <f>+IF(AB56&gt;$I$13+$I$14,XX,AB56+1)</f>
        <v>2036</v>
      </c>
      <c r="AC57" s="117"/>
      <c r="AD57" s="151">
        <f t="shared" si="21"/>
        <v>463645</v>
      </c>
      <c r="AF57" s="154">
        <f t="shared" si="23"/>
        <v>144.5438031792232</v>
      </c>
      <c r="AH57" s="154">
        <f t="shared" si="24"/>
        <v>28.952751762144619</v>
      </c>
      <c r="AJ57" s="154">
        <f t="shared" si="25"/>
        <v>2.9546867610120282</v>
      </c>
      <c r="AL57" s="153">
        <f t="shared" si="5"/>
        <v>17373.074451448545</v>
      </c>
      <c r="AN57" s="154">
        <f>INDEX('(2.2)_Forward_Price_Curve'!$K:$K,MATCH($AB57,'(2.2)_Forward_Price_Curve'!$C:$C,0),1)</f>
        <v>6.0717541666666675</v>
      </c>
      <c r="AP57" s="154">
        <f t="shared" si="6"/>
        <v>44.117495289422315</v>
      </c>
      <c r="AR57" s="154">
        <f t="shared" si="16"/>
        <v>0</v>
      </c>
      <c r="AS57" s="154"/>
      <c r="AT57" s="153">
        <f t="shared" si="7"/>
        <v>8891.8065767049975</v>
      </c>
      <c r="AV57" s="153">
        <f t="shared" si="8"/>
        <v>20454.856103464208</v>
      </c>
      <c r="AW57" s="273"/>
      <c r="AX57" s="155">
        <f t="shared" si="9"/>
        <v>29346.662680169204</v>
      </c>
      <c r="AZ57" s="384">
        <f>+IF(AZ56&gt;$I$13+$I$14,XX,AZ56+1)</f>
        <v>2036</v>
      </c>
      <c r="BA57" s="117"/>
      <c r="BB57" s="154">
        <f t="shared" si="26"/>
        <v>75.63351878360254</v>
      </c>
      <c r="BD57" s="154">
        <f t="shared" si="27"/>
        <v>23.346115092256905</v>
      </c>
      <c r="BF57" s="153">
        <f t="shared" si="10"/>
        <v>8481.2678747435475</v>
      </c>
      <c r="BH57" s="157"/>
    </row>
    <row r="58" spans="2:60" ht="12">
      <c r="B58" s="2"/>
      <c r="C58" s="354">
        <f>+IF(C57&gt;$I$13+$I$14,XX,C57+1)</f>
        <v>2037</v>
      </c>
      <c r="E58" s="356">
        <f>'(2.2)_Forward_Price_Curve'!S51</f>
        <v>2.1999999999999999E-2</v>
      </c>
      <c r="G58" s="470">
        <v>463645</v>
      </c>
      <c r="I58" s="471">
        <v>87.162324923653316</v>
      </c>
      <c r="K58" s="471">
        <v>25.2653656145437</v>
      </c>
      <c r="M58" s="28">
        <f t="shared" si="13"/>
        <v>0</v>
      </c>
      <c r="O58" s="471">
        <v>0.91000000000000025</v>
      </c>
      <c r="Q58" s="471">
        <v>0</v>
      </c>
      <c r="S58" s="18">
        <f t="shared" si="0"/>
        <v>24373.667809636041</v>
      </c>
      <c r="U58" s="18">
        <f t="shared" si="1"/>
        <v>30109.260630448811</v>
      </c>
      <c r="W58" s="18">
        <f t="shared" si="2"/>
        <v>-5735.5928208127698</v>
      </c>
      <c r="Y58" s="271">
        <f t="shared" si="20"/>
        <v>-12.370656042473811</v>
      </c>
      <c r="Z58" s="235"/>
      <c r="AB58" s="384">
        <f>+IF(AB57&gt;$I$13+$I$14,XX,AB57+1)</f>
        <v>2037</v>
      </c>
      <c r="AC58" s="117"/>
      <c r="AD58" s="151">
        <f t="shared" si="21"/>
        <v>463645</v>
      </c>
      <c r="AF58" s="154">
        <f t="shared" si="23"/>
        <v>147.72376684916611</v>
      </c>
      <c r="AH58" s="154">
        <f t="shared" si="24"/>
        <v>29.589712300911803</v>
      </c>
      <c r="AJ58" s="154">
        <f t="shared" si="25"/>
        <v>3.0196898697542931</v>
      </c>
      <c r="AL58" s="153">
        <f t="shared" si="5"/>
        <v>17755.282089380413</v>
      </c>
      <c r="AN58" s="154">
        <f>INDEX('(2.2)_Forward_Price_Curve'!$K:$K,MATCH($AB58,'(2.2)_Forward_Price_Curve'!$C:$C,0),1)</f>
        <v>6.240054166666666</v>
      </c>
      <c r="AP58" s="154">
        <f t="shared" si="6"/>
        <v>45.340366679369573</v>
      </c>
      <c r="AR58" s="154">
        <f t="shared" si="16"/>
        <v>0</v>
      </c>
      <c r="AS58" s="154"/>
      <c r="AT58" s="153">
        <f t="shared" si="7"/>
        <v>9087.4263213925078</v>
      </c>
      <c r="AV58" s="153">
        <f t="shared" si="8"/>
        <v>21021.834309056303</v>
      </c>
      <c r="AW58" s="273"/>
      <c r="AX58" s="155">
        <f t="shared" si="9"/>
        <v>30109.260630448811</v>
      </c>
      <c r="AZ58" s="384">
        <f>+IF(AZ57&gt;$I$13+$I$14,XX,AZ57+1)</f>
        <v>2037</v>
      </c>
      <c r="BA58" s="117"/>
      <c r="BB58" s="154">
        <f t="shared" si="26"/>
        <v>77.297456196841793</v>
      </c>
      <c r="BD58" s="154">
        <f t="shared" si="27"/>
        <v>23.859729624286558</v>
      </c>
      <c r="BF58" s="153">
        <f t="shared" si="10"/>
        <v>8667.855767987905</v>
      </c>
      <c r="BH58" s="157"/>
    </row>
    <row r="59" spans="2:60" ht="12">
      <c r="B59" s="2"/>
      <c r="C59" s="354">
        <f>+IF(C58&gt;$I$13+$I$14,XX,C58+1)</f>
        <v>2038</v>
      </c>
      <c r="E59" s="356">
        <f>'(2.2)_Forward_Price_Curve'!S52</f>
        <v>2.1999999999999999E-2</v>
      </c>
      <c r="G59" s="470">
        <v>463645</v>
      </c>
      <c r="I59" s="471">
        <v>88.818409097202718</v>
      </c>
      <c r="K59" s="471">
        <v>25.846469023678203</v>
      </c>
      <c r="M59" s="28">
        <f t="shared" si="13"/>
        <v>0</v>
      </c>
      <c r="O59" s="471">
        <v>0.92999999999999994</v>
      </c>
      <c r="Q59" s="471">
        <v>0</v>
      </c>
      <c r="S59" s="18">
        <f t="shared" si="0"/>
        <v>24884.880617730541</v>
      </c>
      <c r="U59" s="18">
        <f t="shared" si="1"/>
        <v>31388.396535731154</v>
      </c>
      <c r="W59" s="18">
        <f t="shared" si="2"/>
        <v>-6503.5159180006121</v>
      </c>
      <c r="Y59" s="271">
        <f t="shared" si="20"/>
        <v>-14.026929909738296</v>
      </c>
      <c r="Z59" s="235"/>
      <c r="AB59" s="384">
        <f>+IF(AB58&gt;$I$13+$I$14,XX,AB58+1)</f>
        <v>2038</v>
      </c>
      <c r="AC59" s="117"/>
      <c r="AD59" s="151">
        <f t="shared" si="21"/>
        <v>463645</v>
      </c>
      <c r="AF59" s="154">
        <f t="shared" si="23"/>
        <v>150.97368971984775</v>
      </c>
      <c r="AH59" s="154">
        <f t="shared" si="24"/>
        <v>30.240685971531864</v>
      </c>
      <c r="AJ59" s="154">
        <f t="shared" si="25"/>
        <v>3.0861230468888876</v>
      </c>
      <c r="AL59" s="153">
        <f t="shared" si="5"/>
        <v>18145.898295346782</v>
      </c>
      <c r="AN59" s="154">
        <f>INDEX('(2.2)_Forward_Price_Curve'!$K:$K,MATCH($AB59,'(2.2)_Forward_Price_Curve'!$C:$C,0),1)</f>
        <v>6.5604041666666673</v>
      </c>
      <c r="AP59" s="154">
        <f t="shared" si="6"/>
        <v>47.66803661264116</v>
      </c>
      <c r="AR59" s="154">
        <f t="shared" si="16"/>
        <v>0</v>
      </c>
      <c r="AS59" s="154"/>
      <c r="AT59" s="153">
        <f t="shared" si="7"/>
        <v>9287.3497004631427</v>
      </c>
      <c r="AV59" s="153">
        <f t="shared" si="8"/>
        <v>22101.046835268011</v>
      </c>
      <c r="AW59" s="273"/>
      <c r="AX59" s="155">
        <f t="shared" si="9"/>
        <v>31388.396535731154</v>
      </c>
      <c r="AZ59" s="384">
        <f>+IF(AZ58&gt;$I$13+$I$14,XX,AZ58+1)</f>
        <v>2038</v>
      </c>
      <c r="BA59" s="117"/>
      <c r="BB59" s="154">
        <f t="shared" si="26"/>
        <v>78.99800023317232</v>
      </c>
      <c r="BD59" s="154">
        <f t="shared" si="27"/>
        <v>24.384643676020865</v>
      </c>
      <c r="BF59" s="153">
        <f t="shared" si="10"/>
        <v>8858.5485948836395</v>
      </c>
      <c r="BH59" s="157"/>
    </row>
    <row r="60" spans="2:60" ht="12">
      <c r="B60" s="2"/>
      <c r="C60" s="354">
        <f>+IF(C59&gt;$I$13+$I$14,XX,C59+1)</f>
        <v>2039</v>
      </c>
      <c r="E60" s="356">
        <f>'(2.2)_Forward_Price_Curve'!S53</f>
        <v>2.1999999999999999E-2</v>
      </c>
      <c r="G60" s="470">
        <v>463645</v>
      </c>
      <c r="I60" s="471">
        <v>90.505958870049554</v>
      </c>
      <c r="K60" s="471">
        <v>26.440937811222796</v>
      </c>
      <c r="M60" s="28">
        <f t="shared" si="13"/>
        <v>0</v>
      </c>
      <c r="O60" s="471">
        <v>0.95999999999999985</v>
      </c>
      <c r="Q60" s="471">
        <v>0</v>
      </c>
      <c r="S60" s="18">
        <f t="shared" si="0"/>
        <v>25411.34443683935</v>
      </c>
      <c r="U60" s="18">
        <f t="shared" si="1"/>
        <v>32306.396009566153</v>
      </c>
      <c r="W60" s="18">
        <f t="shared" si="2"/>
        <v>-6895.051572726803</v>
      </c>
      <c r="Y60" s="271">
        <f t="shared" si="20"/>
        <v>-14.871402846416553</v>
      </c>
      <c r="Z60" s="235"/>
      <c r="AB60" s="384">
        <f>+IF(AB59&gt;$I$13+$I$14,XX,AB59+1)</f>
        <v>2039</v>
      </c>
      <c r="AC60" s="117"/>
      <c r="AD60" s="151">
        <f t="shared" si="21"/>
        <v>463645</v>
      </c>
      <c r="AF60" s="154">
        <f t="shared" si="23"/>
        <v>154.29511089368441</v>
      </c>
      <c r="AH60" s="154">
        <f t="shared" si="24"/>
        <v>30.905981062905564</v>
      </c>
      <c r="AJ60" s="154">
        <f t="shared" si="25"/>
        <v>3.154017753920443</v>
      </c>
      <c r="AL60" s="153">
        <f t="shared" si="5"/>
        <v>18545.108057844413</v>
      </c>
      <c r="AN60" s="154">
        <f>INDEX('(2.2)_Forward_Price_Curve'!$K:$K,MATCH($AB60,'(2.2)_Forward_Price_Curve'!$C:$C,0),1)</f>
        <v>6.7722499999999988</v>
      </c>
      <c r="AP60" s="154">
        <f t="shared" si="6"/>
        <v>49.207312956449051</v>
      </c>
      <c r="AR60" s="154">
        <f t="shared" si="16"/>
        <v>0</v>
      </c>
      <c r="AS60" s="154"/>
      <c r="AT60" s="153">
        <f t="shared" si="7"/>
        <v>9491.6713938733337</v>
      </c>
      <c r="AV60" s="153">
        <f t="shared" si="8"/>
        <v>22814.724615692819</v>
      </c>
      <c r="AW60" s="273"/>
      <c r="AX60" s="155">
        <f t="shared" si="9"/>
        <v>32306.396009566153</v>
      </c>
      <c r="AZ60" s="384">
        <f>+IF(AZ59&gt;$I$13+$I$14,XX,AZ59+1)</f>
        <v>2039</v>
      </c>
      <c r="BA60" s="117"/>
      <c r="BB60" s="154">
        <f t="shared" si="26"/>
        <v>80.735956238302109</v>
      </c>
      <c r="BD60" s="154">
        <f t="shared" si="27"/>
        <v>24.921105836893325</v>
      </c>
      <c r="BF60" s="153">
        <f t="shared" si="10"/>
        <v>9053.4366639710788</v>
      </c>
      <c r="BH60" s="157"/>
    </row>
    <row r="61" spans="2:60" ht="12">
      <c r="B61" s="2"/>
      <c r="C61" s="354">
        <f>+IF(C60&gt;$I$13+$I$14,XX,C60+1)</f>
        <v>2040</v>
      </c>
      <c r="E61" s="356">
        <f>'(2.2)_Forward_Price_Curve'!S54</f>
        <v>2.1999999999999999E-2</v>
      </c>
      <c r="G61" s="470">
        <v>463645</v>
      </c>
      <c r="I61" s="471">
        <v>92.22557208858052</v>
      </c>
      <c r="K61" s="471">
        <v>27.049079380880915</v>
      </c>
      <c r="M61" s="28">
        <f t="shared" si="13"/>
        <v>0</v>
      </c>
      <c r="O61" s="471">
        <v>0.9800000000000002</v>
      </c>
      <c r="Q61" s="471">
        <v>0</v>
      </c>
      <c r="S61" s="18">
        <f t="shared" si="0"/>
        <v>25944.012830785236</v>
      </c>
      <c r="U61" s="18">
        <f t="shared" si="1"/>
        <v>33537.758367049741</v>
      </c>
      <c r="W61" s="18">
        <f t="shared" si="2"/>
        <v>-7593.7455362645051</v>
      </c>
      <c r="Y61" s="271">
        <f t="shared" si="20"/>
        <v>-16.378361755792696</v>
      </c>
      <c r="Z61" s="235"/>
      <c r="AB61" s="384">
        <f>+IF(AB60&gt;$I$13+$I$14,XX,AB60+1)</f>
        <v>2040</v>
      </c>
      <c r="AC61" s="117"/>
      <c r="AD61" s="151">
        <f t="shared" si="21"/>
        <v>463645</v>
      </c>
      <c r="AF61" s="154">
        <f t="shared" si="23"/>
        <v>157.68960333334547</v>
      </c>
      <c r="AH61" s="154">
        <f t="shared" si="24"/>
        <v>31.585912646289486</v>
      </c>
      <c r="AJ61" s="154">
        <f t="shared" si="25"/>
        <v>3.223406144506693</v>
      </c>
      <c r="AL61" s="153">
        <f t="shared" si="5"/>
        <v>18953.100435116987</v>
      </c>
      <c r="AN61" s="154">
        <f>INDEX('(2.2)_Forward_Price_Curve'!$K:$K,MATCH($AB61,'(2.2)_Forward_Price_Curve'!$C:$C,0),1)</f>
        <v>7.075779166666667</v>
      </c>
      <c r="AP61" s="154">
        <f t="shared" si="6"/>
        <v>51.412762355921451</v>
      </c>
      <c r="AR61" s="154">
        <f t="shared" si="16"/>
        <v>0</v>
      </c>
      <c r="AS61" s="154"/>
      <c r="AT61" s="153">
        <f t="shared" si="7"/>
        <v>9700.4881645385431</v>
      </c>
      <c r="AV61" s="153">
        <f t="shared" si="8"/>
        <v>23837.270202511201</v>
      </c>
      <c r="AW61" s="273"/>
      <c r="AX61" s="155">
        <f t="shared" si="9"/>
        <v>33537.758367049741</v>
      </c>
      <c r="AZ61" s="384">
        <f>+IF(AZ60&gt;$I$13+$I$14,XX,AZ60+1)</f>
        <v>2040</v>
      </c>
      <c r="BA61" s="117"/>
      <c r="BB61" s="154">
        <f t="shared" si="26"/>
        <v>82.512147275544763</v>
      </c>
      <c r="BD61" s="154">
        <f t="shared" si="27"/>
        <v>25.46937016530498</v>
      </c>
      <c r="BF61" s="153">
        <f t="shared" si="10"/>
        <v>9252.6122705784437</v>
      </c>
      <c r="BH61" s="157"/>
    </row>
    <row r="62" spans="2:60" ht="12">
      <c r="B62" s="2"/>
      <c r="C62" s="354">
        <f>+IF(C61&gt;$I$13+$I$14,XX,C61+1)</f>
        <v>2041</v>
      </c>
      <c r="E62" s="356">
        <f>'(2.2)_Forward_Price_Curve'!S55</f>
        <v>2.1999999999999999E-2</v>
      </c>
      <c r="G62" s="470">
        <v>463645</v>
      </c>
      <c r="I62" s="471">
        <v>93.977857958263527</v>
      </c>
      <c r="K62" s="471">
        <v>27.671208206641182</v>
      </c>
      <c r="M62" s="28">
        <f t="shared" si="13"/>
        <v>0</v>
      </c>
      <c r="O62" s="471">
        <v>1</v>
      </c>
      <c r="Q62" s="471">
        <v>0</v>
      </c>
      <c r="S62" s="18">
        <f t="shared" si="0"/>
        <v>26487.753586308354</v>
      </c>
      <c r="U62" s="18">
        <f t="shared" si="1"/>
        <v>34299.450170009557</v>
      </c>
      <c r="W62" s="18">
        <f t="shared" si="2"/>
        <v>-7811.6965837012031</v>
      </c>
      <c r="Y62" s="271">
        <f t="shared" si="20"/>
        <v>-16.848443493839472</v>
      </c>
      <c r="Z62" s="235"/>
      <c r="AB62" s="384">
        <f>+IF(AB61&gt;$I$13+$I$14,XX,AB61+1)</f>
        <v>2041</v>
      </c>
      <c r="AC62" s="117"/>
      <c r="AD62" s="151">
        <f t="shared" si="21"/>
        <v>463645</v>
      </c>
      <c r="AF62" s="154">
        <f t="shared" si="23"/>
        <v>161.15877460667909</v>
      </c>
      <c r="AH62" s="154">
        <f t="shared" si="24"/>
        <v>32.280802724507858</v>
      </c>
      <c r="AJ62" s="154">
        <f t="shared" si="25"/>
        <v>3.2943210796858402</v>
      </c>
      <c r="AL62" s="153">
        <f t="shared" si="5"/>
        <v>19370.068644689563</v>
      </c>
      <c r="AN62" s="154">
        <f>INDEX('(2.2)_Forward_Price_Curve'!$K:$K,MATCH($AB62,'(2.2)_Forward_Price_Curve'!$C:$C,0),1)</f>
        <v>7.2385291666666687</v>
      </c>
      <c r="AP62" s="154">
        <f t="shared" si="6"/>
        <v>52.59530732748366</v>
      </c>
      <c r="AR62" s="154">
        <f t="shared" si="16"/>
        <v>0</v>
      </c>
      <c r="AS62" s="154"/>
      <c r="AT62" s="153">
        <f t="shared" si="7"/>
        <v>9913.8989041583918</v>
      </c>
      <c r="AV62" s="153">
        <f t="shared" si="8"/>
        <v>24385.551265851162</v>
      </c>
      <c r="AW62" s="273"/>
      <c r="AX62" s="155">
        <f t="shared" si="9"/>
        <v>34299.450170009557</v>
      </c>
      <c r="AZ62" s="384">
        <f>+IF(AZ61&gt;$I$13+$I$14,XX,AZ61+1)</f>
        <v>2041</v>
      </c>
      <c r="BA62" s="117"/>
      <c r="BB62" s="154">
        <f t="shared" si="26"/>
        <v>84.327414515606748</v>
      </c>
      <c r="BD62" s="154">
        <f t="shared" si="27"/>
        <v>26.029696308941691</v>
      </c>
      <c r="BF62" s="153">
        <f t="shared" si="10"/>
        <v>9456.1697405311716</v>
      </c>
      <c r="BH62" s="157"/>
    </row>
    <row r="63" spans="2:60" ht="12">
      <c r="B63" s="2"/>
      <c r="C63" s="354">
        <f>+IF(C62&gt;$I$13+$I$14,XX,C62+1)</f>
        <v>2042</v>
      </c>
      <c r="E63" s="356">
        <f>'(2.2)_Forward_Price_Curve'!S56</f>
        <v>2.1999999999999999E-2</v>
      </c>
      <c r="G63" s="470">
        <v>463645</v>
      </c>
      <c r="I63" s="471">
        <v>95.763437259470535</v>
      </c>
      <c r="K63" s="471">
        <v>28.307645995393926</v>
      </c>
      <c r="M63" s="28">
        <f t="shared" si="13"/>
        <v>0</v>
      </c>
      <c r="O63" s="471">
        <v>1.0199999999999998</v>
      </c>
      <c r="Q63" s="471">
        <v>0</v>
      </c>
      <c r="S63" s="18">
        <f t="shared" si="0"/>
        <v>27042.80301876408</v>
      </c>
      <c r="U63" s="18">
        <f t="shared" si="1"/>
        <v>35078.371955210328</v>
      </c>
      <c r="W63" s="18">
        <f t="shared" si="2"/>
        <v>-8035.5689364462487</v>
      </c>
      <c r="Y63" s="271">
        <f t="shared" si="20"/>
        <v>-17.331296436813183</v>
      </c>
      <c r="Z63" s="235"/>
      <c r="AB63" s="384">
        <f>+IF(AB62&gt;$I$13+$I$14,XX,AB62+1)</f>
        <v>2042</v>
      </c>
      <c r="AC63" s="117"/>
      <c r="AD63" s="151">
        <f t="shared" si="21"/>
        <v>463645</v>
      </c>
      <c r="AF63" s="154">
        <f t="shared" si="23"/>
        <v>164.70426764802602</v>
      </c>
      <c r="AH63" s="154">
        <f t="shared" si="24"/>
        <v>32.990980384447035</v>
      </c>
      <c r="AJ63" s="154">
        <f t="shared" si="25"/>
        <v>3.3667961434389286</v>
      </c>
      <c r="AL63" s="153">
        <f t="shared" si="5"/>
        <v>19796.21015487273</v>
      </c>
      <c r="AN63" s="154">
        <f>INDEX('(2.2)_Forward_Price_Curve'!$K:$K,MATCH($AB63,'(2.2)_Forward_Price_Curve'!$C:$C,0),1)</f>
        <v>7.4050000000000002</v>
      </c>
      <c r="AP63" s="154">
        <f t="shared" si="6"/>
        <v>53.804887953413605</v>
      </c>
      <c r="AR63" s="154">
        <f t="shared" si="16"/>
        <v>0</v>
      </c>
      <c r="AS63" s="154"/>
      <c r="AT63" s="153">
        <f t="shared" si="7"/>
        <v>10132.004680049875</v>
      </c>
      <c r="AV63" s="153">
        <f t="shared" si="8"/>
        <v>24946.36727516045</v>
      </c>
      <c r="AW63" s="273"/>
      <c r="AX63" s="155">
        <f t="shared" si="9"/>
        <v>35078.371955210328</v>
      </c>
      <c r="AZ63" s="384">
        <f>+IF(AZ62&gt;$I$13+$I$14,XX,AZ62+1)</f>
        <v>2042</v>
      </c>
      <c r="BA63" s="117"/>
      <c r="BB63" s="154">
        <f t="shared" si="26"/>
        <v>86.182617634950091</v>
      </c>
      <c r="BD63" s="154">
        <f t="shared" si="27"/>
        <v>26.602349627738409</v>
      </c>
      <c r="BF63" s="153">
        <f t="shared" si="10"/>
        <v>9664.2054748228547</v>
      </c>
      <c r="BH63" s="157"/>
    </row>
    <row r="64" spans="2:60" ht="12">
      <c r="B64" s="2"/>
      <c r="C64" s="354">
        <f>+IF(C63&gt;$I$13+$I$14,XX,C63+1)</f>
        <v>2043</v>
      </c>
      <c r="E64" s="356">
        <f>'(2.2)_Forward_Price_Curve'!S57</f>
        <v>2.3E-2</v>
      </c>
      <c r="G64" s="470">
        <v>463645</v>
      </c>
      <c r="I64" s="471">
        <v>97.582942567400465</v>
      </c>
      <c r="K64" s="471">
        <v>28.958721853287983</v>
      </c>
      <c r="M64" s="28">
        <f t="shared" si="13"/>
        <v>0</v>
      </c>
      <c r="O64" s="471">
        <v>1.05</v>
      </c>
      <c r="Q64" s="471">
        <v>0</v>
      </c>
      <c r="S64" s="18">
        <f t="shared" si="0"/>
        <v>27614.038980130732</v>
      </c>
      <c r="U64" s="18">
        <f t="shared" si="1"/>
        <v>35860.228142905013</v>
      </c>
      <c r="W64" s="18">
        <f t="shared" si="2"/>
        <v>-8246.1891627742807</v>
      </c>
      <c r="Y64" s="271">
        <f t="shared" si="20"/>
        <v>-17.785566894443551</v>
      </c>
      <c r="Z64" s="235"/>
      <c r="AB64" s="384">
        <f>+IF(AB63&gt;$I$13+$I$14,XX,AB63+1)</f>
        <v>2043</v>
      </c>
      <c r="AC64" s="117"/>
      <c r="AD64" s="151">
        <f t="shared" si="21"/>
        <v>463645</v>
      </c>
      <c r="AF64" s="154">
        <f t="shared" si="23"/>
        <v>168.4924658039306</v>
      </c>
      <c r="AH64" s="154">
        <f t="shared" si="24"/>
        <v>33.749772933289314</v>
      </c>
      <c r="AJ64" s="154">
        <f t="shared" si="25"/>
        <v>3.4442324547380236</v>
      </c>
      <c r="AL64" s="153">
        <f t="shared" si="5"/>
        <v>20251.522988434808</v>
      </c>
      <c r="AN64" s="154">
        <f>INDEX('(2.2)_Forward_Price_Curve'!$K:$K,MATCH($AB64,'(2.2)_Forward_Price_Curve'!$C:$C,0),1)</f>
        <v>7.5679100000000004</v>
      </c>
      <c r="AP64" s="154">
        <f t="shared" si="6"/>
        <v>54.988595488388711</v>
      </c>
      <c r="AR64" s="154">
        <f t="shared" si="16"/>
        <v>0</v>
      </c>
      <c r="AS64" s="154"/>
      <c r="AT64" s="153">
        <f t="shared" si="7"/>
        <v>10365.040787691029</v>
      </c>
      <c r="AV64" s="153">
        <f t="shared" si="8"/>
        <v>25495.187355213984</v>
      </c>
      <c r="AW64" s="273"/>
      <c r="AX64" s="155">
        <f t="shared" si="9"/>
        <v>35860.228142905013</v>
      </c>
      <c r="AZ64" s="384">
        <f>+IF(AZ63&gt;$I$13+$I$14,XX,AZ63+1)</f>
        <v>2043</v>
      </c>
      <c r="BA64" s="117"/>
      <c r="BB64" s="154">
        <f t="shared" si="26"/>
        <v>88.164817840553937</v>
      </c>
      <c r="BD64" s="154">
        <f t="shared" si="27"/>
        <v>27.214203669176388</v>
      </c>
      <c r="BF64" s="153">
        <f t="shared" si="10"/>
        <v>9886.4822007437797</v>
      </c>
      <c r="BH64" s="157"/>
    </row>
    <row r="65" spans="2:60" ht="12">
      <c r="B65" s="2"/>
      <c r="C65" s="354">
        <f>+IF(C64&gt;$I$13+$I$14,XX,C64+1)</f>
        <v>2044</v>
      </c>
      <c r="E65" s="356">
        <f>'(2.2)_Forward_Price_Curve'!S58</f>
        <v>2.3E-2</v>
      </c>
      <c r="G65" s="470">
        <v>463645</v>
      </c>
      <c r="I65" s="471">
        <v>99.437018476181066</v>
      </c>
      <c r="K65" s="471">
        <v>29.624772455913604</v>
      </c>
      <c r="M65" s="28">
        <f t="shared" si="13"/>
        <v>0</v>
      </c>
      <c r="O65" s="471">
        <v>1.0700000000000003</v>
      </c>
      <c r="Q65" s="471">
        <v>0</v>
      </c>
      <c r="S65" s="18">
        <f t="shared" si="0"/>
        <v>28192.435169377884</v>
      </c>
      <c r="U65" s="18">
        <f t="shared" si="1"/>
        <v>36659.518202836603</v>
      </c>
      <c r="W65" s="18">
        <f t="shared" si="2"/>
        <v>-8467.083033458719</v>
      </c>
      <c r="Y65" s="271">
        <f t="shared" si="20"/>
        <v>-18.261995780087609</v>
      </c>
      <c r="Z65" s="235"/>
      <c r="AB65" s="384">
        <f>+IF(AB64&gt;$I$13+$I$14,XX,AB64+1)</f>
        <v>2044</v>
      </c>
      <c r="AC65" s="117"/>
      <c r="AD65" s="151">
        <f t="shared" si="21"/>
        <v>463645</v>
      </c>
      <c r="AF65" s="154">
        <f t="shared" si="23"/>
        <v>172.36779251742098</v>
      </c>
      <c r="AH65" s="154">
        <f t="shared" si="24"/>
        <v>34.526017710754964</v>
      </c>
      <c r="AJ65" s="154">
        <f t="shared" si="25"/>
        <v>3.5234498011969979</v>
      </c>
      <c r="AL65" s="153">
        <f t="shared" si="5"/>
        <v>20717.308017168802</v>
      </c>
      <c r="AN65" s="154">
        <f>INDEX('(2.2)_Forward_Price_Curve'!$K:$K,MATCH($AB65,'(2.2)_Forward_Price_Curve'!$C:$C,0),1)</f>
        <v>7.7344040200000004</v>
      </c>
      <c r="AP65" s="154">
        <f t="shared" si="6"/>
        <v>56.198344589133256</v>
      </c>
      <c r="AR65" s="154">
        <f t="shared" si="16"/>
        <v>0</v>
      </c>
      <c r="AS65" s="154"/>
      <c r="AT65" s="153">
        <f t="shared" si="7"/>
        <v>10603.436725807915</v>
      </c>
      <c r="AV65" s="153">
        <f t="shared" si="8"/>
        <v>26056.081477028689</v>
      </c>
      <c r="AW65" s="273"/>
      <c r="AX65" s="155">
        <f t="shared" si="9"/>
        <v>36659.518202836603</v>
      </c>
      <c r="AZ65" s="384">
        <f>+IF(AZ64&gt;$I$13+$I$14,XX,AZ64+1)</f>
        <v>2044</v>
      </c>
      <c r="BA65" s="117"/>
      <c r="BB65" s="154">
        <f t="shared" si="26"/>
        <v>90.192608650886669</v>
      </c>
      <c r="BD65" s="154">
        <f t="shared" si="27"/>
        <v>27.840130353567442</v>
      </c>
      <c r="BF65" s="153">
        <f t="shared" si="10"/>
        <v>10113.871291360887</v>
      </c>
      <c r="BH65" s="157"/>
    </row>
    <row r="66" spans="2:60" ht="12">
      <c r="B66" s="2"/>
      <c r="C66" s="354">
        <f>+IF(C65&gt;$I$13+$I$14,XX,C65+1)</f>
        <v>2045</v>
      </c>
      <c r="E66" s="356">
        <f>'(2.2)_Forward_Price_Curve'!S59</f>
        <v>2.3E-2</v>
      </c>
      <c r="G66" s="470">
        <v>463645</v>
      </c>
      <c r="I66" s="471">
        <v>101.3263218272285</v>
      </c>
      <c r="K66" s="471">
        <v>30.306142222399608</v>
      </c>
      <c r="M66" s="28">
        <f t="shared" si="13"/>
        <v>0</v>
      </c>
      <c r="O66" s="471">
        <v>1.1000000000000001</v>
      </c>
      <c r="Q66" s="471">
        <v>0</v>
      </c>
      <c r="S66" s="18">
        <f t="shared" si="0"/>
        <v>28787.516395247349</v>
      </c>
      <c r="U66" s="18">
        <f t="shared" si="1"/>
        <v>37476.631040024819</v>
      </c>
      <c r="W66" s="18">
        <f t="shared" si="2"/>
        <v>-8689.1146447774699</v>
      </c>
      <c r="Y66" s="271">
        <f t="shared" si="20"/>
        <v>-18.740878570409407</v>
      </c>
      <c r="Z66" s="235"/>
      <c r="AB66" s="384">
        <f>+IF(AB65&gt;$I$13+$I$14,XX,AB65+1)</f>
        <v>2045</v>
      </c>
      <c r="AC66" s="117"/>
      <c r="AD66" s="151">
        <f t="shared" si="21"/>
        <v>463645</v>
      </c>
      <c r="AF66" s="154">
        <f t="shared" si="23"/>
        <v>176.33225174532166</v>
      </c>
      <c r="AH66" s="154">
        <f t="shared" si="24"/>
        <v>35.320116118102327</v>
      </c>
      <c r="AJ66" s="154">
        <f t="shared" si="25"/>
        <v>3.6044891466245286</v>
      </c>
      <c r="AL66" s="153">
        <f t="shared" si="5"/>
        <v>21193.806101563685</v>
      </c>
      <c r="AN66" s="154">
        <f>INDEX('(2.2)_Forward_Price_Curve'!$K:$K,MATCH($AB66,'(2.2)_Forward_Price_Curve'!$C:$C,0),1)</f>
        <v>7.9045609084400006</v>
      </c>
      <c r="AP66" s="154">
        <f t="shared" si="6"/>
        <v>57.43470817009419</v>
      </c>
      <c r="AR66" s="154">
        <f t="shared" si="16"/>
        <v>0</v>
      </c>
      <c r="AS66" s="154"/>
      <c r="AT66" s="153">
        <f t="shared" si="7"/>
        <v>10847.315770501498</v>
      </c>
      <c r="AV66" s="153">
        <f t="shared" si="8"/>
        <v>26629.315269523318</v>
      </c>
      <c r="AW66" s="273"/>
      <c r="AX66" s="155">
        <f t="shared" si="9"/>
        <v>37476.631040024819</v>
      </c>
      <c r="AZ66" s="384">
        <f>+IF(AZ65&gt;$I$13+$I$14,XX,AZ65+1)</f>
        <v>2045</v>
      </c>
      <c r="BA66" s="117"/>
      <c r="BB66" s="154">
        <f t="shared" si="26"/>
        <v>92.267038649857056</v>
      </c>
      <c r="BD66" s="154">
        <f t="shared" si="27"/>
        <v>28.480453351699492</v>
      </c>
      <c r="BF66" s="153">
        <f t="shared" si="10"/>
        <v>10346.490331062187</v>
      </c>
      <c r="BH66" s="157"/>
    </row>
    <row r="67" spans="2:60" ht="12">
      <c r="B67" s="2"/>
      <c r="C67" s="354">
        <f>+IF(C66&gt;$I$13+$I$14,XX,C66+1)</f>
        <v>2046</v>
      </c>
      <c r="E67" s="356">
        <f>'(2.2)_Forward_Price_Curve'!S60</f>
        <v>2.3E-2</v>
      </c>
      <c r="G67" s="470">
        <v>463645</v>
      </c>
      <c r="I67" s="471">
        <v>103.25152194194582</v>
      </c>
      <c r="K67" s="471">
        <v>31.003183493514797</v>
      </c>
      <c r="M67" s="28">
        <f t="shared" si="13"/>
        <v>0</v>
      </c>
      <c r="O67" s="471">
        <v>1.1200000000000001</v>
      </c>
      <c r="Q67" s="471">
        <v>0</v>
      </c>
      <c r="S67" s="18">
        <f t="shared" si="0"/>
        <v>29390.267091499856</v>
      </c>
      <c r="U67" s="18">
        <f t="shared" si="1"/>
        <v>38311.964238675864</v>
      </c>
      <c r="W67" s="18">
        <f t="shared" si="2"/>
        <v>-8921.697147176008</v>
      </c>
      <c r="Y67" s="271">
        <f t="shared" si="20"/>
        <v>-19.242517760735065</v>
      </c>
      <c r="Z67" s="235"/>
      <c r="AB67" s="384">
        <f>+IF(AB66&gt;$I$13+$I$14,XX,AB66+1)</f>
        <v>2046</v>
      </c>
      <c r="AC67" s="117"/>
      <c r="AD67" s="151">
        <f t="shared" si="21"/>
        <v>463645</v>
      </c>
      <c r="AF67" s="154">
        <f t="shared" si="23"/>
        <v>180.38789353546403</v>
      </c>
      <c r="AH67" s="154">
        <f t="shared" si="24"/>
        <v>36.13247878881868</v>
      </c>
      <c r="AJ67" s="154">
        <f t="shared" si="25"/>
        <v>3.6873923969968923</v>
      </c>
      <c r="AL67" s="153">
        <f t="shared" si="5"/>
        <v>21681.263641899644</v>
      </c>
      <c r="AN67" s="154">
        <f>INDEX('(2.2)_Forward_Price_Curve'!$K:$K,MATCH($AB67,'(2.2)_Forward_Price_Curve'!$C:$C,0),1)</f>
        <v>8.0784612484256808</v>
      </c>
      <c r="AP67" s="154">
        <f t="shared" si="6"/>
        <v>58.698271749836266</v>
      </c>
      <c r="AR67" s="154">
        <f t="shared" si="16"/>
        <v>0</v>
      </c>
      <c r="AS67" s="154"/>
      <c r="AT67" s="153">
        <f t="shared" si="7"/>
        <v>11096.804033223028</v>
      </c>
      <c r="AV67" s="153">
        <f t="shared" si="8"/>
        <v>27215.160205452838</v>
      </c>
      <c r="AW67" s="273"/>
      <c r="AX67" s="155">
        <f t="shared" si="9"/>
        <v>38311.964238675864</v>
      </c>
      <c r="AZ67" s="384">
        <f>+IF(AZ66&gt;$I$13+$I$14,XX,AZ66+1)</f>
        <v>2046</v>
      </c>
      <c r="BA67" s="117"/>
      <c r="BB67" s="154">
        <f t="shared" si="26"/>
        <v>94.389180538803757</v>
      </c>
      <c r="BD67" s="154">
        <f t="shared" si="27"/>
        <v>29.135503778788578</v>
      </c>
      <c r="BF67" s="153">
        <f t="shared" si="10"/>
        <v>10584.459608676616</v>
      </c>
      <c r="BH67" s="157"/>
    </row>
    <row r="68" spans="2:60" ht="12">
      <c r="B68" s="2"/>
      <c r="C68" s="354">
        <f>+IF(C67&gt;$I$13+$I$14,XX,C67+1)</f>
        <v>2047</v>
      </c>
      <c r="E68" s="356">
        <f>'(2.2)_Forward_Price_Curve'!S61</f>
        <v>2.1999999999999999E-2</v>
      </c>
      <c r="G68" s="470">
        <v>463645</v>
      </c>
      <c r="I68" s="471">
        <v>105.21330085884279</v>
      </c>
      <c r="K68" s="471">
        <v>31.716256713865636</v>
      </c>
      <c r="M68" s="28">
        <f t="shared" si="13"/>
        <v>0</v>
      </c>
      <c r="O68" s="471">
        <v>1.1499999999999997</v>
      </c>
      <c r="Q68" s="471">
        <v>0</v>
      </c>
      <c r="S68" s="18">
        <f t="shared" si="0"/>
        <v>30010.22303468176</v>
      </c>
      <c r="U68" s="18">
        <f t="shared" si="1"/>
        <v>39154.827451926736</v>
      </c>
      <c r="W68" s="18">
        <f t="shared" si="2"/>
        <v>-9144.6044172449765</v>
      </c>
      <c r="Y68" s="271">
        <f t="shared" si="20"/>
        <v>-19.723289191612068</v>
      </c>
      <c r="Z68" s="235"/>
      <c r="AB68" s="384">
        <f>+IF(AB67&gt;$I$13+$I$14,XX,AB67+1)</f>
        <v>2047</v>
      </c>
      <c r="AC68" s="117"/>
      <c r="AD68" s="151">
        <f t="shared" si="21"/>
        <v>463645</v>
      </c>
      <c r="AF68" s="154">
        <f t="shared" si="23"/>
        <v>184.35642719324423</v>
      </c>
      <c r="AH68" s="154">
        <f t="shared" si="24"/>
        <v>36.927393322172691</v>
      </c>
      <c r="AJ68" s="154">
        <f t="shared" si="25"/>
        <v>3.7685150297308239</v>
      </c>
      <c r="AL68" s="153">
        <f t="shared" si="5"/>
        <v>22158.251442021436</v>
      </c>
      <c r="AN68" s="154">
        <f>INDEX('(2.2)_Forward_Price_Curve'!$K:$K,MATCH($AB68,'(2.2)_Forward_Price_Curve'!$C:$C,0),1)</f>
        <v>8.2561873958910468</v>
      </c>
      <c r="AP68" s="154">
        <f t="shared" si="6"/>
        <v>59.98963372833267</v>
      </c>
      <c r="AR68" s="154">
        <f t="shared" si="16"/>
        <v>0</v>
      </c>
      <c r="AS68" s="154"/>
      <c r="AT68" s="153">
        <f t="shared" si="7"/>
        <v>11340.933721953936</v>
      </c>
      <c r="AV68" s="153">
        <f t="shared" si="8"/>
        <v>27813.893729972802</v>
      </c>
      <c r="AW68" s="273"/>
      <c r="AX68" s="155">
        <f t="shared" si="9"/>
        <v>39154.827451926736</v>
      </c>
      <c r="AZ68" s="384">
        <f>+IF(AZ67&gt;$I$13+$I$14,XX,AZ67+1)</f>
        <v>2047</v>
      </c>
      <c r="BA68" s="117"/>
      <c r="BB68" s="154">
        <f t="shared" si="26"/>
        <v>96.465742510657435</v>
      </c>
      <c r="BD68" s="154">
        <f t="shared" si="27"/>
        <v>29.776484861921929</v>
      </c>
      <c r="BF68" s="153">
        <f t="shared" si="10"/>
        <v>10817.3177200675</v>
      </c>
      <c r="BH68" s="157"/>
    </row>
    <row r="69" spans="2:60" ht="12">
      <c r="B69" s="2"/>
      <c r="C69" s="354">
        <f>+IF(C68&gt;$I$13+$I$14,XX,C68+1)</f>
        <v>2048</v>
      </c>
      <c r="E69" s="356">
        <f>'(2.2)_Forward_Price_Curve'!S62</f>
        <v>2.1999999999999999E-2</v>
      </c>
      <c r="G69" s="470">
        <v>463645</v>
      </c>
      <c r="I69" s="471">
        <v>107.21235357516082</v>
      </c>
      <c r="K69" s="471">
        <v>32.445730618284543</v>
      </c>
      <c r="M69" s="28"/>
      <c r="O69" s="471">
        <v>1.17</v>
      </c>
      <c r="Q69" s="471">
        <v>0</v>
      </c>
      <c r="S69" s="18">
        <f t="shared" si="0"/>
        <v>30638.379864467115</v>
      </c>
      <c r="U69" s="18">
        <f t="shared" si="1"/>
        <v>40016.233655869131</v>
      </c>
      <c r="W69" s="18">
        <f t="shared" si="2"/>
        <v>-9377.8537914020162</v>
      </c>
      <c r="Y69" s="271">
        <f t="shared" si="20"/>
        <v>-20.22636670599708</v>
      </c>
      <c r="Z69" s="235"/>
      <c r="AB69" s="384">
        <f>+IF(AB68&gt;$I$13+$I$14,XX,AB68+1)</f>
        <v>2048</v>
      </c>
      <c r="AC69" s="117"/>
      <c r="AD69" s="151">
        <f t="shared" si="21"/>
        <v>463645</v>
      </c>
      <c r="AF69" s="154">
        <f t="shared" si="23"/>
        <v>188.4122685914956</v>
      </c>
      <c r="AH69" s="154">
        <f t="shared" si="24"/>
        <v>37.739795975260492</v>
      </c>
      <c r="AJ69" s="154">
        <f t="shared" si="25"/>
        <v>3.8514223603849023</v>
      </c>
      <c r="AL69" s="153">
        <f t="shared" si="5"/>
        <v>22645.732973745911</v>
      </c>
      <c r="AN69" s="154">
        <f>INDEX('(2.2)_Forward_Price_Curve'!$K:$K,MATCH($AB69,'(2.2)_Forward_Price_Curve'!$C:$C,0),1)</f>
        <v>8.4378235186006503</v>
      </c>
      <c r="AP69" s="154">
        <f t="shared" si="6"/>
        <v>61.309405670356</v>
      </c>
      <c r="AR69" s="154">
        <f t="shared" si="16"/>
        <v>0</v>
      </c>
      <c r="AS69" s="154"/>
      <c r="AT69" s="153">
        <f t="shared" si="7"/>
        <v>11590.434263836925</v>
      </c>
      <c r="AV69" s="153">
        <f t="shared" si="8"/>
        <v>28425.799392032208</v>
      </c>
      <c r="AW69" s="273"/>
      <c r="AX69" s="155">
        <f t="shared" si="9"/>
        <v>40016.233655869131</v>
      </c>
      <c r="AZ69" s="384">
        <f>+IF(AZ68&gt;$I$13+$I$14,XX,AZ68+1)</f>
        <v>2048</v>
      </c>
      <c r="BA69" s="117"/>
      <c r="BB69" s="154">
        <f t="shared" si="26"/>
        <v>98.5879888458919</v>
      </c>
      <c r="BD69" s="154">
        <f t="shared" si="27"/>
        <v>30.431567528884212</v>
      </c>
      <c r="BF69" s="153">
        <f t="shared" si="10"/>
        <v>11055.298709908986</v>
      </c>
      <c r="BH69" s="157"/>
    </row>
    <row r="70" spans="2:60" ht="12">
      <c r="B70" s="2"/>
      <c r="C70" s="354">
        <f>+IF(C69&gt;$I$13+$I$14,XX,C69+1)</f>
        <v>2049</v>
      </c>
      <c r="E70" s="356">
        <f>'(2.2)_Forward_Price_Curve'!S63</f>
        <v>2.1999999999999999E-2</v>
      </c>
      <c r="G70" s="470">
        <v>346783.65778688522</v>
      </c>
      <c r="I70" s="471">
        <v>81.937041219816663</v>
      </c>
      <c r="K70" s="471">
        <v>24.893986816878815</v>
      </c>
      <c r="M70" s="28"/>
      <c r="O70" s="471">
        <v>1.2000000000000002</v>
      </c>
      <c r="Q70" s="471">
        <v>0</v>
      </c>
      <c r="S70" s="18">
        <f t="shared" si="0"/>
        <v>20552.928781862258</v>
      </c>
      <c r="U70" s="18">
        <f t="shared" si="1"/>
        <v>33114.283772793329</v>
      </c>
      <c r="W70" s="18">
        <f t="shared" si="2"/>
        <v>-12561.354990931071</v>
      </c>
      <c r="Y70" s="271">
        <f t="shared" si="20"/>
        <v>-36.222453708157758</v>
      </c>
      <c r="Z70" s="235"/>
      <c r="AB70" s="384">
        <f>+IF(AB69&gt;$I$13+$I$14,XX,AB69+1)</f>
        <v>2049</v>
      </c>
      <c r="AC70" s="117"/>
      <c r="AD70" s="151">
        <f t="shared" si="21"/>
        <v>346783.65778688522</v>
      </c>
      <c r="AF70" s="154">
        <f t="shared" si="23"/>
        <v>192.55733850050851</v>
      </c>
      <c r="AH70" s="154">
        <f t="shared" si="24"/>
        <v>38.570071486716223</v>
      </c>
      <c r="AJ70" s="154">
        <f t="shared" si="25"/>
        <v>3.93615365231337</v>
      </c>
      <c r="AL70" s="153">
        <f t="shared" si="5"/>
        <v>22683.954900201923</v>
      </c>
      <c r="AN70" s="154">
        <f>INDEX('(2.2)_Forward_Price_Curve'!$K:$K,MATCH($AB70,'(2.2)_Forward_Price_Curve'!$C:$C,0),1)</f>
        <v>8.6234556360098651</v>
      </c>
      <c r="AP70" s="154">
        <f t="shared" si="6"/>
        <v>62.658212595103834</v>
      </c>
      <c r="AR70" s="154">
        <f t="shared" si="16"/>
        <v>0</v>
      </c>
      <c r="AS70" s="154"/>
      <c r="AT70" s="153">
        <f t="shared" si="7"/>
        <v>11385.439618674938</v>
      </c>
      <c r="AV70" s="153">
        <f t="shared" si="8"/>
        <v>21728.844154118389</v>
      </c>
      <c r="AW70" s="273"/>
      <c r="AX70" s="155">
        <f t="shared" si="9"/>
        <v>33114.283772793329</v>
      </c>
      <c r="AZ70" s="384">
        <f>+IF(AZ69&gt;$I$13+$I$14,XX,AZ69+1)</f>
        <v>2049</v>
      </c>
      <c r="BA70" s="117"/>
      <c r="BB70" s="154">
        <f t="shared" si="26"/>
        <v>100.75692460050152</v>
      </c>
      <c r="BD70" s="154">
        <f t="shared" si="27"/>
        <v>31.101062014519666</v>
      </c>
      <c r="BF70" s="153">
        <f t="shared" si="10"/>
        <v>11298.515281526985</v>
      </c>
      <c r="BH70" s="157"/>
    </row>
    <row r="71" spans="2:60">
      <c r="B71" s="2"/>
      <c r="E71" s="169"/>
      <c r="G71" s="267"/>
      <c r="H71" s="267"/>
      <c r="I71" s="267"/>
      <c r="K71" s="267"/>
      <c r="M71" s="267"/>
      <c r="O71" s="267"/>
      <c r="Q71" s="267"/>
      <c r="S71" s="267"/>
      <c r="U71" s="267"/>
      <c r="W71" s="267"/>
      <c r="Y71" s="267"/>
      <c r="Z71" s="235"/>
      <c r="AB71" s="2"/>
      <c r="AF71" s="274"/>
      <c r="AH71" s="274"/>
      <c r="AJ71" s="274"/>
      <c r="AL71" s="273"/>
      <c r="AN71" s="274"/>
      <c r="AP71" s="274"/>
      <c r="AR71" s="274"/>
      <c r="AS71" s="274"/>
      <c r="AT71" s="274"/>
      <c r="AV71" s="273"/>
      <c r="AW71" s="273"/>
      <c r="AX71" s="275"/>
      <c r="AZ71" s="2"/>
      <c r="BB71" s="274"/>
      <c r="BF71" s="273"/>
      <c r="BH71" s="235"/>
    </row>
    <row r="72" spans="2:60" ht="12">
      <c r="B72" s="2"/>
      <c r="C72" s="4" t="s">
        <v>271</v>
      </c>
      <c r="E72" s="169"/>
      <c r="G72" s="467">
        <f>+-PMT($I$18,43,NPV($I$18,G28:G70))</f>
        <v>420419.49998250691</v>
      </c>
      <c r="I72" s="466">
        <f>+-PMT($I$18,43,NPV($I$18,I28:I70))</f>
        <v>213.98697644541878</v>
      </c>
      <c r="J72" s="28"/>
      <c r="K72" s="466">
        <f>+-PMT($I$18,43,NPV($I$18,K28:K70))</f>
        <v>27.127853000926724</v>
      </c>
      <c r="M72" s="28">
        <f>+-PMT($G$18,$G$14,NPV($G$18,M28:M52))</f>
        <v>0</v>
      </c>
      <c r="O72" s="466">
        <f>+-PMT($I$18,43,NPV($I$18,O28:O70))</f>
        <v>3.5305239065537526</v>
      </c>
      <c r="Q72" s="466">
        <f>+-PMT($I$18,43,NPV($I$18,Q28:Q70))</f>
        <v>-27.500830507925127</v>
      </c>
      <c r="S72" s="466">
        <f>+-PMT($I$18,43,NPV($I$18,S28:S70))</f>
        <v>31676.043010066885</v>
      </c>
      <c r="U72" s="285">
        <f>+-PMT($I$18,43,NPV($I$18,U28:U70))</f>
        <v>25020.675635753447</v>
      </c>
      <c r="W72" s="285">
        <f>+-PMT($I$18,43,NPV($I$18,W28:W70))</f>
        <v>6655.367374313445</v>
      </c>
      <c r="Y72" s="285">
        <f>+-PMT($I$18,43,NPV($I$18,Y28:Y70))</f>
        <v>14.603774424903307</v>
      </c>
      <c r="Z72" s="235"/>
      <c r="AB72" s="2"/>
      <c r="AD72" s="153">
        <f>+-PMT($I$18,43,NPV($I$18,AD28:AD70))</f>
        <v>420419.49998250691</v>
      </c>
      <c r="AF72" s="154">
        <f>+-PMT($I$18,43,NPV($I$18,AF28:AF70))</f>
        <v>89.899044221829399</v>
      </c>
      <c r="AH72" s="154">
        <f>+-PMT($I$18,43,NPV($I$18,AH28:AH70))</f>
        <v>15.896657552141757</v>
      </c>
      <c r="AJ72" s="154">
        <f>+-PMT($I$18,43,NPV($I$18,AJ28:AJ70))</f>
        <v>2.5204084618368094</v>
      </c>
      <c r="AL72" s="153">
        <f>+-PMT($I$18,43,NPV($I$18,AL28:AL70))</f>
        <v>10820.712970440043</v>
      </c>
      <c r="AN72" s="154">
        <f>+-PMT($I$18,43,NPV($I$18,AN28:AN70))</f>
        <v>6.3747667045847942</v>
      </c>
      <c r="AP72" s="154">
        <f>+-PMT($I$18,43,NPV($I$18,AP28:AP70))</f>
        <v>46.319190853387781</v>
      </c>
      <c r="AR72" s="154">
        <f>+-PMT($I$18,43,NPV($I$18,AR28:AR70))</f>
        <v>1.4595322787246061</v>
      </c>
      <c r="AS72" s="154"/>
      <c r="AT72" s="153">
        <f>+-PMT($I$18,43,NPV($I$18,AT28:AT70))</f>
        <v>5266.8380437213063</v>
      </c>
      <c r="AV72" s="153">
        <f>+-PMT($I$18,43,NPV($I$18,AV28:AV70))</f>
        <v>19753.837592032134</v>
      </c>
      <c r="AW72" s="273"/>
      <c r="AX72" s="153">
        <f>+-PMT($I$18,43,NPV($I$18,AX28:AX70))</f>
        <v>25020.675635753447</v>
      </c>
      <c r="AY72" s="311"/>
      <c r="AZ72" s="2"/>
      <c r="BB72" s="154">
        <f>+-PMT($I$18,43,NPV($I$18,BB28:BB70))</f>
        <v>52.397163526211884</v>
      </c>
      <c r="BD72" s="154">
        <f>+-PMT($I$18,43,NPV($I$18,BD28:BD70))</f>
        <v>12.418677095442678</v>
      </c>
      <c r="BF72" s="153">
        <f>+-PMT($I$18,43,NPV($I$18,BF28:BF70))</f>
        <v>5553.8749267187404</v>
      </c>
      <c r="BH72" s="157"/>
    </row>
    <row r="73" spans="2:60" ht="12">
      <c r="B73" s="2"/>
      <c r="E73" s="169"/>
      <c r="G73" s="466"/>
      <c r="I73" s="466"/>
      <c r="J73" s="28"/>
      <c r="K73" s="466"/>
      <c r="M73" s="28"/>
      <c r="O73" s="28"/>
      <c r="Q73" s="466"/>
      <c r="S73" s="18"/>
      <c r="U73" s="18"/>
      <c r="W73" s="18"/>
      <c r="Y73" s="271"/>
      <c r="Z73" s="235"/>
      <c r="AB73" s="2"/>
      <c r="AD73" s="151"/>
      <c r="AF73" s="154"/>
      <c r="AH73" s="154"/>
      <c r="AJ73" s="154"/>
      <c r="AL73" s="153"/>
      <c r="AN73" s="154"/>
      <c r="AP73" s="154"/>
      <c r="AR73" s="154"/>
      <c r="AS73" s="154"/>
      <c r="AT73" s="153"/>
      <c r="AV73" s="153"/>
      <c r="AW73" s="273"/>
      <c r="AX73" s="155"/>
      <c r="AZ73" s="2"/>
      <c r="BB73" s="154"/>
      <c r="BD73" s="154"/>
      <c r="BF73" s="153"/>
      <c r="BH73" s="157"/>
    </row>
    <row r="74" spans="2:60" ht="12">
      <c r="B74" s="2"/>
      <c r="E74" s="169"/>
      <c r="I74" s="466"/>
      <c r="W74" s="18"/>
      <c r="Y74" s="271"/>
      <c r="Z74" s="235"/>
      <c r="AB74" s="2"/>
      <c r="AX74" s="235"/>
      <c r="AZ74" s="2"/>
      <c r="BH74" s="235"/>
    </row>
    <row r="75" spans="2:60">
      <c r="B75" s="238"/>
      <c r="C75" s="277"/>
      <c r="D75" s="277"/>
      <c r="E75" s="278"/>
      <c r="G75" s="277"/>
      <c r="H75" s="277"/>
      <c r="I75" s="277"/>
      <c r="J75" s="277"/>
      <c r="K75" s="277"/>
      <c r="L75" s="277"/>
      <c r="M75" s="277"/>
      <c r="N75" s="277"/>
      <c r="O75" s="277"/>
      <c r="P75" s="277"/>
      <c r="Q75" s="277"/>
      <c r="R75" s="277"/>
      <c r="S75" s="277"/>
      <c r="T75" s="277"/>
      <c r="U75" s="277"/>
      <c r="V75" s="277"/>
      <c r="W75" s="277"/>
      <c r="X75" s="277"/>
      <c r="Y75" s="277"/>
      <c r="Z75" s="239"/>
      <c r="AB75" s="238"/>
      <c r="AC75" s="277"/>
      <c r="AD75" s="277"/>
      <c r="AE75" s="277"/>
      <c r="AF75" s="277"/>
      <c r="AG75" s="277"/>
      <c r="AH75" s="277"/>
      <c r="AI75" s="277"/>
      <c r="AJ75" s="277"/>
      <c r="AK75" s="277"/>
      <c r="AL75" s="277"/>
      <c r="AM75" s="277"/>
      <c r="AN75" s="277"/>
      <c r="AO75" s="277"/>
      <c r="AP75" s="277"/>
      <c r="AQ75" s="277"/>
      <c r="AR75" s="277"/>
      <c r="AS75" s="277"/>
      <c r="AT75" s="277"/>
      <c r="AU75" s="277"/>
      <c r="AV75" s="277"/>
      <c r="AW75" s="277"/>
      <c r="AX75" s="239"/>
      <c r="AZ75" s="238"/>
      <c r="BA75" s="277"/>
      <c r="BB75" s="277"/>
      <c r="BC75" s="277"/>
      <c r="BD75" s="277"/>
      <c r="BE75" s="277"/>
      <c r="BF75" s="277"/>
      <c r="BG75" s="277"/>
      <c r="BH75" s="239"/>
    </row>
    <row r="76" spans="2:60">
      <c r="E76" s="169"/>
    </row>
    <row r="77" spans="2:60">
      <c r="E77" s="169"/>
      <c r="G77" s="18"/>
      <c r="I77" s="18"/>
      <c r="K77" s="18"/>
      <c r="O77" s="18"/>
      <c r="Q77" s="18"/>
      <c r="S77" s="18"/>
      <c r="U77" s="18"/>
      <c r="W77" s="18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  <row r="87" spans="5:5">
      <c r="E87" s="169"/>
    </row>
    <row r="88" spans="5:5">
      <c r="E88" s="169"/>
    </row>
    <row r="89" spans="5:5">
      <c r="E89" s="169"/>
    </row>
    <row r="90" spans="5:5">
      <c r="E90" s="169"/>
    </row>
    <row r="91" spans="5:5">
      <c r="E91" s="169"/>
    </row>
    <row r="92" spans="5:5">
      <c r="E92" s="169"/>
    </row>
    <row r="93" spans="5:5">
      <c r="E93" s="169"/>
    </row>
    <row r="94" spans="5:5">
      <c r="E94" s="169"/>
    </row>
    <row r="95" spans="5:5">
      <c r="E95" s="169"/>
    </row>
    <row r="96" spans="5:5">
      <c r="E96" s="169"/>
    </row>
    <row r="97" spans="5:5">
      <c r="E97" s="169"/>
    </row>
    <row r="98" spans="5:5">
      <c r="E98" s="169"/>
    </row>
    <row r="99" spans="5:5">
      <c r="E99" s="169"/>
    </row>
  </sheetData>
  <pageMargins left="0.25" right="0.25" top="0.25" bottom="0.75" header="0.3" footer="0.3"/>
  <pageSetup paperSize="5" scale="48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711EC-3311-4F61-B8F2-6E02AA5B08FA}">
  <sheetPr codeName="Sheet28">
    <tabColor theme="0" tint="-0.249977111117893"/>
    <pageSetUpPr fitToPage="1"/>
  </sheetPr>
  <dimension ref="A1:BL82"/>
  <sheetViews>
    <sheetView workbookViewId="0"/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231" customFormat="1">
      <c r="A1" s="231" t="s">
        <v>0</v>
      </c>
    </row>
    <row r="2" spans="1:64" s="231" customFormat="1">
      <c r="A2" s="231" t="s">
        <v>143</v>
      </c>
    </row>
    <row r="3" spans="1:64" s="231" customFormat="1">
      <c r="A3" s="231" t="s">
        <v>1</v>
      </c>
    </row>
    <row r="4" spans="1:64" s="231" customFormat="1"/>
    <row r="5" spans="1:64" s="231" customFormat="1"/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85" t="s">
        <v>96</v>
      </c>
      <c r="AO8" s="386"/>
      <c r="AP8" s="386"/>
      <c r="AQ8" s="386"/>
      <c r="AR8" s="386"/>
      <c r="AS8" s="386"/>
      <c r="AT8" s="386"/>
      <c r="AU8" s="386"/>
      <c r="AV8" s="386"/>
      <c r="AW8" s="387"/>
      <c r="AZ8" s="244" t="s">
        <v>97</v>
      </c>
      <c r="BA8" s="245"/>
      <c r="BB8" s="245"/>
      <c r="BC8" s="245"/>
      <c r="BD8" s="245"/>
      <c r="BE8" s="246"/>
      <c r="BG8" s="385" t="s">
        <v>97</v>
      </c>
      <c r="BH8" s="386"/>
      <c r="BI8" s="386"/>
      <c r="BJ8" s="386"/>
      <c r="BK8" s="386"/>
      <c r="BL8" s="38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436"/>
      <c r="AO9" s="437"/>
      <c r="AP9" s="437"/>
      <c r="AQ9" s="437"/>
      <c r="AR9" s="438"/>
      <c r="AS9" s="437"/>
      <c r="AT9" s="437"/>
      <c r="AU9" s="437"/>
      <c r="AV9" s="439"/>
      <c r="AW9" s="440"/>
      <c r="AZ9" s="116"/>
      <c r="BA9" s="117"/>
      <c r="BB9" s="117"/>
      <c r="BC9" s="117"/>
      <c r="BD9" s="118"/>
      <c r="BE9" s="121"/>
      <c r="BG9" s="436"/>
      <c r="BH9" s="437"/>
      <c r="BI9" s="437"/>
      <c r="BJ9" s="437"/>
      <c r="BK9" s="438"/>
      <c r="BL9" s="441"/>
    </row>
    <row r="10" spans="1:64" ht="12">
      <c r="B10" s="250"/>
      <c r="C10" s="231" t="s">
        <v>98</v>
      </c>
      <c r="D10" s="231"/>
      <c r="E10" s="231"/>
      <c r="F10" s="231"/>
      <c r="G10" s="251" t="s">
        <v>16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230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388" t="s">
        <v>230</v>
      </c>
      <c r="BH10" s="389"/>
      <c r="BI10" s="389"/>
      <c r="BJ10" s="389"/>
      <c r="BK10" s="390"/>
      <c r="BL10" s="398"/>
    </row>
    <row r="11" spans="1:64" ht="12">
      <c r="B11" s="250"/>
      <c r="C11" s="231" t="s">
        <v>31</v>
      </c>
      <c r="D11" s="231"/>
      <c r="E11" s="231"/>
      <c r="F11" s="231"/>
      <c r="G11" s="251">
        <v>70.2</v>
      </c>
      <c r="H11" s="252"/>
      <c r="I11" s="348">
        <v>78</v>
      </c>
      <c r="AB11" s="122" t="s">
        <v>99</v>
      </c>
      <c r="AC11" s="123"/>
      <c r="AD11" s="123"/>
      <c r="AE11" s="123"/>
      <c r="AF11" s="134">
        <f>+G11*(G12/AJ16)</f>
        <v>43.932659859016866</v>
      </c>
      <c r="AG11" s="127"/>
      <c r="AH11" s="123" t="s">
        <v>100</v>
      </c>
      <c r="AI11" s="124"/>
      <c r="AJ11" s="129">
        <v>7.9126910299003335</v>
      </c>
      <c r="AK11" s="235"/>
      <c r="AN11" s="444" t="s">
        <v>99</v>
      </c>
      <c r="AO11" s="445"/>
      <c r="AP11" s="445"/>
      <c r="AQ11" s="445"/>
      <c r="AR11" s="446">
        <f>+I11*(I12/AV16)</f>
        <v>35.807116850341799</v>
      </c>
      <c r="AS11" s="447"/>
      <c r="AT11" s="445" t="s">
        <v>100</v>
      </c>
      <c r="AU11" s="448"/>
      <c r="AV11" s="396">
        <f>'(2.1)_Proxy Resources'!N53</f>
        <v>19.805241420865066</v>
      </c>
      <c r="AW11" s="235"/>
      <c r="AZ11" s="122" t="s">
        <v>99</v>
      </c>
      <c r="BA11" s="123"/>
      <c r="BB11" s="123"/>
      <c r="BC11" s="123"/>
      <c r="BD11" s="134">
        <f>(AF11*AF13-G11*G19)</f>
        <v>40.656659859016862</v>
      </c>
      <c r="BE11" s="130"/>
      <c r="BG11" s="444" t="s">
        <v>99</v>
      </c>
      <c r="BH11" s="445"/>
      <c r="BI11" s="445"/>
      <c r="BJ11" s="445"/>
      <c r="BK11" s="368">
        <f>(AR11*AR13-I11*I19)</f>
        <v>26.603116850341799</v>
      </c>
      <c r="BL11" s="449"/>
    </row>
    <row r="12" spans="1:64" ht="12">
      <c r="B12" s="250"/>
      <c r="C12" s="231" t="s">
        <v>32</v>
      </c>
      <c r="D12" s="231"/>
      <c r="E12" s="231"/>
      <c r="F12" s="231"/>
      <c r="G12" s="254">
        <v>0.30471886820463195</v>
      </c>
      <c r="H12" s="252"/>
      <c r="I12" s="349">
        <v>0.32265689029387662</v>
      </c>
      <c r="AB12" s="122" t="s">
        <v>32</v>
      </c>
      <c r="AC12" s="123"/>
      <c r="AD12" s="123"/>
      <c r="AE12" s="123"/>
      <c r="AF12" s="131">
        <f>+AD38/8760/AF11</f>
        <v>0.4864827223184533</v>
      </c>
      <c r="AG12" s="127"/>
      <c r="AH12" s="117" t="s">
        <v>101</v>
      </c>
      <c r="AI12" s="118"/>
      <c r="AJ12" s="117">
        <v>2006</v>
      </c>
      <c r="AK12" s="235"/>
      <c r="AN12" s="444" t="s">
        <v>32</v>
      </c>
      <c r="AO12" s="445"/>
      <c r="AP12" s="445"/>
      <c r="AQ12" s="445"/>
      <c r="AR12" s="131">
        <f>AD71/8760/AR11</f>
        <v>0.64083522284496341</v>
      </c>
      <c r="AS12" s="447"/>
      <c r="AT12" s="437" t="s">
        <v>101</v>
      </c>
      <c r="AU12" s="438"/>
      <c r="AV12" s="450">
        <v>2016</v>
      </c>
      <c r="AW12" s="235"/>
      <c r="AZ12" s="122"/>
      <c r="BA12" s="123"/>
      <c r="BB12" s="123"/>
      <c r="BC12" s="123"/>
      <c r="BD12" s="131"/>
      <c r="BE12" s="132"/>
      <c r="BG12" s="444"/>
      <c r="BH12" s="445"/>
      <c r="BI12" s="445"/>
      <c r="BJ12" s="445"/>
      <c r="BK12" s="451"/>
      <c r="BL12" s="452"/>
    </row>
    <row r="13" spans="1:64" ht="12">
      <c r="B13" s="250"/>
      <c r="C13" s="231" t="s">
        <v>33</v>
      </c>
      <c r="D13" s="231"/>
      <c r="E13" s="231"/>
      <c r="F13" s="231"/>
      <c r="G13" s="251">
        <v>2008</v>
      </c>
      <c r="H13" s="252"/>
      <c r="I13" s="350">
        <v>2019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N13" s="444" t="s">
        <v>102</v>
      </c>
      <c r="AO13" s="445"/>
      <c r="AP13" s="445"/>
      <c r="AQ13" s="445"/>
      <c r="AR13" s="453">
        <v>1</v>
      </c>
      <c r="AS13" s="447"/>
      <c r="AT13" s="437" t="s">
        <v>103</v>
      </c>
      <c r="AU13" s="438"/>
      <c r="AV13" s="396">
        <f>'(2.1)_Proxy Resources'!O53</f>
        <v>2.02116486562735</v>
      </c>
      <c r="AW13" s="235"/>
      <c r="AZ13" s="122" t="s">
        <v>102</v>
      </c>
      <c r="BA13" s="123"/>
      <c r="BB13" s="123"/>
      <c r="BC13" s="123"/>
      <c r="BD13" s="133">
        <v>1</v>
      </c>
      <c r="BE13" s="132"/>
      <c r="BG13" s="444" t="s">
        <v>102</v>
      </c>
      <c r="BH13" s="445"/>
      <c r="BI13" s="445"/>
      <c r="BJ13" s="445"/>
      <c r="BK13" s="453">
        <v>1</v>
      </c>
      <c r="BL13" s="452"/>
    </row>
    <row r="14" spans="1:64" ht="12">
      <c r="B14" s="250"/>
      <c r="C14" s="231" t="s">
        <v>34</v>
      </c>
      <c r="D14" s="231"/>
      <c r="E14" s="231"/>
      <c r="F14" s="231"/>
      <c r="G14" s="251">
        <v>25</v>
      </c>
      <c r="H14" s="252"/>
      <c r="I14" s="351">
        <v>31</v>
      </c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N14" s="444" t="s">
        <v>104</v>
      </c>
      <c r="AO14" s="445"/>
      <c r="AP14" s="445"/>
      <c r="AQ14" s="445"/>
      <c r="AR14" s="454">
        <f>'(2.1)_Proxy Resources'!H53</f>
        <v>6414.883554173548</v>
      </c>
      <c r="AS14" s="447"/>
      <c r="AT14" s="437"/>
      <c r="AU14" s="438"/>
      <c r="AV14" s="396"/>
      <c r="AW14" s="235"/>
      <c r="AZ14" s="122" t="s">
        <v>105</v>
      </c>
      <c r="BA14" s="123"/>
      <c r="BB14" s="123"/>
      <c r="BC14" s="123"/>
      <c r="BD14" s="135">
        <v>454</v>
      </c>
      <c r="BE14" s="132"/>
      <c r="BG14" s="444" t="s">
        <v>232</v>
      </c>
      <c r="BH14" s="445"/>
      <c r="BI14" s="445"/>
      <c r="BJ14" s="445"/>
      <c r="BK14" s="397">
        <f>'(2.1)_Proxy Resources'!J54</f>
        <v>702</v>
      </c>
      <c r="BL14" s="452"/>
    </row>
    <row r="15" spans="1:64" ht="12">
      <c r="A15" t="s">
        <v>138</v>
      </c>
      <c r="B15" s="250"/>
      <c r="C15" s="231" t="s">
        <v>107</v>
      </c>
      <c r="D15" s="231"/>
      <c r="E15" s="231"/>
      <c r="F15" s="231"/>
      <c r="G15" s="255">
        <v>180.81600157565364</v>
      </c>
      <c r="H15" s="252"/>
      <c r="I15" s="382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N15" s="444" t="s">
        <v>231</v>
      </c>
      <c r="AO15" s="445"/>
      <c r="AP15" s="445"/>
      <c r="AQ15" s="445"/>
      <c r="AR15" s="397">
        <f>'(2.1)_Proxy Resources'!J53</f>
        <v>1362.6215812395926</v>
      </c>
      <c r="AS15" s="447"/>
      <c r="AT15" s="437" t="s">
        <v>141</v>
      </c>
      <c r="AU15" s="438"/>
      <c r="AV15" s="396">
        <f>'(2.1)_Proxy Resources'!P53</f>
        <v>2.2807762714164963</v>
      </c>
      <c r="AW15" s="235"/>
      <c r="AZ15" s="122" t="s">
        <v>108</v>
      </c>
      <c r="BA15" s="123"/>
      <c r="BB15" s="123"/>
      <c r="BC15" s="123"/>
      <c r="BD15" s="136">
        <v>8.3299999999999999E-2</v>
      </c>
      <c r="BE15" s="132"/>
      <c r="BG15" s="444" t="s">
        <v>108</v>
      </c>
      <c r="BH15" s="445"/>
      <c r="BI15" s="445"/>
      <c r="BJ15" s="445"/>
      <c r="BK15" s="455">
        <f>'(2.1)_Proxy Resources'!K54</f>
        <v>7.3700000000000002E-2</v>
      </c>
      <c r="BL15" s="452"/>
    </row>
    <row r="16" spans="1:64" ht="12">
      <c r="A16" t="s">
        <v>138</v>
      </c>
      <c r="B16" s="250"/>
      <c r="C16" s="231" t="s">
        <v>109</v>
      </c>
      <c r="D16" s="231"/>
      <c r="E16" s="231"/>
      <c r="F16" s="231"/>
      <c r="G16" s="255">
        <v>19.612798811178333</v>
      </c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N16" s="444" t="s">
        <v>108</v>
      </c>
      <c r="AO16" s="445"/>
      <c r="AP16" s="445"/>
      <c r="AQ16" s="445"/>
      <c r="AR16" s="455">
        <f>'(2.1)_Proxy Resources'!K52</f>
        <v>7.2562879502455491E-2</v>
      </c>
      <c r="AS16" s="447"/>
      <c r="AT16" s="437" t="s">
        <v>110</v>
      </c>
      <c r="AU16" s="448"/>
      <c r="AV16" s="456">
        <f>'(2.1)_Proxy Resources'!D53</f>
        <v>0.70285573530285894</v>
      </c>
      <c r="AW16" s="235"/>
      <c r="AZ16" s="122" t="s">
        <v>100</v>
      </c>
      <c r="BA16" s="124"/>
      <c r="BB16" s="129">
        <v>5.75</v>
      </c>
      <c r="BE16" s="130"/>
      <c r="BG16" s="444" t="s">
        <v>100</v>
      </c>
      <c r="BH16" s="448"/>
      <c r="BI16" s="396">
        <f>'(2.1)_Proxy Resources'!L54</f>
        <v>15.97</v>
      </c>
      <c r="BL16" s="449"/>
    </row>
    <row r="17" spans="1:64" ht="12">
      <c r="A17" t="s">
        <v>138</v>
      </c>
      <c r="B17" s="250"/>
      <c r="C17" s="231" t="s">
        <v>111</v>
      </c>
      <c r="D17" s="231"/>
      <c r="E17" s="231"/>
      <c r="F17" s="231"/>
      <c r="G17" s="255">
        <v>0</v>
      </c>
      <c r="H17" s="252"/>
      <c r="AB17" s="2"/>
      <c r="AG17" s="127"/>
      <c r="AI17" s="127"/>
      <c r="AJ17" s="123"/>
      <c r="AK17" s="130"/>
      <c r="AN17" s="2"/>
      <c r="AS17" s="447"/>
      <c r="AU17" s="447"/>
      <c r="AV17" s="445"/>
      <c r="AW17" s="449"/>
      <c r="AZ17" s="116" t="s">
        <v>101</v>
      </c>
      <c r="BA17" s="118"/>
      <c r="BB17" s="117">
        <v>2006</v>
      </c>
      <c r="BE17" s="128"/>
      <c r="BG17" s="436" t="s">
        <v>101</v>
      </c>
      <c r="BH17" s="438"/>
      <c r="BI17" s="450">
        <v>2016</v>
      </c>
      <c r="BL17" s="457"/>
    </row>
    <row r="18" spans="1:64" ht="12">
      <c r="B18" s="250"/>
      <c r="C18" s="231" t="s">
        <v>112</v>
      </c>
      <c r="D18" s="231"/>
      <c r="E18" s="231"/>
      <c r="F18" s="231"/>
      <c r="G18" s="254">
        <v>7.3164524549999999E-2</v>
      </c>
      <c r="H18" s="252"/>
      <c r="I18" s="458">
        <v>6.5699999999999995E-2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459"/>
      <c r="AO18" s="460"/>
      <c r="AP18" s="460"/>
      <c r="AQ18" s="460"/>
      <c r="AR18" s="460"/>
      <c r="AS18" s="460"/>
      <c r="AT18" s="460"/>
      <c r="AU18" s="460"/>
      <c r="AV18" s="460"/>
      <c r="AW18" s="461"/>
      <c r="AZ18" s="138"/>
      <c r="BA18" s="139"/>
      <c r="BB18" s="139"/>
      <c r="BC18" s="139"/>
      <c r="BD18" s="139"/>
      <c r="BE18" s="141"/>
      <c r="BG18" s="459"/>
      <c r="BH18" s="460"/>
      <c r="BI18" s="460"/>
      <c r="BJ18" s="460"/>
      <c r="BK18" s="460"/>
      <c r="BL18" s="462"/>
    </row>
    <row r="19" spans="1:64" ht="12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s="458">
        <f>'(2.2)_Forward_Price_Curve'!L104</f>
        <v>0.11799999999999999</v>
      </c>
    </row>
    <row r="20" spans="1:64">
      <c r="B20" s="231"/>
      <c r="C20" s="231"/>
      <c r="D20" s="231"/>
      <c r="E20" s="231"/>
      <c r="F20" s="231"/>
      <c r="G20" t="s">
        <v>113</v>
      </c>
      <c r="H20" s="231"/>
    </row>
    <row r="23" spans="1:64">
      <c r="B23" s="244"/>
      <c r="C23" s="241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f>+G13</f>
        <v>2008</v>
      </c>
      <c r="E28" s="169">
        <v>1.7000000000000001E-2</v>
      </c>
      <c r="G28" s="18">
        <f>G32</f>
        <v>187887.18509575512</v>
      </c>
      <c r="I28" s="268">
        <f>$G$15</f>
        <v>180.81600157565364</v>
      </c>
      <c r="J28" s="268"/>
      <c r="K28" s="268">
        <f>$G$16</f>
        <v>19.612798811178333</v>
      </c>
      <c r="L28" s="269"/>
      <c r="M28" s="268">
        <f>$G$17</f>
        <v>0</v>
      </c>
      <c r="O28" s="270">
        <v>5.1866999999999992</v>
      </c>
      <c r="Q28" s="28">
        <v>-31.863781128122483</v>
      </c>
      <c r="S28" s="18">
        <f t="shared" ref="S28:S69" si="0">(I28*$G$11*1000+(K28+M28+O28+Q28)*G28)/1000</f>
        <v>11365.99519135853</v>
      </c>
      <c r="U28" s="18">
        <f t="shared" ref="U28:U69" si="1">AX28</f>
        <v>12842.821109082755</v>
      </c>
      <c r="W28" s="18">
        <f t="shared" ref="W28:W69" si="2">S28-U28</f>
        <v>-1476.8259177242253</v>
      </c>
      <c r="Y28" s="271">
        <f t="shared" ref="Y28:Y69" si="3">+W28*1000/G28</f>
        <v>-7.8601737365513955</v>
      </c>
      <c r="Z28" s="235"/>
      <c r="AB28" s="146">
        <f>$C$28</f>
        <v>2008</v>
      </c>
      <c r="AC28" s="117"/>
      <c r="AD28" s="151">
        <f t="shared" ref="AD28:AD69" si="4">G28</f>
        <v>187887.18509575512</v>
      </c>
      <c r="AF28" s="152">
        <v>58.163412158772744</v>
      </c>
      <c r="AG28" s="272"/>
      <c r="AH28" s="152">
        <v>8.2001037061794015</v>
      </c>
      <c r="AI28" s="272"/>
      <c r="AJ28" s="152">
        <v>2.3050946065283835</v>
      </c>
      <c r="AK28" s="272"/>
      <c r="AL28" s="153">
        <f t="shared" ref="AL28:AL69" si="5">((AF28+AH28)*$AF$11*1000+AJ28*AD28)/1000</f>
        <v>3348.6235065434375</v>
      </c>
      <c r="AN28" s="154">
        <f>INDEX('(2.2)_Forward_Price_Curve'!$I:$I,MATCH($AB28,'(2.2)_Forward_Price_Curve'!$C:$C,0),1)</f>
        <v>7.9707205782722266</v>
      </c>
      <c r="AO28" s="279"/>
      <c r="AP28" s="154">
        <f t="shared" ref="AP28:AP38" si="6">AN28*$AF$14/1000</f>
        <v>57.915425742323464</v>
      </c>
      <c r="AQ28" s="272"/>
      <c r="AR28" s="152">
        <v>2.3860545125109165</v>
      </c>
      <c r="AS28" s="152"/>
      <c r="AT28" s="153">
        <f t="shared" ref="AT28:AT69" si="7">AL28-BF28</f>
        <v>1512.9457268946667</v>
      </c>
      <c r="AU28" s="272"/>
      <c r="AV28" s="153">
        <f t="shared" ref="AV28:AV69" si="8">(AP28+AR28)*AD28/1000</f>
        <v>11329.875382188089</v>
      </c>
      <c r="AW28" s="273"/>
      <c r="AX28" s="155">
        <f t="shared" ref="AX28:AX69" si="9">AT28+AV28</f>
        <v>12842.821109082755</v>
      </c>
      <c r="AZ28" s="146">
        <f>$C$28</f>
        <v>2008</v>
      </c>
      <c r="BA28" s="117"/>
      <c r="BB28" s="152">
        <v>39.191870478599988</v>
      </c>
      <c r="BD28" s="152">
        <v>5.9588572499999986</v>
      </c>
      <c r="BE28" s="272"/>
      <c r="BF28" s="153">
        <f t="shared" ref="BF28:BF69" si="10">(BB28+BD28)*$BD$11</f>
        <v>1835.6777796487709</v>
      </c>
      <c r="BG28" s="272"/>
      <c r="BH28" s="156"/>
    </row>
    <row r="29" spans="1:64" ht="12">
      <c r="B29" s="2"/>
      <c r="C29">
        <f>+IF(C28&gt;$G$13+$G$14,XX,C28+1)</f>
        <v>2009</v>
      </c>
      <c r="E29" s="169">
        <v>1.7000000000000001E-2</v>
      </c>
      <c r="G29" s="18">
        <v>187222.92451008921</v>
      </c>
      <c r="I29" s="28">
        <f t="shared" ref="I29:I38" si="11">I28*(1+$E29)</f>
        <v>183.88987360243974</v>
      </c>
      <c r="K29" s="28">
        <f t="shared" ref="K29:K38" si="12">K28*(1+$E29)</f>
        <v>19.946216390968363</v>
      </c>
      <c r="M29" s="28">
        <f t="shared" ref="M29:M69" si="13">M28*(1+$E29)</f>
        <v>0</v>
      </c>
      <c r="O29" s="270">
        <v>5.2748738999999985</v>
      </c>
      <c r="Q29" s="28">
        <v>-32.504243128797739</v>
      </c>
      <c r="S29" s="18">
        <f t="shared" si="0"/>
        <v>11545.4959529389</v>
      </c>
      <c r="U29" s="18">
        <f t="shared" si="1"/>
        <v>12569.396723682576</v>
      </c>
      <c r="W29" s="18">
        <f t="shared" si="2"/>
        <v>-1023.9007707436758</v>
      </c>
      <c r="Y29" s="271">
        <f t="shared" si="3"/>
        <v>-5.468885679587272</v>
      </c>
      <c r="Z29" s="235"/>
      <c r="AB29" s="146">
        <f>+IF(AB28&gt;$G$13+$G$14,XX,AB28+1)</f>
        <v>2009</v>
      </c>
      <c r="AC29" s="117"/>
      <c r="AD29" s="151">
        <f t="shared" si="4"/>
        <v>187222.92451008921</v>
      </c>
      <c r="AF29" s="154">
        <f t="shared" ref="AF29:AF38" si="14">AF28*(1+$E29)</f>
        <v>59.152190165471872</v>
      </c>
      <c r="AH29" s="154">
        <f t="shared" ref="AH29:AH38" si="15">AH28*(1+$E29)</f>
        <v>8.3395054691844503</v>
      </c>
      <c r="AJ29" s="154">
        <f t="shared" ref="AJ29:AJ38" si="16">AJ28*(1+$E29)</f>
        <v>2.3442812148393659</v>
      </c>
      <c r="AL29" s="153">
        <f t="shared" si="5"/>
        <v>3403.9928925419408</v>
      </c>
      <c r="AN29" s="154">
        <f>INDEX('(2.2)_Forward_Price_Curve'!$I:$I,MATCH($AB29,'(2.2)_Forward_Price_Curve'!$C:$C,0),1)</f>
        <v>7.7758276535043622</v>
      </c>
      <c r="AP29" s="154">
        <f t="shared" si="6"/>
        <v>56.499329593768707</v>
      </c>
      <c r="AR29" s="154">
        <f>AR28*(1+$E29)</f>
        <v>2.4266174392236017</v>
      </c>
      <c r="AS29" s="154"/>
      <c r="AT29" s="153">
        <f t="shared" si="7"/>
        <v>1537.1085906391413</v>
      </c>
      <c r="AV29" s="153">
        <f t="shared" si="8"/>
        <v>11032.288133043434</v>
      </c>
      <c r="AW29" s="273"/>
      <c r="AX29" s="155">
        <f t="shared" si="9"/>
        <v>12569.396723682576</v>
      </c>
      <c r="AZ29" s="146">
        <f>+IF(AZ28&gt;$G$13+$G$14,XX,AZ28+1)</f>
        <v>2009</v>
      </c>
      <c r="BA29" s="117"/>
      <c r="BB29" s="154">
        <f t="shared" ref="BB29:BB38" si="17">BB28*(1+$E29)</f>
        <v>39.858132276736185</v>
      </c>
      <c r="BD29" s="154">
        <f t="shared" ref="BD29:BD38" si="18">BD28*(1+$E29)</f>
        <v>6.0601578232499982</v>
      </c>
      <c r="BF29" s="153">
        <f t="shared" si="10"/>
        <v>1866.8843019027995</v>
      </c>
      <c r="BH29" s="157"/>
    </row>
    <row r="30" spans="1:64" ht="12">
      <c r="B30" s="2"/>
      <c r="C30">
        <f>+IF(C29&gt;$G$13+$G$14,XX,C29+1)</f>
        <v>2010</v>
      </c>
      <c r="E30" s="169">
        <v>1.9E-2</v>
      </c>
      <c r="G30" s="18">
        <v>187222.92451008921</v>
      </c>
      <c r="I30" s="28">
        <f t="shared" si="11"/>
        <v>187.38378120088606</v>
      </c>
      <c r="K30" s="28">
        <f t="shared" si="12"/>
        <v>20.325194502396759</v>
      </c>
      <c r="M30" s="28">
        <f t="shared" si="13"/>
        <v>0</v>
      </c>
      <c r="O30" s="270">
        <v>5.3750965040999983</v>
      </c>
      <c r="Q30" s="28">
        <v>-33.157578415686572</v>
      </c>
      <c r="S30" s="18">
        <f t="shared" si="0"/>
        <v>11758.166282641418</v>
      </c>
      <c r="U30" s="18">
        <f t="shared" si="1"/>
        <v>12201.325314965939</v>
      </c>
      <c r="W30" s="18">
        <f>S30-U30</f>
        <v>-443.15903232452183</v>
      </c>
      <c r="Y30" s="271">
        <f t="shared" si="3"/>
        <v>-2.3670126587550473</v>
      </c>
      <c r="Z30" s="235"/>
      <c r="AB30" s="146">
        <f>+IF(AB29&gt;$G$13+$G$14,XX,AB29+1)</f>
        <v>2010</v>
      </c>
      <c r="AC30" s="117"/>
      <c r="AD30" s="151">
        <f t="shared" si="4"/>
        <v>187222.92451008921</v>
      </c>
      <c r="AF30" s="154">
        <f t="shared" si="14"/>
        <v>60.276081778615833</v>
      </c>
      <c r="AH30" s="154">
        <f t="shared" si="15"/>
        <v>8.4979560730989547</v>
      </c>
      <c r="AJ30" s="154">
        <f t="shared" si="16"/>
        <v>2.3888225579213138</v>
      </c>
      <c r="AL30" s="153">
        <f t="shared" si="5"/>
        <v>3468.668757500237</v>
      </c>
      <c r="AN30" s="154">
        <f>INDEX('(2.2)_Forward_Price_Curve'!$I:$I,MATCH($AB30,'(2.2)_Forward_Price_Curve'!$C:$C,0),1)</f>
        <v>7.4774457529777205</v>
      </c>
      <c r="AP30" s="154">
        <f t="shared" si="6"/>
        <v>54.331280339864243</v>
      </c>
      <c r="AR30" s="154">
        <f t="shared" ref="AR30:AR42" si="19">AR29*(1+$E30)</f>
        <v>2.4727231705688499</v>
      </c>
      <c r="AS30" s="154"/>
      <c r="AT30" s="153">
        <f t="shared" si="7"/>
        <v>1566.3136538612844</v>
      </c>
      <c r="AV30" s="153">
        <f t="shared" si="8"/>
        <v>10635.011661104656</v>
      </c>
      <c r="AW30" s="273"/>
      <c r="AX30" s="155">
        <f t="shared" si="9"/>
        <v>12201.325314965939</v>
      </c>
      <c r="AZ30" s="146">
        <f>+IF(AZ29&gt;$G$13+$G$14,XX,AZ29+1)</f>
        <v>2010</v>
      </c>
      <c r="BA30" s="117"/>
      <c r="BB30" s="154">
        <f t="shared" si="17"/>
        <v>40.61543678999417</v>
      </c>
      <c r="BD30" s="154">
        <f t="shared" si="18"/>
        <v>6.1753008218917476</v>
      </c>
      <c r="BF30" s="153">
        <f t="shared" si="10"/>
        <v>1902.3551036389526</v>
      </c>
      <c r="BH30" s="157"/>
    </row>
    <row r="31" spans="1:64" ht="12">
      <c r="B31" s="2"/>
      <c r="C31">
        <f>+IF(C30&gt;$G$13+$G$14,XX,C30+1)</f>
        <v>2011</v>
      </c>
      <c r="E31" s="169">
        <v>1.9E-2</v>
      </c>
      <c r="G31" s="18">
        <v>187222.92451008921</v>
      </c>
      <c r="I31" s="28">
        <f t="shared" si="11"/>
        <v>190.94407304370287</v>
      </c>
      <c r="K31" s="28">
        <f t="shared" si="12"/>
        <v>20.711373197942294</v>
      </c>
      <c r="M31" s="28">
        <f t="shared" si="13"/>
        <v>0</v>
      </c>
      <c r="O31" s="270">
        <v>5.4772233376778976</v>
      </c>
      <c r="Q31" s="28">
        <v>-33.824045741841871</v>
      </c>
      <c r="S31" s="18">
        <f t="shared" si="0"/>
        <v>11974.74279733088</v>
      </c>
      <c r="U31" s="18">
        <f t="shared" si="1"/>
        <v>11702.125849940097</v>
      </c>
      <c r="W31" s="18">
        <f t="shared" si="2"/>
        <v>272.61694739078303</v>
      </c>
      <c r="Y31" s="271">
        <f t="shared" si="3"/>
        <v>1.4561087970618256</v>
      </c>
      <c r="Z31" s="235"/>
      <c r="AB31" s="146">
        <f>+IF(AB30&gt;$G$13+$G$14,XX,AB30+1)</f>
        <v>2011</v>
      </c>
      <c r="AC31" s="117"/>
      <c r="AD31" s="151">
        <f t="shared" si="4"/>
        <v>187222.92451008921</v>
      </c>
      <c r="AF31" s="154">
        <f t="shared" si="14"/>
        <v>61.421327332409525</v>
      </c>
      <c r="AH31" s="154">
        <f t="shared" si="15"/>
        <v>8.6594172384878334</v>
      </c>
      <c r="AJ31" s="154">
        <f t="shared" si="16"/>
        <v>2.4342101865218186</v>
      </c>
      <c r="AL31" s="153">
        <f t="shared" si="5"/>
        <v>3534.5734638927411</v>
      </c>
      <c r="AN31" s="154">
        <f>INDEX('(2.2)_Forward_Price_Curve'!$I:$I,MATCH($AB31,'(2.2)_Forward_Price_Curve'!$C:$C,0),1)</f>
        <v>7.0821436233211914</v>
      </c>
      <c r="AP31" s="154">
        <f t="shared" si="6"/>
        <v>51.459006633731178</v>
      </c>
      <c r="AR31" s="154">
        <f t="shared" si="19"/>
        <v>2.5197049108096579</v>
      </c>
      <c r="AS31" s="154"/>
      <c r="AT31" s="153">
        <f t="shared" si="7"/>
        <v>1596.0736132846487</v>
      </c>
      <c r="AV31" s="153">
        <f t="shared" si="8"/>
        <v>10106.052236655449</v>
      </c>
      <c r="AW31" s="273"/>
      <c r="AX31" s="155">
        <f t="shared" si="9"/>
        <v>11702.125849940097</v>
      </c>
      <c r="AZ31" s="146">
        <f>+IF(AZ30&gt;$G$13+$G$14,XX,AZ30+1)</f>
        <v>2011</v>
      </c>
      <c r="BA31" s="117"/>
      <c r="BB31" s="154">
        <f t="shared" si="17"/>
        <v>41.387130089004053</v>
      </c>
      <c r="BD31" s="154">
        <f t="shared" si="18"/>
        <v>6.29263153750769</v>
      </c>
      <c r="BF31" s="153">
        <f t="shared" si="10"/>
        <v>1938.4998506080924</v>
      </c>
      <c r="BH31" s="157"/>
    </row>
    <row r="32" spans="1:64" ht="12">
      <c r="B32" s="2"/>
      <c r="C32">
        <f>+IF(C31&gt;$G$13+$G$14,XX,C31+1)</f>
        <v>2012</v>
      </c>
      <c r="E32" s="169">
        <v>0.02</v>
      </c>
      <c r="G32" s="18">
        <v>187887.18509575512</v>
      </c>
      <c r="I32" s="28">
        <f t="shared" si="11"/>
        <v>194.76295450457692</v>
      </c>
      <c r="K32" s="28">
        <f t="shared" si="12"/>
        <v>21.125600661901139</v>
      </c>
      <c r="M32" s="28">
        <f t="shared" si="13"/>
        <v>0</v>
      </c>
      <c r="O32" s="270">
        <v>5.5867678044314557</v>
      </c>
      <c r="Q32" s="28">
        <v>-34.503909061252898</v>
      </c>
      <c r="S32" s="18">
        <f t="shared" si="0"/>
        <v>12208.428776282422</v>
      </c>
      <c r="U32" s="18">
        <f t="shared" si="1"/>
        <v>11262.693310492226</v>
      </c>
      <c r="W32" s="18">
        <f t="shared" si="2"/>
        <v>945.73546579019603</v>
      </c>
      <c r="Y32" s="271">
        <f t="shared" si="3"/>
        <v>5.0335283127915824</v>
      </c>
      <c r="Z32" s="235"/>
      <c r="AB32" s="146">
        <f>+IF(AB31&gt;$G$13+$G$14,XX,AB31+1)</f>
        <v>2012</v>
      </c>
      <c r="AC32" s="117"/>
      <c r="AD32" s="151">
        <f t="shared" si="4"/>
        <v>187887.18509575512</v>
      </c>
      <c r="AF32" s="154">
        <f t="shared" si="14"/>
        <v>62.64975387905772</v>
      </c>
      <c r="AH32" s="154">
        <f t="shared" si="15"/>
        <v>8.8326055832575907</v>
      </c>
      <c r="AJ32" s="154">
        <f t="shared" si="16"/>
        <v>2.4828943902522549</v>
      </c>
      <c r="AL32" s="153">
        <f t="shared" si="5"/>
        <v>3606.9142220524118</v>
      </c>
      <c r="AN32" s="154">
        <f>INDEX('(2.2)_Forward_Price_Curve'!$I:$I,MATCH($AB32,'(2.2)_Forward_Price_Curve'!$C:$C,0),1)</f>
        <v>6.7024699037828679</v>
      </c>
      <c r="AP32" s="154">
        <f t="shared" si="6"/>
        <v>48.700289288881038</v>
      </c>
      <c r="AR32" s="154">
        <f t="shared" si="19"/>
        <v>2.5700990090258511</v>
      </c>
      <c r="AS32" s="154"/>
      <c r="AT32" s="153">
        <f t="shared" si="7"/>
        <v>1629.6443744321575</v>
      </c>
      <c r="AV32" s="153">
        <f t="shared" si="8"/>
        <v>9633.0489360600695</v>
      </c>
      <c r="AW32" s="273"/>
      <c r="AX32" s="155">
        <f t="shared" si="9"/>
        <v>11262.693310492226</v>
      </c>
      <c r="AZ32" s="146">
        <f>+IF(AZ31&gt;$G$13+$G$14,XX,AZ31+1)</f>
        <v>2012</v>
      </c>
      <c r="BA32" s="117"/>
      <c r="BB32" s="154">
        <f t="shared" si="17"/>
        <v>42.214872690784134</v>
      </c>
      <c r="BD32" s="154">
        <f t="shared" si="18"/>
        <v>6.4184841682578435</v>
      </c>
      <c r="BF32" s="153">
        <f t="shared" si="10"/>
        <v>1977.2698476202543</v>
      </c>
      <c r="BH32" s="157"/>
    </row>
    <row r="33" spans="2:60" ht="12">
      <c r="B33" s="2"/>
      <c r="C33">
        <f>+IF(C32&gt;$G$13+$G$14,XX,C32+1)</f>
        <v>2013</v>
      </c>
      <c r="E33" s="169">
        <v>1.9E-2</v>
      </c>
      <c r="G33" s="18">
        <v>187222.92451008921</v>
      </c>
      <c r="I33" s="28">
        <f t="shared" si="11"/>
        <v>198.46345064016387</v>
      </c>
      <c r="K33" s="28">
        <f t="shared" si="12"/>
        <v>21.526987074477258</v>
      </c>
      <c r="M33" s="28">
        <f t="shared" si="13"/>
        <v>0</v>
      </c>
      <c r="O33" s="270">
        <v>5.6929163927156532</v>
      </c>
      <c r="Q33" s="28">
        <v>-35.197437633384084</v>
      </c>
      <c r="S33" s="18">
        <f t="shared" si="0"/>
        <v>12438.556957966037</v>
      </c>
      <c r="U33" s="18">
        <f t="shared" si="1"/>
        <v>11263.014358077171</v>
      </c>
      <c r="W33" s="18">
        <f t="shared" si="2"/>
        <v>1175.5425998888659</v>
      </c>
      <c r="Y33" s="271">
        <f t="shared" si="3"/>
        <v>6.2788389988295332</v>
      </c>
      <c r="Z33" s="235"/>
      <c r="AB33" s="146">
        <f>+IF(AB32&gt;$G$13+$G$14,XX,AB32+1)</f>
        <v>2013</v>
      </c>
      <c r="AC33" s="117"/>
      <c r="AD33" s="151">
        <f t="shared" si="4"/>
        <v>187222.92451008921</v>
      </c>
      <c r="AF33" s="154">
        <f t="shared" si="14"/>
        <v>63.840099202759809</v>
      </c>
      <c r="AH33" s="154">
        <f t="shared" si="15"/>
        <v>9.0004250893394833</v>
      </c>
      <c r="AJ33" s="154">
        <f t="shared" si="16"/>
        <v>2.5300693836670476</v>
      </c>
      <c r="AL33" s="153">
        <f t="shared" si="5"/>
        <v>3673.764966900837</v>
      </c>
      <c r="AN33" s="154">
        <f>INDEX('(2.2)_Forward_Price_Curve'!$I:$I,MATCH($AB33,'(2.2)_Forward_Price_Curve'!$C:$C,0),1)</f>
        <v>6.6994948806584134</v>
      </c>
      <c r="AP33" s="154">
        <f t="shared" si="6"/>
        <v>48.678672707399592</v>
      </c>
      <c r="AR33" s="154">
        <f t="shared" si="19"/>
        <v>2.6189308901973418</v>
      </c>
      <c r="AS33" s="154"/>
      <c r="AT33" s="153">
        <f t="shared" si="7"/>
        <v>1658.926992175798</v>
      </c>
      <c r="AV33" s="153">
        <f t="shared" si="8"/>
        <v>9604.0873659013723</v>
      </c>
      <c r="AW33" s="273"/>
      <c r="AX33" s="155">
        <f t="shared" si="9"/>
        <v>11263.014358077171</v>
      </c>
      <c r="AZ33" s="146">
        <f>+IF(AZ32&gt;$G$13+$G$14,XX,AZ32+1)</f>
        <v>2013</v>
      </c>
      <c r="BA33" s="117"/>
      <c r="BB33" s="154">
        <f t="shared" si="17"/>
        <v>43.016955271909026</v>
      </c>
      <c r="BD33" s="154">
        <f t="shared" si="18"/>
        <v>6.5404353674547417</v>
      </c>
      <c r="BF33" s="153">
        <f t="shared" si="10"/>
        <v>2014.837974725039</v>
      </c>
      <c r="BH33" s="157"/>
    </row>
    <row r="34" spans="2:60" ht="12">
      <c r="B34" s="2"/>
      <c r="C34">
        <f>+IF(C33&gt;$G$13+$G$14,XX,C33+1)</f>
        <v>2014</v>
      </c>
      <c r="E34" s="169">
        <v>1.7999999999999999E-2</v>
      </c>
      <c r="G34" s="18">
        <v>187222.92451008921</v>
      </c>
      <c r="I34" s="28">
        <f t="shared" si="11"/>
        <v>202.03579275168681</v>
      </c>
      <c r="K34" s="28">
        <f t="shared" si="12"/>
        <v>21.914472841817851</v>
      </c>
      <c r="M34" s="28">
        <f t="shared" si="13"/>
        <v>0</v>
      </c>
      <c r="O34" s="270">
        <v>5.7953888877845348</v>
      </c>
      <c r="Q34" s="28">
        <v>-35.904906129815103</v>
      </c>
      <c r="S34" s="18">
        <f t="shared" si="0"/>
        <v>12648.612472070559</v>
      </c>
      <c r="U34" s="18">
        <f t="shared" si="1"/>
        <v>11593.517968066521</v>
      </c>
      <c r="W34" s="18">
        <f t="shared" si="2"/>
        <v>1055.0945040040388</v>
      </c>
      <c r="Y34" s="271">
        <f t="shared" si="3"/>
        <v>5.635498466680458</v>
      </c>
      <c r="Z34" s="235"/>
      <c r="AB34" s="146">
        <f>+IF(AB33&gt;$G$13+$G$14,XX,AB33+1)</f>
        <v>2014</v>
      </c>
      <c r="AC34" s="117"/>
      <c r="AD34" s="151">
        <f t="shared" si="4"/>
        <v>187222.92451008921</v>
      </c>
      <c r="AF34" s="154">
        <f t="shared" si="14"/>
        <v>64.989220988409485</v>
      </c>
      <c r="AH34" s="154">
        <f t="shared" si="15"/>
        <v>9.1624327409475939</v>
      </c>
      <c r="AJ34" s="154">
        <f t="shared" si="16"/>
        <v>2.5756106325730546</v>
      </c>
      <c r="AL34" s="153">
        <f t="shared" si="5"/>
        <v>3739.892736305052</v>
      </c>
      <c r="AN34" s="154">
        <f>INDEX('(2.2)_Forward_Price_Curve'!$I:$I,MATCH($AB34,'(2.2)_Forward_Price_Curve'!$C:$C,0),1)</f>
        <v>6.9140085811973453</v>
      </c>
      <c r="AP34" s="154">
        <f t="shared" si="6"/>
        <v>50.2373338312307</v>
      </c>
      <c r="AR34" s="154">
        <f t="shared" si="19"/>
        <v>2.6660716462208942</v>
      </c>
      <c r="AS34" s="154"/>
      <c r="AT34" s="153">
        <f t="shared" si="7"/>
        <v>1688.7876780349625</v>
      </c>
      <c r="AV34" s="153">
        <f t="shared" si="8"/>
        <v>9904.730290031559</v>
      </c>
      <c r="AW34" s="273"/>
      <c r="AX34" s="155">
        <f t="shared" si="9"/>
        <v>11593.517968066521</v>
      </c>
      <c r="AZ34" s="146">
        <f>+IF(AZ33&gt;$G$13+$G$14,XX,AZ33+1)</f>
        <v>2014</v>
      </c>
      <c r="BA34" s="117"/>
      <c r="BB34" s="154">
        <f t="shared" si="17"/>
        <v>43.791260466803386</v>
      </c>
      <c r="BD34" s="154">
        <f t="shared" si="18"/>
        <v>6.6581632040689271</v>
      </c>
      <c r="BF34" s="153">
        <f t="shared" si="10"/>
        <v>2051.1050582700896</v>
      </c>
      <c r="BH34" s="157"/>
    </row>
    <row r="35" spans="2:60" ht="12">
      <c r="B35" s="2"/>
      <c r="C35">
        <f>+IF(C34&gt;$G$13+$G$14,XX,C34+1)</f>
        <v>2015</v>
      </c>
      <c r="E35" s="169">
        <v>1.7999999999999999E-2</v>
      </c>
      <c r="G35" s="18">
        <v>187222.92451008921</v>
      </c>
      <c r="I35" s="28">
        <f t="shared" si="11"/>
        <v>205.67243702121718</v>
      </c>
      <c r="K35" s="28">
        <f t="shared" si="12"/>
        <v>22.308933352970573</v>
      </c>
      <c r="M35" s="28">
        <f t="shared" si="13"/>
        <v>0</v>
      </c>
      <c r="O35" s="270">
        <v>5.8997058877646564</v>
      </c>
      <c r="Q35" s="28">
        <v>-36.626594743024391</v>
      </c>
      <c r="S35" s="18">
        <f t="shared" si="0"/>
        <v>12862.170831355073</v>
      </c>
      <c r="U35" s="18">
        <f t="shared" si="1"/>
        <v>12180.301964137931</v>
      </c>
      <c r="W35" s="18">
        <f t="shared" si="2"/>
        <v>681.86886721714291</v>
      </c>
      <c r="Y35" s="271">
        <f t="shared" si="3"/>
        <v>3.6420158962979872</v>
      </c>
      <c r="Z35" s="235"/>
      <c r="AB35" s="146">
        <f>+IF(AB34&gt;$G$13+$G$14,XX,AB34+1)</f>
        <v>2015</v>
      </c>
      <c r="AC35" s="117"/>
      <c r="AD35" s="151">
        <f t="shared" si="4"/>
        <v>187222.92451008921</v>
      </c>
      <c r="AF35" s="154">
        <f t="shared" si="14"/>
        <v>66.159026966200855</v>
      </c>
      <c r="AH35" s="154">
        <f t="shared" si="15"/>
        <v>9.3273565302846499</v>
      </c>
      <c r="AJ35" s="154">
        <f t="shared" si="16"/>
        <v>2.6219716239593698</v>
      </c>
      <c r="AL35" s="153">
        <f t="shared" si="5"/>
        <v>3807.2108055585427</v>
      </c>
      <c r="AN35" s="154">
        <f>INDEX('(2.2)_Forward_Price_Curve'!$I:$I,MATCH($AB35,'(2.2)_Forward_Price_Curve'!$C:$C,0),1)</f>
        <v>7.3164011858738007</v>
      </c>
      <c r="AP35" s="154">
        <f t="shared" si="6"/>
        <v>53.161127080102943</v>
      </c>
      <c r="AR35" s="154">
        <f t="shared" si="19"/>
        <v>2.7140609358528702</v>
      </c>
      <c r="AS35" s="154"/>
      <c r="AT35" s="153">
        <f t="shared" si="7"/>
        <v>1719.1858562395914</v>
      </c>
      <c r="AV35" s="153">
        <f t="shared" si="8"/>
        <v>10461.116107898339</v>
      </c>
      <c r="AW35" s="273"/>
      <c r="AX35" s="155">
        <f t="shared" si="9"/>
        <v>12180.301964137931</v>
      </c>
      <c r="AZ35" s="146">
        <f>+IF(AZ34&gt;$G$13+$G$14,XX,AZ34+1)</f>
        <v>2015</v>
      </c>
      <c r="BA35" s="117"/>
      <c r="BB35" s="154">
        <f t="shared" si="17"/>
        <v>44.579503155205849</v>
      </c>
      <c r="BD35" s="154">
        <f t="shared" si="18"/>
        <v>6.7780101417421683</v>
      </c>
      <c r="BF35" s="153">
        <f t="shared" si="10"/>
        <v>2088.0249493189513</v>
      </c>
      <c r="BH35" s="157"/>
    </row>
    <row r="36" spans="2:60" ht="12">
      <c r="B36" s="2"/>
      <c r="C36">
        <f>+IF(C35&gt;$G$13+$G$14,XX,C35+1)</f>
        <v>2016</v>
      </c>
      <c r="E36" s="169">
        <v>1.7999999999999999E-2</v>
      </c>
      <c r="G36" s="18">
        <v>187887.18509575512</v>
      </c>
      <c r="I36" s="28">
        <f t="shared" si="11"/>
        <v>209.3745408875991</v>
      </c>
      <c r="K36" s="28">
        <f t="shared" si="12"/>
        <v>22.710494153324046</v>
      </c>
      <c r="M36" s="28">
        <f t="shared" si="13"/>
        <v>0</v>
      </c>
      <c r="O36" s="270">
        <v>6.0059005937444203</v>
      </c>
      <c r="Q36" s="28">
        <v>-37.362789297359178</v>
      </c>
      <c r="S36" s="18">
        <f t="shared" si="0"/>
        <v>13073.546037028058</v>
      </c>
      <c r="U36" s="18">
        <f t="shared" si="1"/>
        <v>13084.958144522447</v>
      </c>
      <c r="W36" s="18">
        <f t="shared" si="2"/>
        <v>-11.412107494388692</v>
      </c>
      <c r="Y36" s="271">
        <f t="shared" si="3"/>
        <v>-6.0739147742154997E-2</v>
      </c>
      <c r="Z36" s="235"/>
      <c r="AB36" s="146">
        <f>+IF(AB35&gt;$G$13+$G$14,XX,AB35+1)</f>
        <v>2016</v>
      </c>
      <c r="AC36" s="117"/>
      <c r="AD36" s="151">
        <f t="shared" si="4"/>
        <v>187887.18509575512</v>
      </c>
      <c r="AF36" s="154">
        <f t="shared" si="14"/>
        <v>67.349889451592475</v>
      </c>
      <c r="AH36" s="154">
        <f t="shared" si="15"/>
        <v>9.4952489478297739</v>
      </c>
      <c r="AJ36" s="154">
        <f t="shared" si="16"/>
        <v>2.6691671131906385</v>
      </c>
      <c r="AL36" s="153">
        <f t="shared" si="5"/>
        <v>3877.5136225684455</v>
      </c>
      <c r="AN36" s="154">
        <f>INDEX('(2.2)_Forward_Price_Curve'!$I:$I,MATCH($AB36,'(2.2)_Forward_Price_Curve'!$C:$C,0),1)</f>
        <v>7.9211828417083421</v>
      </c>
      <c r="AP36" s="154">
        <f t="shared" si="6"/>
        <v>57.555483491778489</v>
      </c>
      <c r="AR36" s="154">
        <f t="shared" si="19"/>
        <v>2.7629140326982218</v>
      </c>
      <c r="AS36" s="154"/>
      <c r="AT36" s="153">
        <f t="shared" si="7"/>
        <v>1751.9042241617531</v>
      </c>
      <c r="AV36" s="153">
        <f t="shared" si="8"/>
        <v>11333.053920360693</v>
      </c>
      <c r="AW36" s="273"/>
      <c r="AX36" s="155">
        <f t="shared" si="9"/>
        <v>13084.958144522447</v>
      </c>
      <c r="AZ36" s="146">
        <f>+IF(AZ35&gt;$G$13+$G$14,XX,AZ35+1)</f>
        <v>2016</v>
      </c>
      <c r="BA36" s="117"/>
      <c r="BB36" s="154">
        <f t="shared" si="17"/>
        <v>45.381934211999557</v>
      </c>
      <c r="BD36" s="154">
        <f t="shared" si="18"/>
        <v>6.9000143242935277</v>
      </c>
      <c r="BF36" s="153">
        <f t="shared" si="10"/>
        <v>2125.6093984066924</v>
      </c>
      <c r="BH36" s="157"/>
    </row>
    <row r="37" spans="2:60" ht="12">
      <c r="B37" s="2"/>
      <c r="C37">
        <f>+IF(C36&gt;$G$13+$G$14,XX,C36+1)</f>
        <v>2017</v>
      </c>
      <c r="E37" s="169">
        <v>1.7999999999999999E-2</v>
      </c>
      <c r="G37" s="18">
        <v>187222.92451008921</v>
      </c>
      <c r="I37" s="28">
        <f t="shared" si="11"/>
        <v>213.14328262357589</v>
      </c>
      <c r="K37" s="28">
        <f t="shared" si="12"/>
        <v>23.119283048083879</v>
      </c>
      <c r="M37" s="28">
        <f t="shared" si="13"/>
        <v>0</v>
      </c>
      <c r="O37" s="270">
        <v>6.1140068044318197</v>
      </c>
      <c r="Q37" s="28">
        <v>-38.113781362236097</v>
      </c>
      <c r="S37" s="18">
        <f t="shared" si="0"/>
        <v>13300.026848638157</v>
      </c>
      <c r="U37" s="18">
        <f t="shared" si="1"/>
        <v>13934.937758620019</v>
      </c>
      <c r="W37" s="18">
        <f t="shared" si="2"/>
        <v>-634.91090998186155</v>
      </c>
      <c r="Y37" s="271">
        <f t="shared" si="3"/>
        <v>-3.3912028222144719</v>
      </c>
      <c r="Z37" s="235"/>
      <c r="AB37" s="146">
        <f>+IF(AB36&gt;$G$13+$G$14,XX,AB36+1)</f>
        <v>2017</v>
      </c>
      <c r="AC37" s="117"/>
      <c r="AD37" s="151">
        <f t="shared" si="4"/>
        <v>187222.92451008921</v>
      </c>
      <c r="AF37" s="154">
        <f t="shared" si="14"/>
        <v>68.562187461721138</v>
      </c>
      <c r="AH37" s="154">
        <f t="shared" si="15"/>
        <v>9.6661634288907106</v>
      </c>
      <c r="AJ37" s="154">
        <f t="shared" si="16"/>
        <v>2.7172121212280702</v>
      </c>
      <c r="AL37" s="153">
        <f t="shared" si="5"/>
        <v>3945.503930859652</v>
      </c>
      <c r="AN37" s="154">
        <f>INDEX('(2.2)_Forward_Price_Curve'!$I:$I,MATCH($AB37,'(2.2)_Forward_Price_Curve'!$C:$C,0),1)</f>
        <v>8.5467545643478058</v>
      </c>
      <c r="AP37" s="154">
        <f t="shared" si="6"/>
        <v>62.100900972324112</v>
      </c>
      <c r="AR37" s="154">
        <f t="shared" si="19"/>
        <v>2.8126464852867898</v>
      </c>
      <c r="AS37" s="154"/>
      <c r="AT37" s="153">
        <f t="shared" si="7"/>
        <v>1781.633563281639</v>
      </c>
      <c r="AV37" s="153">
        <f t="shared" si="8"/>
        <v>12153.30419533838</v>
      </c>
      <c r="AW37" s="273"/>
      <c r="AX37" s="155">
        <f t="shared" si="9"/>
        <v>13934.937758620019</v>
      </c>
      <c r="AZ37" s="146">
        <f>+IF(AZ36&gt;$G$13+$G$14,XX,AZ36+1)</f>
        <v>2017</v>
      </c>
      <c r="BA37" s="117"/>
      <c r="BB37" s="154">
        <f t="shared" si="17"/>
        <v>46.19880902781555</v>
      </c>
      <c r="BD37" s="154">
        <f t="shared" si="18"/>
        <v>7.0242145821308108</v>
      </c>
      <c r="BF37" s="153">
        <f t="shared" si="10"/>
        <v>2163.870367578013</v>
      </c>
      <c r="BH37" s="157"/>
    </row>
    <row r="38" spans="2:60" ht="12">
      <c r="B38" s="2"/>
      <c r="C38">
        <f>+IF(C37&gt;$G$13+$G$14,XX,C37+1)</f>
        <v>2018</v>
      </c>
      <c r="E38" s="169">
        <v>1.7999999999999999E-2</v>
      </c>
      <c r="G38" s="18">
        <v>187222.92451008921</v>
      </c>
      <c r="I38" s="28">
        <f t="shared" si="11"/>
        <v>216.97986171080026</v>
      </c>
      <c r="K38" s="28">
        <f t="shared" si="12"/>
        <v>23.535430142949391</v>
      </c>
      <c r="M38" s="28">
        <f t="shared" si="13"/>
        <v>0</v>
      </c>
      <c r="O38" s="270">
        <v>6.2240589269115922</v>
      </c>
      <c r="Q38" s="28">
        <v>0</v>
      </c>
      <c r="S38" s="18">
        <f t="shared" si="0"/>
        <v>20803.64486768359</v>
      </c>
      <c r="U38" s="18">
        <f t="shared" si="1"/>
        <v>14738.827000112622</v>
      </c>
      <c r="W38" s="18">
        <f t="shared" si="2"/>
        <v>6064.8178675709678</v>
      </c>
      <c r="Y38" s="271">
        <f t="shared" si="3"/>
        <v>32.393564428292763</v>
      </c>
      <c r="Z38" s="235"/>
      <c r="AB38" s="146">
        <f>+IF(AB37&gt;$G$13+$G$14,XX,AB37+1)</f>
        <v>2018</v>
      </c>
      <c r="AC38" s="117"/>
      <c r="AD38" s="151">
        <f t="shared" si="4"/>
        <v>187222.92451008921</v>
      </c>
      <c r="AF38" s="154">
        <f t="shared" si="14"/>
        <v>69.796306836032116</v>
      </c>
      <c r="AH38" s="154">
        <f t="shared" si="15"/>
        <v>9.8401543706107439</v>
      </c>
      <c r="AJ38" s="154">
        <f t="shared" si="16"/>
        <v>2.7661219394101755</v>
      </c>
      <c r="AL38" s="153">
        <f t="shared" si="5"/>
        <v>4016.5230016151258</v>
      </c>
      <c r="AN38" s="154">
        <f>INDEX('(2.2)_Forward_Price_Curve'!$I:$I,MATCH($AB38,'(2.2)_Forward_Price_Curve'!$C:$C,0),1)</f>
        <v>9.1071488375904099</v>
      </c>
      <c r="AP38" s="154">
        <f t="shared" si="6"/>
        <v>66.172737715275218</v>
      </c>
      <c r="AR38" s="154">
        <f t="shared" si="19"/>
        <v>2.8632741220219522</v>
      </c>
      <c r="AS38" s="154"/>
      <c r="AT38" s="153">
        <f t="shared" si="7"/>
        <v>1813.7029674207088</v>
      </c>
      <c r="AV38" s="153">
        <f t="shared" si="8"/>
        <v>12925.124032691912</v>
      </c>
      <c r="AW38" s="273"/>
      <c r="AX38" s="155">
        <f t="shared" si="9"/>
        <v>14738.827000112622</v>
      </c>
      <c r="AZ38" s="146">
        <f>+IF(AZ37&gt;$G$13+$G$14,XX,AZ37+1)</f>
        <v>2018</v>
      </c>
      <c r="BA38" s="117"/>
      <c r="BB38" s="154">
        <f t="shared" si="17"/>
        <v>47.030387590316231</v>
      </c>
      <c r="BD38" s="154">
        <f t="shared" si="18"/>
        <v>7.1506504446091652</v>
      </c>
      <c r="BF38" s="153">
        <f t="shared" si="10"/>
        <v>2202.8200341944171</v>
      </c>
      <c r="BH38" s="157"/>
    </row>
    <row r="39" spans="2:60" ht="12">
      <c r="B39" s="2"/>
      <c r="C39" s="353">
        <f>+IF(C38&gt;$G$13+$G$14,XX,C38+1)</f>
        <v>2019</v>
      </c>
      <c r="E39" s="355">
        <f>'(2.2)_Forward_Price_Curve'!S32</f>
        <v>1.7999999999999999E-2</v>
      </c>
      <c r="G39" s="357">
        <v>180559</v>
      </c>
      <c r="I39" s="463">
        <v>236.41414210354137</v>
      </c>
      <c r="K39" s="464">
        <v>43.554244929893073</v>
      </c>
      <c r="M39" s="28">
        <f t="shared" si="13"/>
        <v>0</v>
      </c>
      <c r="O39" s="464">
        <v>0.60999999999999988</v>
      </c>
      <c r="Q39" s="464">
        <v>-12.744310678308612</v>
      </c>
      <c r="S39" s="18">
        <f t="shared" si="0"/>
        <v>22269.424684200443</v>
      </c>
      <c r="U39" s="18">
        <f t="shared" si="1"/>
        <v>6670.4284227027902</v>
      </c>
      <c r="W39" s="18">
        <f t="shared" si="2"/>
        <v>15598.996261497654</v>
      </c>
      <c r="Y39" s="271">
        <f t="shared" si="3"/>
        <v>86.392792724248878</v>
      </c>
      <c r="Z39" s="235"/>
      <c r="AB39" s="377">
        <f>+IF(AB38&gt;$G$13+$G$14,XX,AB38+1)</f>
        <v>2019</v>
      </c>
      <c r="AC39" s="117"/>
      <c r="AD39" s="151">
        <f t="shared" si="4"/>
        <v>180559</v>
      </c>
      <c r="AF39" s="399">
        <f>AR15*AR16</f>
        <v>98.875745606933918</v>
      </c>
      <c r="AH39" s="399">
        <f>AV11</f>
        <v>19.805241420865066</v>
      </c>
      <c r="AJ39" s="399">
        <f>AV13</f>
        <v>2.02116486562735</v>
      </c>
      <c r="AL39" s="153">
        <f t="shared" si="5"/>
        <v>5578.9109417974942</v>
      </c>
      <c r="AN39" s="399">
        <f>INDEX('(2.2)_Forward_Price_Curve'!$K:$K,MATCH($AB39,'(2.2)_Forward_Price_Curve'!$C:$C,0),1)</f>
        <v>2.6163124999999998</v>
      </c>
      <c r="AP39" s="154">
        <f t="shared" ref="AP39" si="20">AN39*$AF$14/1000</f>
        <v>19.010182432628689</v>
      </c>
      <c r="AR39" s="399">
        <f>AV15</f>
        <v>2.2807762714164963</v>
      </c>
      <c r="AS39" s="154"/>
      <c r="AT39" s="153">
        <f t="shared" si="7"/>
        <v>2826.1542100590955</v>
      </c>
      <c r="AV39" s="153">
        <f t="shared" si="8"/>
        <v>3844.2742126436947</v>
      </c>
      <c r="AW39" s="273"/>
      <c r="AX39" s="155">
        <f t="shared" si="9"/>
        <v>6670.4284227027902</v>
      </c>
      <c r="AZ39" s="383">
        <f>+IF(AZ38&gt;$G$13+$G$14,XX,AZ38+1)</f>
        <v>2019</v>
      </c>
      <c r="BA39" s="117"/>
      <c r="BB39" s="399">
        <f>BK14*BK15</f>
        <v>51.737400000000001</v>
      </c>
      <c r="BD39" s="399">
        <f>BI16</f>
        <v>15.97</v>
      </c>
      <c r="BF39" s="153">
        <f t="shared" si="10"/>
        <v>2752.7567317383987</v>
      </c>
      <c r="BH39" s="157"/>
    </row>
    <row r="40" spans="2:60" ht="12">
      <c r="B40" s="2"/>
      <c r="C40" s="354">
        <f>+IF(C39&gt;$I$13+$I$14,XX,C39+1)</f>
        <v>2020</v>
      </c>
      <c r="E40" s="356">
        <f>'(2.2)_Forward_Price_Curve'!S33</f>
        <v>2.3E-2</v>
      </c>
      <c r="G40" s="470">
        <v>220466.00000000003</v>
      </c>
      <c r="I40" s="471">
        <v>288.15618659439809</v>
      </c>
      <c r="K40" s="471">
        <v>57.124508693134104</v>
      </c>
      <c r="M40" s="28">
        <f t="shared" si="13"/>
        <v>0</v>
      </c>
      <c r="O40" s="471">
        <v>0.63</v>
      </c>
      <c r="Q40" s="471">
        <v>-40.290737965156573</v>
      </c>
      <c r="S40" s="18">
        <f t="shared" si="0"/>
        <v>24078.731976241044</v>
      </c>
      <c r="U40" s="18">
        <f t="shared" si="1"/>
        <v>7804.2897782257696</v>
      </c>
      <c r="W40" s="18">
        <f t="shared" si="2"/>
        <v>16274.442198015275</v>
      </c>
      <c r="Y40" s="271">
        <f t="shared" si="3"/>
        <v>73.818376520711908</v>
      </c>
      <c r="Z40" s="235"/>
      <c r="AB40" s="378">
        <f>+IF(AB39&gt;$I$13+$I$14,XX,AB39+1)</f>
        <v>2020</v>
      </c>
      <c r="AC40" s="117"/>
      <c r="AD40" s="151">
        <f t="shared" si="4"/>
        <v>220466.00000000003</v>
      </c>
      <c r="AF40" s="154">
        <f t="shared" ref="AF40:AF69" si="21">AF39*(1+$E40)</f>
        <v>101.14988775589339</v>
      </c>
      <c r="AH40" s="154">
        <f t="shared" ref="AH40:AH69" si="22">AH39*(1+$E40)</f>
        <v>20.260761973544962</v>
      </c>
      <c r="AJ40" s="154">
        <f t="shared" ref="AJ40:AJ69" si="23">AJ39*(1+$E40)</f>
        <v>2.0676516575367789</v>
      </c>
      <c r="AL40" s="153">
        <f t="shared" si="5"/>
        <v>5789.7396681561568</v>
      </c>
      <c r="AN40" s="154">
        <f>INDEX('(2.2)_Forward_Price_Curve'!$K:$K,MATCH($AB40,'(2.2)_Forward_Price_Curve'!$C:$C,0),1)</f>
        <v>2.6944208333333339</v>
      </c>
      <c r="AP40" s="154">
        <f t="shared" ref="AP40:AP69" si="24">AN40*$AF$14/1000</f>
        <v>19.577719248729689</v>
      </c>
      <c r="AR40" s="154">
        <f>AR39*(1+$E40)</f>
        <v>2.3332341256590756</v>
      </c>
      <c r="AS40" s="154"/>
      <c r="AT40" s="153">
        <f t="shared" si="7"/>
        <v>2973.6695315877755</v>
      </c>
      <c r="AV40" s="153">
        <f t="shared" si="8"/>
        <v>4830.6202466379946</v>
      </c>
      <c r="AW40" s="273"/>
      <c r="AX40" s="155">
        <f t="shared" si="9"/>
        <v>7804.2897782257696</v>
      </c>
      <c r="AZ40" s="384">
        <f>+IF(AZ39&gt;$I$13+$I$14,XX,AZ39+1)</f>
        <v>2020</v>
      </c>
      <c r="BA40" s="117"/>
      <c r="BB40" s="154">
        <f t="shared" ref="BB40:BB69" si="25">BB39*(1+$E40)</f>
        <v>52.927360199999995</v>
      </c>
      <c r="BD40" s="154">
        <f t="shared" ref="BD40:BD69" si="26">BD39*(1+$E40)</f>
        <v>16.337309999999999</v>
      </c>
      <c r="BF40" s="153">
        <f t="shared" si="10"/>
        <v>2816.0701365683813</v>
      </c>
      <c r="BH40" s="157"/>
    </row>
    <row r="41" spans="2:60" ht="12">
      <c r="B41" s="2"/>
      <c r="C41" s="354">
        <f>+IF(C40&gt;$I$13+$I$14,XX,C40+1)</f>
        <v>2021</v>
      </c>
      <c r="E41" s="356">
        <f>'(2.2)_Forward_Price_Curve'!S34</f>
        <v>2.5999999999999999E-2</v>
      </c>
      <c r="G41" s="470">
        <v>220465</v>
      </c>
      <c r="I41" s="471">
        <v>293.40629270148406</v>
      </c>
      <c r="K41" s="471">
        <v>54.419637796406619</v>
      </c>
      <c r="M41" s="28">
        <f t="shared" si="13"/>
        <v>0</v>
      </c>
      <c r="O41" s="471">
        <v>0.6399999999999999</v>
      </c>
      <c r="Q41" s="471">
        <v>-41.902367483762823</v>
      </c>
      <c r="S41" s="18">
        <f t="shared" si="0"/>
        <v>23497.839347121197</v>
      </c>
      <c r="U41" s="18">
        <f t="shared" si="1"/>
        <v>8187.0491961390871</v>
      </c>
      <c r="W41" s="18">
        <f t="shared" si="2"/>
        <v>15310.790150982109</v>
      </c>
      <c r="Y41" s="271">
        <f t="shared" si="3"/>
        <v>69.447713473712881</v>
      </c>
      <c r="Z41" s="235"/>
      <c r="AB41" s="378">
        <f>+IF(AB40&gt;$I$13+$I$14,XX,AB40+1)</f>
        <v>2021</v>
      </c>
      <c r="AC41" s="117"/>
      <c r="AD41" s="151">
        <f t="shared" si="4"/>
        <v>220465</v>
      </c>
      <c r="AF41" s="154">
        <f t="shared" si="21"/>
        <v>103.77978483754661</v>
      </c>
      <c r="AH41" s="154">
        <f t="shared" si="22"/>
        <v>20.787541784857133</v>
      </c>
      <c r="AJ41" s="154">
        <f t="shared" si="23"/>
        <v>2.1214106006327351</v>
      </c>
      <c r="AL41" s="153">
        <f t="shared" si="5"/>
        <v>5940.2707781176168</v>
      </c>
      <c r="AN41" s="154">
        <f>INDEX('(2.2)_Forward_Price_Curve'!$K:$K,MATCH($AB41,'(2.2)_Forward_Price_Curve'!$C:$C,0),1)</f>
        <v>2.8767624999999999</v>
      </c>
      <c r="AP41" s="154">
        <f t="shared" si="24"/>
        <v>20.902617688194734</v>
      </c>
      <c r="AR41" s="154">
        <f t="shared" si="19"/>
        <v>2.3938982129262119</v>
      </c>
      <c r="AS41" s="154"/>
      <c r="AT41" s="153">
        <f t="shared" si="7"/>
        <v>3050.9828179984574</v>
      </c>
      <c r="AV41" s="153">
        <f t="shared" si="8"/>
        <v>5136.0663781406301</v>
      </c>
      <c r="AW41" s="273"/>
      <c r="AX41" s="155">
        <f t="shared" si="9"/>
        <v>8187.0491961390871</v>
      </c>
      <c r="AZ41" s="384">
        <f>+IF(AZ40&gt;$I$13+$I$14,XX,AZ40+1)</f>
        <v>2021</v>
      </c>
      <c r="BA41" s="117"/>
      <c r="BB41" s="154">
        <f t="shared" si="25"/>
        <v>54.303471565199999</v>
      </c>
      <c r="BD41" s="154">
        <f t="shared" si="26"/>
        <v>16.762080059999999</v>
      </c>
      <c r="BF41" s="153">
        <f t="shared" si="10"/>
        <v>2889.2879601191594</v>
      </c>
      <c r="BH41" s="157"/>
    </row>
    <row r="42" spans="2:60" ht="12">
      <c r="B42" s="2"/>
      <c r="C42" s="354">
        <f>+IF(C41&gt;$I$13+$I$14,XX,C41+1)</f>
        <v>2022</v>
      </c>
      <c r="E42" s="356">
        <f>'(2.2)_Forward_Price_Curve'!S35</f>
        <v>2.4E-2</v>
      </c>
      <c r="G42" s="470">
        <v>220465</v>
      </c>
      <c r="I42" s="471">
        <v>298.98101226281221</v>
      </c>
      <c r="K42" s="471">
        <v>43.512284000108977</v>
      </c>
      <c r="M42" s="28">
        <f t="shared" si="13"/>
        <v>0</v>
      </c>
      <c r="O42" s="471">
        <v>0.66</v>
      </c>
      <c r="Q42" s="471">
        <v>-41.902367483762823</v>
      </c>
      <c r="S42" s="18">
        <f t="shared" si="0"/>
        <v>21488.904205625677</v>
      </c>
      <c r="U42" s="18">
        <f t="shared" si="1"/>
        <v>8486.1392746074998</v>
      </c>
      <c r="W42" s="18">
        <f t="shared" si="2"/>
        <v>13002.764931018177</v>
      </c>
      <c r="Y42" s="271">
        <f t="shared" si="3"/>
        <v>58.978817186483923</v>
      </c>
      <c r="Z42" s="235"/>
      <c r="AB42" s="378">
        <f>+IF(AB41&gt;$I$13+$I$14,XX,AB41+1)</f>
        <v>2022</v>
      </c>
      <c r="AC42" s="117"/>
      <c r="AD42" s="151">
        <f t="shared" si="4"/>
        <v>220465</v>
      </c>
      <c r="AF42" s="154">
        <f t="shared" si="21"/>
        <v>106.27049967364773</v>
      </c>
      <c r="AH42" s="154">
        <f t="shared" si="22"/>
        <v>21.286442787693705</v>
      </c>
      <c r="AJ42" s="154">
        <f t="shared" si="23"/>
        <v>2.1723244550479208</v>
      </c>
      <c r="AL42" s="153">
        <f t="shared" si="5"/>
        <v>6082.8372767924384</v>
      </c>
      <c r="AN42" s="154">
        <f>INDEX('(2.2)_Forward_Price_Curve'!$K:$K,MATCH($AB42,'(2.2)_Forward_Price_Curve'!$C:$C,0),1)</f>
        <v>3.0098541666666665</v>
      </c>
      <c r="AP42" s="154">
        <f t="shared" si="24"/>
        <v>21.869664577125601</v>
      </c>
      <c r="AR42" s="154">
        <f t="shared" si="19"/>
        <v>2.4513517700364411</v>
      </c>
      <c r="AS42" s="154"/>
      <c r="AT42" s="153">
        <f t="shared" si="7"/>
        <v>3124.2064056304193</v>
      </c>
      <c r="AV42" s="153">
        <f t="shared" si="8"/>
        <v>5361.93286897708</v>
      </c>
      <c r="AW42" s="273"/>
      <c r="AX42" s="155">
        <f t="shared" si="9"/>
        <v>8486.1392746074998</v>
      </c>
      <c r="AZ42" s="384">
        <f>+IF(AZ41&gt;$I$13+$I$14,XX,AZ41+1)</f>
        <v>2022</v>
      </c>
      <c r="BA42" s="117"/>
      <c r="BB42" s="154">
        <f t="shared" si="25"/>
        <v>55.606754882764797</v>
      </c>
      <c r="BD42" s="154">
        <f t="shared" si="26"/>
        <v>17.16436998144</v>
      </c>
      <c r="BF42" s="153">
        <f t="shared" si="10"/>
        <v>2958.630871162019</v>
      </c>
      <c r="BH42" s="157"/>
    </row>
    <row r="43" spans="2:60" ht="12">
      <c r="B43" s="2"/>
      <c r="C43" s="354">
        <f>+IF(C42&gt;$I$13+$I$14,XX,C42+1)</f>
        <v>2023</v>
      </c>
      <c r="E43" s="356">
        <f>'(2.2)_Forward_Price_Curve'!S36</f>
        <v>2.3E-2</v>
      </c>
      <c r="G43" s="470">
        <v>220465</v>
      </c>
      <c r="I43" s="471">
        <v>304.66165149580559</v>
      </c>
      <c r="K43" s="471">
        <v>44.411862072704771</v>
      </c>
      <c r="M43" s="28">
        <f t="shared" si="13"/>
        <v>0</v>
      </c>
      <c r="O43" s="471">
        <v>0.67</v>
      </c>
      <c r="Q43" s="471">
        <v>-43.513997002369095</v>
      </c>
      <c r="S43" s="18">
        <f t="shared" si="0"/>
        <v>21732.907307737107</v>
      </c>
      <c r="U43" s="18">
        <f t="shared" si="1"/>
        <v>9318.9087647236083</v>
      </c>
      <c r="W43" s="18">
        <f t="shared" si="2"/>
        <v>12413.998543013498</v>
      </c>
      <c r="Y43" s="271">
        <f t="shared" si="3"/>
        <v>56.308250937851803</v>
      </c>
      <c r="Z43" s="235"/>
      <c r="AB43" s="378">
        <f>+IF(AB42&gt;$I$13+$I$14,XX,AB42+1)</f>
        <v>2023</v>
      </c>
      <c r="AC43" s="117"/>
      <c r="AD43" s="151">
        <f t="shared" si="4"/>
        <v>220465</v>
      </c>
      <c r="AF43" s="154">
        <f t="shared" si="21"/>
        <v>108.71472116614163</v>
      </c>
      <c r="AH43" s="154">
        <f t="shared" si="22"/>
        <v>21.776030971810659</v>
      </c>
      <c r="AJ43" s="154">
        <f t="shared" si="23"/>
        <v>2.2222879175140227</v>
      </c>
      <c r="AL43" s="153">
        <f t="shared" si="5"/>
        <v>6222.742534158665</v>
      </c>
      <c r="AN43" s="154">
        <f>INDEX('(2.2)_Forward_Price_Curve'!$K:$K,MATCH($AB43,'(2.2)_Forward_Price_Curve'!$C:$C,0),1)</f>
        <v>3.4771000000000001</v>
      </c>
      <c r="AP43" s="154">
        <f t="shared" si="24"/>
        <v>25.264682768779807</v>
      </c>
      <c r="AR43" s="154">
        <f t="shared" ref="AR43:AR69" si="27">AR42*(1+$E43)</f>
        <v>2.5077328607472791</v>
      </c>
      <c r="AS43" s="154"/>
      <c r="AT43" s="153">
        <f t="shared" si="7"/>
        <v>3196.06315295992</v>
      </c>
      <c r="AV43" s="153">
        <f t="shared" si="8"/>
        <v>6122.8456117636888</v>
      </c>
      <c r="AW43" s="273"/>
      <c r="AX43" s="155">
        <f t="shared" si="9"/>
        <v>9318.9087647236083</v>
      </c>
      <c r="AZ43" s="384">
        <f>+IF(AZ42&gt;$I$13+$I$14,XX,AZ42+1)</f>
        <v>2023</v>
      </c>
      <c r="BA43" s="117"/>
      <c r="BB43" s="154">
        <f t="shared" si="25"/>
        <v>56.885710245068381</v>
      </c>
      <c r="BD43" s="154">
        <f t="shared" si="26"/>
        <v>17.559150491013117</v>
      </c>
      <c r="BF43" s="153">
        <f t="shared" si="10"/>
        <v>3026.679381198745</v>
      </c>
      <c r="BH43" s="157"/>
    </row>
    <row r="44" spans="2:60" ht="12">
      <c r="B44" s="2"/>
      <c r="C44" s="354">
        <f>+IF(C43&gt;$I$13+$I$14,XX,C43+1)</f>
        <v>2024</v>
      </c>
      <c r="E44" s="356">
        <f>'(2.2)_Forward_Price_Curve'!S37</f>
        <v>2.3E-2</v>
      </c>
      <c r="G44" s="470">
        <v>220466.00000000003</v>
      </c>
      <c r="I44" s="471">
        <v>310.45022287422591</v>
      </c>
      <c r="K44" s="471">
        <v>45.330207556241547</v>
      </c>
      <c r="M44" s="28">
        <f t="shared" si="13"/>
        <v>0</v>
      </c>
      <c r="O44" s="471">
        <v>0.69</v>
      </c>
      <c r="Q44" s="471">
        <v>-43.513997002369095</v>
      </c>
      <c r="S44" s="18">
        <f t="shared" si="0"/>
        <v>22346.139861740703</v>
      </c>
      <c r="U44" s="18">
        <f t="shared" si="1"/>
        <v>10168.76838169658</v>
      </c>
      <c r="W44" s="18">
        <f t="shared" si="2"/>
        <v>12177.371480044123</v>
      </c>
      <c r="Y44" s="271">
        <f t="shared" si="3"/>
        <v>55.234691426542511</v>
      </c>
      <c r="Z44" s="235"/>
      <c r="AB44" s="378">
        <f>+IF(AB43&gt;$I$13+$I$14,XX,AB43+1)</f>
        <v>2024</v>
      </c>
      <c r="AC44" s="117"/>
      <c r="AD44" s="151">
        <f t="shared" si="4"/>
        <v>220466.00000000003</v>
      </c>
      <c r="AF44" s="154">
        <f t="shared" si="21"/>
        <v>111.21515975296288</v>
      </c>
      <c r="AH44" s="154">
        <f t="shared" si="22"/>
        <v>22.276879684162303</v>
      </c>
      <c r="AJ44" s="154">
        <f t="shared" si="23"/>
        <v>2.2734005396168451</v>
      </c>
      <c r="AL44" s="153">
        <f t="shared" si="5"/>
        <v>6365.8678858448538</v>
      </c>
      <c r="AN44" s="154">
        <f>INDEX('(2.2)_Forward_Price_Curve'!$K:$K,MATCH($AB44,'(2.2)_Forward_Price_Curve'!$C:$C,0),1)</f>
        <v>3.9537833333333325</v>
      </c>
      <c r="AP44" s="154">
        <f t="shared" si="24"/>
        <v>28.728274036741947</v>
      </c>
      <c r="AR44" s="154">
        <f t="shared" si="27"/>
        <v>2.5654107165444664</v>
      </c>
      <c r="AS44" s="154"/>
      <c r="AT44" s="153">
        <f t="shared" si="7"/>
        <v>3269.5748788785377</v>
      </c>
      <c r="AV44" s="153">
        <f t="shared" si="8"/>
        <v>6899.1935028180433</v>
      </c>
      <c r="AW44" s="273"/>
      <c r="AX44" s="155">
        <f t="shared" si="9"/>
        <v>10168.76838169658</v>
      </c>
      <c r="AZ44" s="384">
        <f>+IF(AZ43&gt;$I$13+$I$14,XX,AZ43+1)</f>
        <v>2024</v>
      </c>
      <c r="BA44" s="117"/>
      <c r="BB44" s="154">
        <f t="shared" si="25"/>
        <v>58.194081580704946</v>
      </c>
      <c r="BD44" s="154">
        <f t="shared" si="26"/>
        <v>17.963010952306416</v>
      </c>
      <c r="BF44" s="153">
        <f t="shared" si="10"/>
        <v>3096.2930069663162</v>
      </c>
      <c r="BH44" s="157"/>
    </row>
    <row r="45" spans="2:60" ht="12">
      <c r="B45" s="2"/>
      <c r="C45" s="354">
        <f>+IF(C44&gt;$I$13+$I$14,XX,C44+1)</f>
        <v>2025</v>
      </c>
      <c r="E45" s="356">
        <f>'(2.2)_Forward_Price_Curve'!S38</f>
        <v>2.3E-2</v>
      </c>
      <c r="G45" s="470">
        <v>220465</v>
      </c>
      <c r="I45" s="471">
        <v>316.3487771088362</v>
      </c>
      <c r="K45" s="471">
        <v>46.248657049723349</v>
      </c>
      <c r="M45" s="28">
        <f t="shared" si="13"/>
        <v>0</v>
      </c>
      <c r="O45" s="471">
        <v>0.69999999999999984</v>
      </c>
      <c r="Q45" s="471">
        <v>-45.125626520975352</v>
      </c>
      <c r="S45" s="18">
        <f t="shared" si="0"/>
        <v>22609.598578560734</v>
      </c>
      <c r="U45" s="18">
        <f t="shared" si="1"/>
        <v>10505.058211561281</v>
      </c>
      <c r="W45" s="18">
        <f t="shared" si="2"/>
        <v>12104.540366999452</v>
      </c>
      <c r="Y45" s="271">
        <f t="shared" si="3"/>
        <v>54.904589694506853</v>
      </c>
      <c r="Z45" s="235"/>
      <c r="AB45" s="378">
        <f>+IF(AB44&gt;$I$13+$I$14,XX,AB44+1)</f>
        <v>2025</v>
      </c>
      <c r="AC45" s="117"/>
      <c r="AD45" s="151">
        <f t="shared" si="4"/>
        <v>220465</v>
      </c>
      <c r="AF45" s="154">
        <f t="shared" si="21"/>
        <v>113.77310842728102</v>
      </c>
      <c r="AH45" s="154">
        <f t="shared" si="22"/>
        <v>22.789247916898034</v>
      </c>
      <c r="AJ45" s="154">
        <f t="shared" si="23"/>
        <v>2.3256887520280323</v>
      </c>
      <c r="AL45" s="153">
        <f t="shared" si="5"/>
        <v>6512.2805215305325</v>
      </c>
      <c r="AN45" s="154">
        <f>INDEX('(2.2)_Forward_Price_Curve'!$K:$K,MATCH($AB45,'(2.2)_Forward_Price_Curve'!$C:$C,0),1)</f>
        <v>4.1086708333333339</v>
      </c>
      <c r="AP45" s="154">
        <f t="shared" si="24"/>
        <v>29.853689915591971</v>
      </c>
      <c r="AR45" s="154">
        <f t="shared" si="27"/>
        <v>2.624415163024989</v>
      </c>
      <c r="AS45" s="154"/>
      <c r="AT45" s="153">
        <f t="shared" si="7"/>
        <v>3344.7727754039915</v>
      </c>
      <c r="AV45" s="153">
        <f t="shared" si="8"/>
        <v>7160.285436157289</v>
      </c>
      <c r="AW45" s="273"/>
      <c r="AX45" s="155">
        <f t="shared" si="9"/>
        <v>10505.058211561281</v>
      </c>
      <c r="AZ45" s="384">
        <f>+IF(AZ44&gt;$I$13+$I$14,XX,AZ44+1)</f>
        <v>2025</v>
      </c>
      <c r="BA45" s="117"/>
      <c r="BB45" s="154">
        <f t="shared" si="25"/>
        <v>59.532545457061154</v>
      </c>
      <c r="BD45" s="154">
        <f t="shared" si="26"/>
        <v>18.376160204209462</v>
      </c>
      <c r="BF45" s="153">
        <f t="shared" si="10"/>
        <v>3167.507746126541</v>
      </c>
      <c r="BH45" s="157"/>
    </row>
    <row r="46" spans="2:60" ht="12">
      <c r="B46" s="2"/>
      <c r="C46" s="354">
        <f>+IF(C45&gt;$I$13+$I$14,XX,C45+1)</f>
        <v>2026</v>
      </c>
      <c r="E46" s="356">
        <f>'(2.2)_Forward_Price_Curve'!S39</f>
        <v>2.3E-2</v>
      </c>
      <c r="G46" s="470">
        <v>220465</v>
      </c>
      <c r="I46" s="471">
        <v>322.35940387390406</v>
      </c>
      <c r="K46" s="471">
        <v>47.185814945679397</v>
      </c>
      <c r="M46" s="28">
        <f t="shared" si="13"/>
        <v>0</v>
      </c>
      <c r="O46" s="471">
        <v>0.72</v>
      </c>
      <c r="Q46" s="471">
        <v>-46.737256039581631</v>
      </c>
      <c r="S46" s="18">
        <f t="shared" si="0"/>
        <v>22887.25649118091</v>
      </c>
      <c r="U46" s="18">
        <f t="shared" si="1"/>
        <v>10719.970400371898</v>
      </c>
      <c r="W46" s="18">
        <f t="shared" si="2"/>
        <v>12167.286090809012</v>
      </c>
      <c r="Y46" s="271">
        <f t="shared" si="3"/>
        <v>55.189195975819345</v>
      </c>
      <c r="Z46" s="235"/>
      <c r="AB46" s="378">
        <f>+IF(AB45&gt;$I$13+$I$14,XX,AB45+1)</f>
        <v>2026</v>
      </c>
      <c r="AC46" s="117"/>
      <c r="AD46" s="151">
        <f t="shared" si="4"/>
        <v>220465</v>
      </c>
      <c r="AF46" s="154">
        <f t="shared" si="21"/>
        <v>116.38988992110846</v>
      </c>
      <c r="AH46" s="154">
        <f t="shared" si="22"/>
        <v>23.313400618986687</v>
      </c>
      <c r="AJ46" s="154">
        <f t="shared" si="23"/>
        <v>2.3791795933246767</v>
      </c>
      <c r="AL46" s="153">
        <f t="shared" si="5"/>
        <v>6662.0629735257326</v>
      </c>
      <c r="AN46" s="154">
        <f>INDEX('(2.2)_Forward_Price_Curve'!$K:$K,MATCH($AB46,'(2.2)_Forward_Price_Curve'!$C:$C,0),1)</f>
        <v>4.1864999999999997</v>
      </c>
      <c r="AP46" s="154">
        <f t="shared" si="24"/>
        <v>30.419198300738156</v>
      </c>
      <c r="AR46" s="154">
        <f t="shared" si="27"/>
        <v>2.6847767117745636</v>
      </c>
      <c r="AS46" s="154"/>
      <c r="AT46" s="153">
        <f t="shared" si="7"/>
        <v>3421.7025492382818</v>
      </c>
      <c r="AV46" s="153">
        <f t="shared" si="8"/>
        <v>7298.2678511336162</v>
      </c>
      <c r="AW46" s="273"/>
      <c r="AX46" s="155">
        <f t="shared" si="9"/>
        <v>10719.970400371898</v>
      </c>
      <c r="AZ46" s="384">
        <f>+IF(AZ45&gt;$I$13+$I$14,XX,AZ45+1)</f>
        <v>2026</v>
      </c>
      <c r="BA46" s="117"/>
      <c r="BB46" s="154">
        <f t="shared" si="25"/>
        <v>60.901794002573553</v>
      </c>
      <c r="BD46" s="154">
        <f t="shared" si="26"/>
        <v>18.798811888906279</v>
      </c>
      <c r="BF46" s="153">
        <f t="shared" si="10"/>
        <v>3240.3604242874508</v>
      </c>
      <c r="BH46" s="157"/>
    </row>
    <row r="47" spans="2:60" ht="12">
      <c r="B47" s="2"/>
      <c r="C47" s="354">
        <f>+IF(C46&gt;$I$13+$I$14,XX,C46+1)</f>
        <v>2027</v>
      </c>
      <c r="E47" s="356">
        <f>'(2.2)_Forward_Price_Curve'!S40</f>
        <v>2.1999999999999999E-2</v>
      </c>
      <c r="G47" s="470">
        <v>220465</v>
      </c>
      <c r="I47" s="471">
        <v>328.48423254750821</v>
      </c>
      <c r="K47" s="471">
        <v>48.142064376722864</v>
      </c>
      <c r="M47" s="28">
        <f t="shared" si="13"/>
        <v>0</v>
      </c>
      <c r="O47" s="471">
        <v>0.74</v>
      </c>
      <c r="Q47" s="471">
        <v>-46.737256039581631</v>
      </c>
      <c r="S47" s="18">
        <f t="shared" si="0"/>
        <v>23532.448294882921</v>
      </c>
      <c r="U47" s="18">
        <f t="shared" si="1"/>
        <v>11242.085103530706</v>
      </c>
      <c r="W47" s="18">
        <f t="shared" si="2"/>
        <v>12290.363191352215</v>
      </c>
      <c r="Y47" s="271">
        <f t="shared" si="3"/>
        <v>55.747457380319844</v>
      </c>
      <c r="Z47" s="235"/>
      <c r="AB47" s="378">
        <f>+IF(AB46&gt;$I$13+$I$14,XX,AB46+1)</f>
        <v>2027</v>
      </c>
      <c r="AC47" s="117"/>
      <c r="AD47" s="151">
        <f t="shared" si="4"/>
        <v>220465</v>
      </c>
      <c r="AF47" s="154">
        <f t="shared" si="21"/>
        <v>118.95046749937285</v>
      </c>
      <c r="AH47" s="154">
        <f t="shared" si="22"/>
        <v>23.826295432604393</v>
      </c>
      <c r="AJ47" s="154">
        <f t="shared" si="23"/>
        <v>2.4315215443778198</v>
      </c>
      <c r="AL47" s="153">
        <f t="shared" si="5"/>
        <v>6808.6283589433006</v>
      </c>
      <c r="AN47" s="154">
        <f>INDEX('(2.2)_Forward_Price_Curve'!$K:$K,MATCH($AB47,'(2.2)_Forward_Price_Curve'!$C:$C,0),1)</f>
        <v>4.4573125000000005</v>
      </c>
      <c r="AP47" s="154">
        <f t="shared" si="24"/>
        <v>32.386927702343002</v>
      </c>
      <c r="AR47" s="154">
        <f t="shared" si="27"/>
        <v>2.743841799433604</v>
      </c>
      <c r="AS47" s="154"/>
      <c r="AT47" s="153">
        <f t="shared" si="7"/>
        <v>3496.9800053215258</v>
      </c>
      <c r="AV47" s="153">
        <f t="shared" si="8"/>
        <v>7745.1050982091792</v>
      </c>
      <c r="AW47" s="273"/>
      <c r="AX47" s="155">
        <f t="shared" si="9"/>
        <v>11242.085103530706</v>
      </c>
      <c r="AZ47" s="384">
        <f>+IF(AZ46&gt;$I$13+$I$14,XX,AZ46+1)</f>
        <v>2027</v>
      </c>
      <c r="BA47" s="117"/>
      <c r="BB47" s="154">
        <f t="shared" si="25"/>
        <v>62.24163347063017</v>
      </c>
      <c r="BD47" s="154">
        <f t="shared" si="26"/>
        <v>19.212385750462218</v>
      </c>
      <c r="BF47" s="153">
        <f t="shared" si="10"/>
        <v>3311.6483536217747</v>
      </c>
      <c r="BH47" s="157"/>
    </row>
    <row r="48" spans="2:60" ht="12">
      <c r="B48" s="2"/>
      <c r="C48" s="354">
        <f>+IF(C47&gt;$I$13+$I$14,XX,C47+1)</f>
        <v>2028</v>
      </c>
      <c r="E48" s="356">
        <f>'(2.2)_Forward_Price_Curve'!S41</f>
        <v>2.1999999999999999E-2</v>
      </c>
      <c r="G48" s="470">
        <v>220466.00000000003</v>
      </c>
      <c r="I48" s="471">
        <v>334.72543296591084</v>
      </c>
      <c r="K48" s="471">
        <v>49.117796363791818</v>
      </c>
      <c r="M48" s="28">
        <f t="shared" si="13"/>
        <v>0</v>
      </c>
      <c r="O48" s="471">
        <v>0.75000000000000011</v>
      </c>
      <c r="Q48" s="471">
        <v>-48.348885558187895</v>
      </c>
      <c r="S48" s="18">
        <f t="shared" si="0"/>
        <v>23832.593583875219</v>
      </c>
      <c r="U48" s="18">
        <f t="shared" si="1"/>
        <v>11582.729890304132</v>
      </c>
      <c r="W48" s="18">
        <f t="shared" si="2"/>
        <v>12249.863693571087</v>
      </c>
      <c r="Y48" s="271">
        <f t="shared" si="3"/>
        <v>55.563505001093525</v>
      </c>
      <c r="Z48" s="235"/>
      <c r="AB48" s="378">
        <f>+IF(AB47&gt;$I$13+$I$14,XX,AB47+1)</f>
        <v>2028</v>
      </c>
      <c r="AC48" s="117"/>
      <c r="AD48" s="151">
        <f t="shared" si="4"/>
        <v>220466.00000000003</v>
      </c>
      <c r="AF48" s="154">
        <f t="shared" si="21"/>
        <v>121.56737778435905</v>
      </c>
      <c r="AH48" s="154">
        <f t="shared" si="22"/>
        <v>24.350473932121691</v>
      </c>
      <c r="AJ48" s="154">
        <f t="shared" si="23"/>
        <v>2.4850150183541317</v>
      </c>
      <c r="AL48" s="153">
        <f t="shared" si="5"/>
        <v>6958.4206678550709</v>
      </c>
      <c r="AN48" s="154">
        <f>INDEX('(2.2)_Forward_Price_Curve'!$K:$K,MATCH($AB48,'(2.2)_Forward_Price_Curve'!$C:$C,0),1)</f>
        <v>4.6136041666666676</v>
      </c>
      <c r="AP48" s="154">
        <f t="shared" si="24"/>
        <v>33.522546286144795</v>
      </c>
      <c r="AR48" s="154">
        <f t="shared" si="27"/>
        <v>2.8042063190211435</v>
      </c>
      <c r="AS48" s="154"/>
      <c r="AT48" s="153">
        <f t="shared" si="7"/>
        <v>3573.9160504536171</v>
      </c>
      <c r="AV48" s="153">
        <f t="shared" si="8"/>
        <v>8008.8138398505143</v>
      </c>
      <c r="AW48" s="273"/>
      <c r="AX48" s="155">
        <f t="shared" si="9"/>
        <v>11582.729890304132</v>
      </c>
      <c r="AZ48" s="384">
        <f>+IF(AZ47&gt;$I$13+$I$14,XX,AZ47+1)</f>
        <v>2028</v>
      </c>
      <c r="BA48" s="117"/>
      <c r="BB48" s="154">
        <f t="shared" si="25"/>
        <v>63.610949406984034</v>
      </c>
      <c r="BD48" s="154">
        <f t="shared" si="26"/>
        <v>19.635058236972387</v>
      </c>
      <c r="BF48" s="153">
        <f t="shared" si="10"/>
        <v>3384.5046174014537</v>
      </c>
      <c r="BH48" s="157"/>
    </row>
    <row r="49" spans="2:60" ht="12">
      <c r="B49" s="2"/>
      <c r="C49" s="354">
        <f>+IF(C48&gt;$I$13+$I$14,XX,C48+1)</f>
        <v>2029</v>
      </c>
      <c r="E49" s="356">
        <f>'(2.2)_Forward_Price_Curve'!S42</f>
        <v>2.1999999999999999E-2</v>
      </c>
      <c r="G49" s="470">
        <v>220465</v>
      </c>
      <c r="I49" s="471">
        <v>341.08521619226309</v>
      </c>
      <c r="K49" s="471">
        <v>50.092618151182037</v>
      </c>
      <c r="M49" s="28">
        <f t="shared" si="13"/>
        <v>0</v>
      </c>
      <c r="O49" s="471">
        <v>0.76999999999999991</v>
      </c>
      <c r="Q49" s="471">
        <v>-48.348885558187895</v>
      </c>
      <c r="S49" s="18">
        <f t="shared" si="0"/>
        <v>24498.372232811325</v>
      </c>
      <c r="U49" s="18">
        <f t="shared" si="1"/>
        <v>11900.08576822167</v>
      </c>
      <c r="W49" s="18">
        <f t="shared" si="2"/>
        <v>12598.286464589655</v>
      </c>
      <c r="Y49" s="271">
        <f t="shared" si="3"/>
        <v>57.144156508242375</v>
      </c>
      <c r="Z49" s="235"/>
      <c r="AB49" s="378">
        <f>+IF(AB48&gt;$I$13+$I$14,XX,AB48+1)</f>
        <v>2029</v>
      </c>
      <c r="AC49" s="117"/>
      <c r="AD49" s="151">
        <f t="shared" si="4"/>
        <v>220465</v>
      </c>
      <c r="AF49" s="154">
        <f t="shared" si="21"/>
        <v>124.24186009561495</v>
      </c>
      <c r="AH49" s="154">
        <f t="shared" si="22"/>
        <v>24.88618435862837</v>
      </c>
      <c r="AJ49" s="154">
        <f t="shared" si="23"/>
        <v>2.5396853487579225</v>
      </c>
      <c r="AL49" s="153">
        <f t="shared" si="5"/>
        <v>7111.5033828625337</v>
      </c>
      <c r="AN49" s="154">
        <f>INDEX('(2.2)_Forward_Price_Curve'!$K:$K,MATCH($AB49,'(2.2)_Forward_Price_Curve'!$C:$C,0),1)</f>
        <v>4.7541666666666673</v>
      </c>
      <c r="AP49" s="154">
        <f t="shared" si="24"/>
        <v>34.543876409433338</v>
      </c>
      <c r="AR49" s="154">
        <f t="shared" si="27"/>
        <v>2.8658988580396088</v>
      </c>
      <c r="AS49" s="154"/>
      <c r="AT49" s="153">
        <f t="shared" si="7"/>
        <v>3652.5396638782477</v>
      </c>
      <c r="AV49" s="153">
        <f t="shared" si="8"/>
        <v>8247.5461043434225</v>
      </c>
      <c r="AW49" s="273"/>
      <c r="AX49" s="155">
        <f t="shared" si="9"/>
        <v>11900.08576822167</v>
      </c>
      <c r="AZ49" s="384">
        <f>+IF(AZ48&gt;$I$13+$I$14,XX,AZ48+1)</f>
        <v>2029</v>
      </c>
      <c r="BA49" s="117"/>
      <c r="BB49" s="154">
        <f t="shared" si="25"/>
        <v>65.010390293937689</v>
      </c>
      <c r="BD49" s="154">
        <f t="shared" si="26"/>
        <v>20.06702951818578</v>
      </c>
      <c r="BF49" s="153">
        <f t="shared" si="10"/>
        <v>3458.9637189842861</v>
      </c>
      <c r="BH49" s="157"/>
    </row>
    <row r="50" spans="2:60" ht="12">
      <c r="B50" s="2"/>
      <c r="C50" s="354">
        <f>+IF(C49&gt;$I$13+$I$14,XX,C49+1)</f>
        <v>2030</v>
      </c>
      <c r="E50" s="356">
        <f>'(2.2)_Forward_Price_Curve'!S43</f>
        <v>2.1999999999999999E-2</v>
      </c>
      <c r="G50" s="470">
        <v>220465</v>
      </c>
      <c r="I50" s="471">
        <v>347.8319422602209</v>
      </c>
      <c r="K50" s="471">
        <v>51.136927427469899</v>
      </c>
      <c r="M50" s="28">
        <f t="shared" si="13"/>
        <v>0</v>
      </c>
      <c r="O50" s="471">
        <v>0.78</v>
      </c>
      <c r="Q50" s="471">
        <v>0</v>
      </c>
      <c r="S50" s="18">
        <f t="shared" si="0"/>
        <v>35863.667751964662</v>
      </c>
      <c r="U50" s="18">
        <f t="shared" si="1"/>
        <v>12472.289810437822</v>
      </c>
      <c r="W50" s="18">
        <f t="shared" si="2"/>
        <v>23391.37794152684</v>
      </c>
      <c r="Y50" s="271">
        <f t="shared" si="3"/>
        <v>106.10018797326941</v>
      </c>
      <c r="Z50" s="235"/>
      <c r="AB50" s="378">
        <f>+IF(AB49&gt;$I$13+$I$14,XX,AB49+1)</f>
        <v>2030</v>
      </c>
      <c r="AC50" s="117"/>
      <c r="AD50" s="151">
        <f t="shared" si="4"/>
        <v>220465</v>
      </c>
      <c r="AF50" s="154">
        <f t="shared" si="21"/>
        <v>126.97518101771848</v>
      </c>
      <c r="AH50" s="154">
        <f t="shared" si="22"/>
        <v>25.433680414518193</v>
      </c>
      <c r="AJ50" s="154">
        <f t="shared" si="23"/>
        <v>2.5955584264305966</v>
      </c>
      <c r="AL50" s="153">
        <f t="shared" si="5"/>
        <v>7267.9564572855106</v>
      </c>
      <c r="AN50" s="154">
        <f>INDEX('(2.2)_Forward_Price_Curve'!$K:$K,MATCH($AB50,'(2.2)_Forward_Price_Curve'!$C:$C,0),1)</f>
        <v>5.052529166666667</v>
      </c>
      <c r="AP50" s="154">
        <f t="shared" si="24"/>
        <v>36.711784698697393</v>
      </c>
      <c r="AR50" s="154">
        <f t="shared" si="27"/>
        <v>2.9289486329164802</v>
      </c>
      <c r="AS50" s="154"/>
      <c r="AT50" s="153">
        <f t="shared" si="7"/>
        <v>3732.8955364835701</v>
      </c>
      <c r="AV50" s="153">
        <f t="shared" si="8"/>
        <v>8739.3942739542526</v>
      </c>
      <c r="AW50" s="273"/>
      <c r="AX50" s="155">
        <f t="shared" si="9"/>
        <v>12472.289810437822</v>
      </c>
      <c r="AZ50" s="384">
        <f>+IF(AZ49&gt;$I$13+$I$14,XX,AZ49+1)</f>
        <v>2030</v>
      </c>
      <c r="BA50" s="117"/>
      <c r="BB50" s="154">
        <f t="shared" si="25"/>
        <v>66.440618880404315</v>
      </c>
      <c r="BD50" s="154">
        <f t="shared" si="26"/>
        <v>20.508504167585869</v>
      </c>
      <c r="BF50" s="153">
        <f t="shared" si="10"/>
        <v>3535.0609208019405</v>
      </c>
      <c r="BH50" s="157"/>
    </row>
    <row r="51" spans="2:60" ht="12">
      <c r="B51" s="2"/>
      <c r="C51" s="354">
        <f>+IF(C50&gt;$I$13+$I$14,XX,C50+1)</f>
        <v>2031</v>
      </c>
      <c r="E51" s="356">
        <f>'(2.2)_Forward_Price_Curve'!S44</f>
        <v>2.1999999999999999E-2</v>
      </c>
      <c r="G51" s="470">
        <v>220465</v>
      </c>
      <c r="I51" s="471">
        <v>354.71217826267599</v>
      </c>
      <c r="K51" s="471">
        <v>52.203056941375337</v>
      </c>
      <c r="M51" s="28">
        <f t="shared" si="13"/>
        <v>0</v>
      </c>
      <c r="O51" s="471">
        <v>0.8</v>
      </c>
      <c r="Q51" s="471">
        <v>0</v>
      </c>
      <c r="S51" s="18">
        <f t="shared" si="0"/>
        <v>36586.113862620172</v>
      </c>
      <c r="U51" s="18">
        <f t="shared" si="1"/>
        <v>12788.64101775018</v>
      </c>
      <c r="W51" s="18">
        <f t="shared" si="2"/>
        <v>23797.47284486999</v>
      </c>
      <c r="Y51" s="271">
        <f t="shared" si="3"/>
        <v>107.94218059496967</v>
      </c>
      <c r="Z51" s="235"/>
      <c r="AB51" s="378">
        <f>+IF(AB50&gt;$I$13+$I$14,XX,AB50+1)</f>
        <v>2031</v>
      </c>
      <c r="AC51" s="117"/>
      <c r="AD51" s="151">
        <f t="shared" si="4"/>
        <v>220465</v>
      </c>
      <c r="AF51" s="154">
        <f t="shared" si="21"/>
        <v>129.7686350001083</v>
      </c>
      <c r="AH51" s="154">
        <f t="shared" si="22"/>
        <v>25.993221383637593</v>
      </c>
      <c r="AJ51" s="154">
        <f t="shared" si="23"/>
        <v>2.6526607118120697</v>
      </c>
      <c r="AL51" s="153">
        <f t="shared" si="5"/>
        <v>7427.8514993457911</v>
      </c>
      <c r="AN51" s="154">
        <f>INDEX('(2.2)_Forward_Price_Curve'!$K:$K,MATCH($AB51,'(2.2)_Forward_Price_Curve'!$C:$C,0),1)</f>
        <v>5.1898791666666666</v>
      </c>
      <c r="AP51" s="154">
        <f t="shared" si="24"/>
        <v>37.709772728461253</v>
      </c>
      <c r="AR51" s="154">
        <f t="shared" si="27"/>
        <v>2.9933855028406429</v>
      </c>
      <c r="AS51" s="154"/>
      <c r="AT51" s="153">
        <f t="shared" si="7"/>
        <v>3815.0192382862078</v>
      </c>
      <c r="AV51" s="153">
        <f t="shared" si="8"/>
        <v>8973.6217794639724</v>
      </c>
      <c r="AW51" s="273"/>
      <c r="AX51" s="155">
        <f t="shared" si="9"/>
        <v>12788.64101775018</v>
      </c>
      <c r="AZ51" s="384">
        <f>+IF(AZ50&gt;$I$13+$I$14,XX,AZ50+1)</f>
        <v>2031</v>
      </c>
      <c r="BA51" s="117"/>
      <c r="BB51" s="154">
        <f t="shared" si="25"/>
        <v>67.902312495773216</v>
      </c>
      <c r="BD51" s="154">
        <f t="shared" si="26"/>
        <v>20.959691259272759</v>
      </c>
      <c r="BF51" s="153">
        <f t="shared" si="10"/>
        <v>3612.8322610595833</v>
      </c>
      <c r="BH51" s="157"/>
    </row>
    <row r="52" spans="2:60" ht="12">
      <c r="B52" s="2"/>
      <c r="C52" s="354">
        <f>+IF(C51&gt;$I$13+$I$14,XX,C51+1)</f>
        <v>2032</v>
      </c>
      <c r="E52" s="356">
        <f>'(2.2)_Forward_Price_Curve'!S45</f>
        <v>2.1999999999999999E-2</v>
      </c>
      <c r="G52" s="470">
        <v>220466.00000000003</v>
      </c>
      <c r="I52" s="471">
        <v>362.00542501266904</v>
      </c>
      <c r="K52" s="471">
        <v>53.321493920441142</v>
      </c>
      <c r="M52" s="28">
        <f t="shared" si="13"/>
        <v>0</v>
      </c>
      <c r="O52" s="471">
        <v>0.82</v>
      </c>
      <c r="Q52" s="471">
        <v>0</v>
      </c>
      <c r="S52" s="18">
        <f t="shared" si="0"/>
        <v>37349.139434553341</v>
      </c>
      <c r="U52" s="18">
        <f t="shared" si="1"/>
        <v>13115.899720507103</v>
      </c>
      <c r="W52" s="18">
        <f t="shared" si="2"/>
        <v>24233.239714046238</v>
      </c>
      <c r="Y52" s="271">
        <f t="shared" si="3"/>
        <v>109.91826274367131</v>
      </c>
      <c r="Z52" s="235"/>
      <c r="AB52" s="378">
        <f>+IF(AB51&gt;$I$13+$I$14,XX,AB51+1)</f>
        <v>2032</v>
      </c>
      <c r="AC52" s="117"/>
      <c r="AD52" s="151">
        <f t="shared" si="4"/>
        <v>220466.00000000003</v>
      </c>
      <c r="AF52" s="154">
        <f t="shared" si="21"/>
        <v>132.62354497011069</v>
      </c>
      <c r="AH52" s="154">
        <f t="shared" si="22"/>
        <v>26.56507225407762</v>
      </c>
      <c r="AJ52" s="154">
        <f t="shared" si="23"/>
        <v>2.7110192474719352</v>
      </c>
      <c r="AL52" s="153">
        <f t="shared" si="5"/>
        <v>7591.2669433506462</v>
      </c>
      <c r="AN52" s="154">
        <f>INDEX('(2.2)_Forward_Price_Curve'!$K:$K,MATCH($AB52,'(2.2)_Forward_Price_Curve'!$C:$C,0),1)</f>
        <v>5.3326874999999996</v>
      </c>
      <c r="AP52" s="154">
        <f t="shared" si="24"/>
        <v>38.747421124654863</v>
      </c>
      <c r="AR52" s="154">
        <f t="shared" si="27"/>
        <v>3.059239983903137</v>
      </c>
      <c r="AS52" s="154"/>
      <c r="AT52" s="153">
        <f t="shared" si="7"/>
        <v>3898.952372547752</v>
      </c>
      <c r="AV52" s="153">
        <f t="shared" si="8"/>
        <v>9216.9473479593507</v>
      </c>
      <c r="AW52" s="273"/>
      <c r="AX52" s="155">
        <f t="shared" si="9"/>
        <v>13115.899720507103</v>
      </c>
      <c r="AZ52" s="384">
        <f>+IF(AZ51&gt;$I$13+$I$14,XX,AZ51+1)</f>
        <v>2032</v>
      </c>
      <c r="BA52" s="117"/>
      <c r="BB52" s="154">
        <f t="shared" si="25"/>
        <v>69.396163370680227</v>
      </c>
      <c r="BD52" s="154">
        <f t="shared" si="26"/>
        <v>21.420804466976762</v>
      </c>
      <c r="BF52" s="153">
        <f t="shared" si="10"/>
        <v>3692.3145708028942</v>
      </c>
      <c r="BH52" s="157"/>
    </row>
    <row r="53" spans="2:60" ht="12">
      <c r="B53" s="2"/>
      <c r="C53" s="354">
        <f>+IF(C52&gt;$I$13+$I$14,XX,C52+1)</f>
        <v>2033</v>
      </c>
      <c r="E53" s="356">
        <f>'(2.2)_Forward_Price_Curve'!S46</f>
        <v>2.1999999999999999E-2</v>
      </c>
      <c r="G53" s="470">
        <v>220465</v>
      </c>
      <c r="I53" s="471">
        <v>80.841073111823164</v>
      </c>
      <c r="K53" s="471">
        <v>23.159117389113675</v>
      </c>
      <c r="M53" s="28">
        <f t="shared" si="13"/>
        <v>0</v>
      </c>
      <c r="O53" s="471">
        <v>0.84000000000000008</v>
      </c>
      <c r="Q53" s="471">
        <v>0</v>
      </c>
      <c r="S53" s="18">
        <f t="shared" si="0"/>
        <v>10966.008747640934</v>
      </c>
      <c r="U53" s="18">
        <f t="shared" si="1"/>
        <v>13511.467297283358</v>
      </c>
      <c r="W53" s="18">
        <f t="shared" si="2"/>
        <v>-2545.4585496424243</v>
      </c>
      <c r="Y53" s="271">
        <f t="shared" si="3"/>
        <v>-11.54586238016204</v>
      </c>
      <c r="Z53" s="235"/>
      <c r="AB53" s="378">
        <f>+IF(AB52&gt;$I$13+$I$14,XX,AB52+1)</f>
        <v>2033</v>
      </c>
      <c r="AC53" s="117"/>
      <c r="AD53" s="151">
        <f t="shared" si="4"/>
        <v>220465</v>
      </c>
      <c r="AF53" s="154">
        <f t="shared" si="21"/>
        <v>135.54126295945312</v>
      </c>
      <c r="AH53" s="154">
        <f t="shared" si="22"/>
        <v>27.149503843667329</v>
      </c>
      <c r="AJ53" s="154">
        <f t="shared" si="23"/>
        <v>2.7706616709163177</v>
      </c>
      <c r="AL53" s="153">
        <f t="shared" si="5"/>
        <v>7758.272045442689</v>
      </c>
      <c r="AN53" s="154">
        <f>INDEX('(2.2)_Forward_Price_Curve'!$K:$K,MATCH($AB53,'(2.2)_Forward_Price_Curve'!$C:$C,0),1)</f>
        <v>5.5168416666666671</v>
      </c>
      <c r="AP53" s="154">
        <f t="shared" si="24"/>
        <v>40.085489227781714</v>
      </c>
      <c r="AR53" s="154">
        <f t="shared" si="27"/>
        <v>3.126543263549006</v>
      </c>
      <c r="AS53" s="154"/>
      <c r="AT53" s="153">
        <f t="shared" si="7"/>
        <v>3984.7265540821309</v>
      </c>
      <c r="AV53" s="153">
        <f t="shared" si="8"/>
        <v>9526.740743201226</v>
      </c>
      <c r="AW53" s="273"/>
      <c r="AX53" s="155">
        <f t="shared" si="9"/>
        <v>13511.467297283358</v>
      </c>
      <c r="AZ53" s="384">
        <f>+IF(AZ52&gt;$I$13+$I$14,XX,AZ52+1)</f>
        <v>2033</v>
      </c>
      <c r="BA53" s="117"/>
      <c r="BB53" s="154">
        <f t="shared" si="25"/>
        <v>70.922878964835192</v>
      </c>
      <c r="BD53" s="154">
        <f t="shared" si="26"/>
        <v>21.892062165250252</v>
      </c>
      <c r="BF53" s="153">
        <f t="shared" si="10"/>
        <v>3773.5454913605581</v>
      </c>
      <c r="BH53" s="157"/>
    </row>
    <row r="54" spans="2:60" ht="12">
      <c r="B54" s="2"/>
      <c r="C54" s="354">
        <f>+IF(C53&gt;$I$13+$I$14,XX,C53+1)</f>
        <v>2034</v>
      </c>
      <c r="E54" s="356">
        <f>'(2.2)_Forward_Price_Curve'!S47</f>
        <v>2.1999999999999999E-2</v>
      </c>
      <c r="G54" s="470">
        <v>220465</v>
      </c>
      <c r="I54" s="471">
        <v>82.377053500947795</v>
      </c>
      <c r="K54" s="471">
        <v>23.66861797167417</v>
      </c>
      <c r="M54" s="28">
        <f t="shared" si="13"/>
        <v>0</v>
      </c>
      <c r="O54" s="471">
        <v>0.85999999999999988</v>
      </c>
      <c r="Q54" s="471">
        <v>0</v>
      </c>
      <c r="S54" s="18">
        <f t="shared" si="0"/>
        <v>11190.570916891682</v>
      </c>
      <c r="U54" s="18">
        <f t="shared" si="1"/>
        <v>13888.948746675405</v>
      </c>
      <c r="W54" s="18">
        <f t="shared" si="2"/>
        <v>-2698.3778297837234</v>
      </c>
      <c r="Y54" s="271">
        <f t="shared" si="3"/>
        <v>-12.239483953388172</v>
      </c>
      <c r="Z54" s="235"/>
      <c r="AB54" s="378">
        <f>+IF(AB53&gt;$I$13+$I$14,XX,AB53+1)</f>
        <v>2034</v>
      </c>
      <c r="AC54" s="117"/>
      <c r="AD54" s="151">
        <f t="shared" si="4"/>
        <v>220465</v>
      </c>
      <c r="AF54" s="154">
        <f t="shared" si="21"/>
        <v>138.5231707445611</v>
      </c>
      <c r="AH54" s="154">
        <f t="shared" si="22"/>
        <v>27.746792928228011</v>
      </c>
      <c r="AJ54" s="154">
        <f t="shared" si="23"/>
        <v>2.8316162276764767</v>
      </c>
      <c r="AL54" s="153">
        <f t="shared" si="5"/>
        <v>7928.954030442429</v>
      </c>
      <c r="AN54" s="154">
        <f>INDEX('(2.2)_Forward_Price_Curve'!$K:$K,MATCH($AB54,'(2.2)_Forward_Price_Curve'!$C:$C,0),1)</f>
        <v>5.688295833333334</v>
      </c>
      <c r="AP54" s="154">
        <f t="shared" si="24"/>
        <v>41.331278860009391</v>
      </c>
      <c r="AR54" s="154">
        <f t="shared" si="27"/>
        <v>3.1953272153470844</v>
      </c>
      <c r="AS54" s="154"/>
      <c r="AT54" s="153">
        <f t="shared" si="7"/>
        <v>4072.390538271939</v>
      </c>
      <c r="AV54" s="153">
        <f t="shared" si="8"/>
        <v>9816.5582084034668</v>
      </c>
      <c r="AW54" s="273"/>
      <c r="AX54" s="155">
        <f t="shared" si="9"/>
        <v>13888.948746675405</v>
      </c>
      <c r="AZ54" s="384">
        <f>+IF(AZ53&gt;$I$13+$I$14,XX,AZ53+1)</f>
        <v>2034</v>
      </c>
      <c r="BA54" s="117"/>
      <c r="BB54" s="154">
        <f t="shared" si="25"/>
        <v>72.483182302061564</v>
      </c>
      <c r="BD54" s="154">
        <f t="shared" si="26"/>
        <v>22.373687532885757</v>
      </c>
      <c r="BF54" s="153">
        <f t="shared" si="10"/>
        <v>3856.56349217049</v>
      </c>
      <c r="BH54" s="157"/>
    </row>
    <row r="55" spans="2:60" ht="12">
      <c r="B55" s="2"/>
      <c r="C55" s="354">
        <f>+IF(C54&gt;$I$13+$I$14,XX,C54+1)</f>
        <v>2035</v>
      </c>
      <c r="E55" s="356">
        <f>'(2.2)_Forward_Price_Curve'!S48</f>
        <v>2.1999999999999999E-2</v>
      </c>
      <c r="G55" s="470">
        <v>220465</v>
      </c>
      <c r="I55" s="471">
        <v>83.942217517465807</v>
      </c>
      <c r="K55" s="471">
        <v>24.189327567051002</v>
      </c>
      <c r="M55" s="28">
        <f t="shared" si="13"/>
        <v>0</v>
      </c>
      <c r="O55" s="471">
        <v>0.86999999999999988</v>
      </c>
      <c r="Q55" s="471">
        <v>0</v>
      </c>
      <c r="S55" s="18">
        <f t="shared" si="0"/>
        <v>11417.448321796001</v>
      </c>
      <c r="U55" s="18">
        <f t="shared" si="1"/>
        <v>14246.666250057075</v>
      </c>
      <c r="W55" s="18">
        <f t="shared" si="2"/>
        <v>-2829.2179282610741</v>
      </c>
      <c r="Y55" s="271">
        <f t="shared" si="3"/>
        <v>-12.832957286921163</v>
      </c>
      <c r="Z55" s="235"/>
      <c r="AB55" s="378">
        <f>+IF(AB54&gt;$I$13+$I$14,XX,AB54+1)</f>
        <v>2035</v>
      </c>
      <c r="AC55" s="117"/>
      <c r="AD55" s="151">
        <f t="shared" si="4"/>
        <v>220465</v>
      </c>
      <c r="AF55" s="154">
        <f t="shared" si="21"/>
        <v>141.57068050094145</v>
      </c>
      <c r="AH55" s="154">
        <f t="shared" si="22"/>
        <v>28.357222372649026</v>
      </c>
      <c r="AJ55" s="154">
        <f t="shared" si="23"/>
        <v>2.893911784685359</v>
      </c>
      <c r="AL55" s="153">
        <f t="shared" si="5"/>
        <v>8103.3910191121631</v>
      </c>
      <c r="AN55" s="154">
        <f>INDEX('(2.2)_Forward_Price_Curve'!$K:$K,MATCH($AB55,'(2.2)_Forward_Price_Curve'!$C:$C,0),1)</f>
        <v>5.846000000000001</v>
      </c>
      <c r="AP55" s="154">
        <f t="shared" si="24"/>
        <v>42.477160698940715</v>
      </c>
      <c r="AR55" s="154">
        <f t="shared" si="27"/>
        <v>3.2656244140847202</v>
      </c>
      <c r="AS55" s="154"/>
      <c r="AT55" s="153">
        <f t="shared" si="7"/>
        <v>4161.983130113922</v>
      </c>
      <c r="AV55" s="153">
        <f t="shared" si="8"/>
        <v>10084.683119943153</v>
      </c>
      <c r="AW55" s="273"/>
      <c r="AX55" s="155">
        <f t="shared" si="9"/>
        <v>14246.666250057075</v>
      </c>
      <c r="AZ55" s="384">
        <f>+IF(AZ54&gt;$I$13+$I$14,XX,AZ54+1)</f>
        <v>2035</v>
      </c>
      <c r="BA55" s="117"/>
      <c r="BB55" s="154">
        <f t="shared" si="25"/>
        <v>74.077812312706925</v>
      </c>
      <c r="BD55" s="154">
        <f t="shared" si="26"/>
        <v>22.865908658609243</v>
      </c>
      <c r="BF55" s="153">
        <f t="shared" si="10"/>
        <v>3941.4078889982411</v>
      </c>
      <c r="BH55" s="157"/>
    </row>
    <row r="56" spans="2:60" ht="12">
      <c r="B56" s="2"/>
      <c r="C56" s="354">
        <f>+IF(C55&gt;$I$13+$I$14,XX,C55+1)</f>
        <v>2036</v>
      </c>
      <c r="E56" s="356">
        <f>'(2.2)_Forward_Price_Curve'!S49</f>
        <v>2.1999999999999999E-2</v>
      </c>
      <c r="G56" s="470">
        <v>220466.00000000003</v>
      </c>
      <c r="I56" s="471">
        <v>85.537119650297655</v>
      </c>
      <c r="K56" s="471">
        <v>24.721492773526126</v>
      </c>
      <c r="M56" s="28">
        <f t="shared" si="13"/>
        <v>0</v>
      </c>
      <c r="O56" s="471">
        <v>0.89000000000000024</v>
      </c>
      <c r="Q56" s="471">
        <v>0</v>
      </c>
      <c r="S56" s="18">
        <f t="shared" si="0"/>
        <v>11651.169165259107</v>
      </c>
      <c r="U56" s="18">
        <f t="shared" si="1"/>
        <v>14715.755686453318</v>
      </c>
      <c r="W56" s="18">
        <f t="shared" si="2"/>
        <v>-3064.5865211942109</v>
      </c>
      <c r="Y56" s="271">
        <f t="shared" si="3"/>
        <v>-13.900494957019269</v>
      </c>
      <c r="Z56" s="235"/>
      <c r="AB56" s="378">
        <f>+IF(AB55&gt;$I$13+$I$14,XX,AB55+1)</f>
        <v>2036</v>
      </c>
      <c r="AC56" s="117"/>
      <c r="AD56" s="151">
        <f t="shared" si="4"/>
        <v>220466.00000000003</v>
      </c>
      <c r="AF56" s="154">
        <f t="shared" si="21"/>
        <v>144.68523547196216</v>
      </c>
      <c r="AH56" s="154">
        <f t="shared" si="22"/>
        <v>28.981081264847305</v>
      </c>
      <c r="AJ56" s="154">
        <f t="shared" si="23"/>
        <v>2.957577843948437</v>
      </c>
      <c r="AL56" s="153">
        <f t="shared" si="5"/>
        <v>8281.6685791104737</v>
      </c>
      <c r="AN56" s="154">
        <f>INDEX('(2.2)_Forward_Price_Curve'!$K:$K,MATCH($AB56,'(2.2)_Forward_Price_Curve'!$C:$C,0),1)</f>
        <v>6.0717541666666675</v>
      </c>
      <c r="AP56" s="154">
        <f t="shared" si="24"/>
        <v>44.117495289422315</v>
      </c>
      <c r="AR56" s="154">
        <f t="shared" si="27"/>
        <v>3.3374681511945838</v>
      </c>
      <c r="AS56" s="154"/>
      <c r="AT56" s="153">
        <f t="shared" si="7"/>
        <v>4253.5497165542711</v>
      </c>
      <c r="AV56" s="153">
        <f t="shared" si="8"/>
        <v>10462.205969899047</v>
      </c>
      <c r="AW56" s="273"/>
      <c r="AX56" s="155">
        <f t="shared" si="9"/>
        <v>14715.755686453318</v>
      </c>
      <c r="AZ56" s="384">
        <f>+IF(AZ55&gt;$I$13+$I$14,XX,AZ55+1)</f>
        <v>2036</v>
      </c>
      <c r="BA56" s="117"/>
      <c r="BB56" s="154">
        <f t="shared" si="25"/>
        <v>75.707524183586486</v>
      </c>
      <c r="BD56" s="154">
        <f t="shared" si="26"/>
        <v>23.368958649098648</v>
      </c>
      <c r="BF56" s="153">
        <f t="shared" si="10"/>
        <v>4028.1188625562027</v>
      </c>
      <c r="BH56" s="157"/>
    </row>
    <row r="57" spans="2:60" ht="12">
      <c r="B57" s="2"/>
      <c r="C57" s="354">
        <f>+IF(C56&gt;$I$13+$I$14,XX,C56+1)</f>
        <v>2037</v>
      </c>
      <c r="E57" s="356">
        <f>'(2.2)_Forward_Price_Curve'!S50</f>
        <v>2.1999999999999999E-2</v>
      </c>
      <c r="G57" s="470">
        <v>220466.00000000003</v>
      </c>
      <c r="I57" s="471">
        <v>87.162324923653316</v>
      </c>
      <c r="K57" s="471">
        <v>25.2653656145437</v>
      </c>
      <c r="M57" s="28">
        <f t="shared" si="13"/>
        <v>0</v>
      </c>
      <c r="O57" s="471">
        <v>0.91000000000000025</v>
      </c>
      <c r="Q57" s="471">
        <v>0</v>
      </c>
      <c r="S57" s="18">
        <f t="shared" si="0"/>
        <v>11889.573365216456</v>
      </c>
      <c r="U57" s="18">
        <f t="shared" si="1"/>
        <v>15095.122905648892</v>
      </c>
      <c r="W57" s="18">
        <f t="shared" si="2"/>
        <v>-3205.5495404324356</v>
      </c>
      <c r="Y57" s="271">
        <f t="shared" si="3"/>
        <v>-14.53988161636005</v>
      </c>
      <c r="Z57" s="235"/>
      <c r="AB57" s="378">
        <f>+IF(AB56&gt;$I$13+$I$14,XX,AB56+1)</f>
        <v>2037</v>
      </c>
      <c r="AC57" s="117"/>
      <c r="AD57" s="151">
        <f t="shared" si="4"/>
        <v>220466.00000000003</v>
      </c>
      <c r="AF57" s="154">
        <f t="shared" si="21"/>
        <v>147.86831065234534</v>
      </c>
      <c r="AH57" s="154">
        <f t="shared" si="22"/>
        <v>29.618665052673947</v>
      </c>
      <c r="AJ57" s="154">
        <f t="shared" si="23"/>
        <v>3.0226445565153028</v>
      </c>
      <c r="AL57" s="153">
        <f t="shared" si="5"/>
        <v>8463.8652878509056</v>
      </c>
      <c r="AN57" s="154">
        <f>INDEX('(2.2)_Forward_Price_Curve'!$K:$K,MATCH($AB57,'(2.2)_Forward_Price_Curve'!$C:$C,0),1)</f>
        <v>6.240054166666666</v>
      </c>
      <c r="AP57" s="154">
        <f t="shared" si="24"/>
        <v>45.340366679369573</v>
      </c>
      <c r="AR57" s="154">
        <f t="shared" si="27"/>
        <v>3.4108924505208646</v>
      </c>
      <c r="AS57" s="154"/>
      <c r="AT57" s="153">
        <f t="shared" si="7"/>
        <v>4347.1278103184659</v>
      </c>
      <c r="AV57" s="153">
        <f t="shared" si="8"/>
        <v>10747.995095330427</v>
      </c>
      <c r="AW57" s="273"/>
      <c r="AX57" s="155">
        <f t="shared" si="9"/>
        <v>15095.122905648892</v>
      </c>
      <c r="AZ57" s="384">
        <f>+IF(AZ56&gt;$I$13+$I$14,XX,AZ56+1)</f>
        <v>2037</v>
      </c>
      <c r="BA57" s="117"/>
      <c r="BB57" s="154">
        <f t="shared" si="25"/>
        <v>77.373089715625383</v>
      </c>
      <c r="BD57" s="154">
        <f t="shared" si="26"/>
        <v>23.883075739378818</v>
      </c>
      <c r="BF57" s="153">
        <f t="shared" si="10"/>
        <v>4116.7374775324397</v>
      </c>
      <c r="BH57" s="157"/>
    </row>
    <row r="58" spans="2:60" ht="12">
      <c r="B58" s="2"/>
      <c r="C58" s="354">
        <f>+IF(C57&gt;$I$13+$I$14,XX,C57+1)</f>
        <v>2038</v>
      </c>
      <c r="E58" s="356">
        <f>'(2.2)_Forward_Price_Curve'!S51</f>
        <v>2.1999999999999999E-2</v>
      </c>
      <c r="G58" s="470">
        <v>220466.00000000003</v>
      </c>
      <c r="I58" s="471">
        <v>88.818409097202718</v>
      </c>
      <c r="K58" s="471">
        <v>25.846469023678203</v>
      </c>
      <c r="M58" s="28">
        <f t="shared" si="13"/>
        <v>0</v>
      </c>
      <c r="O58" s="471">
        <v>0.92999999999999994</v>
      </c>
      <c r="Q58" s="471">
        <v>0</v>
      </c>
      <c r="S58" s="18">
        <f t="shared" si="0"/>
        <v>12138.353338397872</v>
      </c>
      <c r="U58" s="18">
        <f t="shared" si="1"/>
        <v>15720.475484914476</v>
      </c>
      <c r="W58" s="18">
        <f t="shared" si="2"/>
        <v>-3582.1221465166036</v>
      </c>
      <c r="Y58" s="271">
        <f t="shared" si="3"/>
        <v>-16.247957265594707</v>
      </c>
      <c r="Z58" s="235"/>
      <c r="AB58" s="378">
        <f>+IF(AB57&gt;$I$13+$I$14,XX,AB57+1)</f>
        <v>2038</v>
      </c>
      <c r="AC58" s="117"/>
      <c r="AD58" s="151">
        <f t="shared" si="4"/>
        <v>220466.00000000003</v>
      </c>
      <c r="AF58" s="154">
        <f t="shared" si="21"/>
        <v>151.12141348669695</v>
      </c>
      <c r="AH58" s="154">
        <f t="shared" si="22"/>
        <v>30.270275683832775</v>
      </c>
      <c r="AJ58" s="154">
        <f t="shared" si="23"/>
        <v>3.0891427367586397</v>
      </c>
      <c r="AL58" s="153">
        <f t="shared" si="5"/>
        <v>8650.0703241836254</v>
      </c>
      <c r="AN58" s="154">
        <f>INDEX('(2.2)_Forward_Price_Curve'!$K:$K,MATCH($AB58,'(2.2)_Forward_Price_Curve'!$C:$C,0),1)</f>
        <v>6.5604041666666673</v>
      </c>
      <c r="AP58" s="154">
        <f t="shared" si="24"/>
        <v>47.66803661264116</v>
      </c>
      <c r="AR58" s="154">
        <f t="shared" si="27"/>
        <v>3.4859320844323238</v>
      </c>
      <c r="AS58" s="154"/>
      <c r="AT58" s="153">
        <f t="shared" si="7"/>
        <v>4442.7646221454725</v>
      </c>
      <c r="AV58" s="153">
        <f t="shared" si="8"/>
        <v>11277.710862769003</v>
      </c>
      <c r="AW58" s="273"/>
      <c r="AX58" s="155">
        <f t="shared" si="9"/>
        <v>15720.475484914476</v>
      </c>
      <c r="AZ58" s="384">
        <f>+IF(AZ57&gt;$I$13+$I$14,XX,AZ57+1)</f>
        <v>2038</v>
      </c>
      <c r="BA58" s="117"/>
      <c r="BB58" s="154">
        <f t="shared" si="25"/>
        <v>79.075297689369137</v>
      </c>
      <c r="BD58" s="154">
        <f t="shared" si="26"/>
        <v>24.408503405645153</v>
      </c>
      <c r="BF58" s="153">
        <f t="shared" si="10"/>
        <v>4207.305702038153</v>
      </c>
      <c r="BH58" s="157"/>
    </row>
    <row r="59" spans="2:60" ht="12">
      <c r="B59" s="2"/>
      <c r="C59" s="354">
        <f>+IF(C58&gt;$I$13+$I$14,XX,C58+1)</f>
        <v>2039</v>
      </c>
      <c r="E59" s="356">
        <f>'(2.2)_Forward_Price_Curve'!S52</f>
        <v>2.1999999999999999E-2</v>
      </c>
      <c r="G59" s="470">
        <v>220466.00000000003</v>
      </c>
      <c r="I59" s="471">
        <v>90.505958870049554</v>
      </c>
      <c r="K59" s="471">
        <v>26.440937811222796</v>
      </c>
      <c r="M59" s="28">
        <f t="shared" si="13"/>
        <v>0</v>
      </c>
      <c r="O59" s="471">
        <v>0.95999999999999985</v>
      </c>
      <c r="Q59" s="471">
        <v>0</v>
      </c>
      <c r="S59" s="18">
        <f t="shared" si="0"/>
        <v>12394.493468166527</v>
      </c>
      <c r="U59" s="18">
        <f t="shared" si="1"/>
        <v>16174.48205408001</v>
      </c>
      <c r="W59" s="18">
        <f t="shared" si="2"/>
        <v>-3779.9885859134829</v>
      </c>
      <c r="Y59" s="271">
        <f t="shared" si="3"/>
        <v>-17.145449121014046</v>
      </c>
      <c r="Z59" s="235"/>
      <c r="AB59" s="378">
        <f>+IF(AB58&gt;$I$13+$I$14,XX,AB58+1)</f>
        <v>2039</v>
      </c>
      <c r="AC59" s="117"/>
      <c r="AD59" s="151">
        <f t="shared" si="4"/>
        <v>220466.00000000003</v>
      </c>
      <c r="AF59" s="154">
        <f t="shared" si="21"/>
        <v>154.44608458340429</v>
      </c>
      <c r="AH59" s="154">
        <f t="shared" si="22"/>
        <v>30.936221748877095</v>
      </c>
      <c r="AJ59" s="154">
        <f t="shared" si="23"/>
        <v>3.1571038769673296</v>
      </c>
      <c r="AL59" s="153">
        <f t="shared" si="5"/>
        <v>8840.3718713156668</v>
      </c>
      <c r="AN59" s="154">
        <f>INDEX('(2.2)_Forward_Price_Curve'!$K:$K,MATCH($AB59,'(2.2)_Forward_Price_Curve'!$C:$C,0),1)</f>
        <v>6.7722499999999988</v>
      </c>
      <c r="AP59" s="154">
        <f t="shared" si="24"/>
        <v>49.207312956449051</v>
      </c>
      <c r="AR59" s="154">
        <f t="shared" si="27"/>
        <v>3.562622590289835</v>
      </c>
      <c r="AS59" s="154"/>
      <c r="AT59" s="153">
        <f t="shared" si="7"/>
        <v>4540.5054438326742</v>
      </c>
      <c r="AV59" s="153">
        <f t="shared" si="8"/>
        <v>11633.976610247337</v>
      </c>
      <c r="AW59" s="273"/>
      <c r="AX59" s="155">
        <f t="shared" si="9"/>
        <v>16174.48205408001</v>
      </c>
      <c r="AZ59" s="384">
        <f>+IF(AZ58&gt;$I$13+$I$14,XX,AZ58+1)</f>
        <v>2039</v>
      </c>
      <c r="BA59" s="117"/>
      <c r="BB59" s="154">
        <f t="shared" si="25"/>
        <v>80.814954238535265</v>
      </c>
      <c r="BD59" s="154">
        <f t="shared" si="26"/>
        <v>24.945490480569347</v>
      </c>
      <c r="BF59" s="153">
        <f t="shared" si="10"/>
        <v>4299.8664274829925</v>
      </c>
      <c r="BH59" s="157"/>
    </row>
    <row r="60" spans="2:60" ht="12">
      <c r="B60" s="2"/>
      <c r="C60" s="354">
        <f>+IF(C59&gt;$I$13+$I$14,XX,C59+1)</f>
        <v>2040</v>
      </c>
      <c r="E60" s="356">
        <f>'(2.2)_Forward_Price_Curve'!S53</f>
        <v>2.1999999999999999E-2</v>
      </c>
      <c r="G60" s="470">
        <v>220466.00000000003</v>
      </c>
      <c r="I60" s="471">
        <v>92.22557208858052</v>
      </c>
      <c r="K60" s="471">
        <v>27.049079380880915</v>
      </c>
      <c r="M60" s="28">
        <f t="shared" si="13"/>
        <v>0</v>
      </c>
      <c r="O60" s="471">
        <v>0.9800000000000002</v>
      </c>
      <c r="Q60" s="471">
        <v>0</v>
      </c>
      <c r="S60" s="18">
        <f t="shared" si="0"/>
        <v>12653.694175403645</v>
      </c>
      <c r="U60" s="18">
        <f t="shared" si="1"/>
        <v>16777.879398492209</v>
      </c>
      <c r="W60" s="18">
        <f t="shared" si="2"/>
        <v>-4124.1852230885634</v>
      </c>
      <c r="Y60" s="271">
        <f t="shared" si="3"/>
        <v>-18.706672335364921</v>
      </c>
      <c r="Z60" s="235"/>
      <c r="AB60" s="378">
        <f>+IF(AB59&gt;$I$13+$I$14,XX,AB59+1)</f>
        <v>2040</v>
      </c>
      <c r="AC60" s="117"/>
      <c r="AD60" s="151">
        <f t="shared" si="4"/>
        <v>220466.00000000003</v>
      </c>
      <c r="AF60" s="154">
        <f t="shared" si="21"/>
        <v>157.84389844423919</v>
      </c>
      <c r="AH60" s="154">
        <f t="shared" si="22"/>
        <v>31.616818627352391</v>
      </c>
      <c r="AJ60" s="154">
        <f t="shared" si="23"/>
        <v>3.2265601622606108</v>
      </c>
      <c r="AL60" s="153">
        <f t="shared" si="5"/>
        <v>9034.8600524846115</v>
      </c>
      <c r="AN60" s="154">
        <f>INDEX('(2.2)_Forward_Price_Curve'!$K:$K,MATCH($AB60,'(2.2)_Forward_Price_Curve'!$C:$C,0),1)</f>
        <v>7.075779166666667</v>
      </c>
      <c r="AP60" s="154">
        <f t="shared" si="24"/>
        <v>51.412762355921451</v>
      </c>
      <c r="AR60" s="154">
        <f t="shared" si="27"/>
        <v>3.6410002872762113</v>
      </c>
      <c r="AS60" s="154"/>
      <c r="AT60" s="153">
        <f t="shared" si="7"/>
        <v>4640.3965635969926</v>
      </c>
      <c r="AV60" s="153">
        <f t="shared" si="8"/>
        <v>12137.482834895218</v>
      </c>
      <c r="AW60" s="273"/>
      <c r="AX60" s="155">
        <f t="shared" si="9"/>
        <v>16777.879398492209</v>
      </c>
      <c r="AZ60" s="384">
        <f>+IF(AZ59&gt;$I$13+$I$14,XX,AZ59+1)</f>
        <v>2040</v>
      </c>
      <c r="BA60" s="117"/>
      <c r="BB60" s="154">
        <f t="shared" si="25"/>
        <v>82.592883231783048</v>
      </c>
      <c r="BD60" s="154">
        <f t="shared" si="26"/>
        <v>25.494291271141872</v>
      </c>
      <c r="BF60" s="153">
        <f t="shared" si="10"/>
        <v>4394.463488887619</v>
      </c>
      <c r="BH60" s="157"/>
    </row>
    <row r="61" spans="2:60" ht="12">
      <c r="B61" s="2"/>
      <c r="C61" s="354">
        <f>+IF(C60&gt;$I$13+$I$14,XX,C60+1)</f>
        <v>2041</v>
      </c>
      <c r="E61" s="356">
        <f>'(2.2)_Forward_Price_Curve'!S54</f>
        <v>2.1999999999999999E-2</v>
      </c>
      <c r="G61" s="470">
        <v>220466.00000000003</v>
      </c>
      <c r="I61" s="471">
        <v>93.977857958263527</v>
      </c>
      <c r="K61" s="471">
        <v>27.671208206641182</v>
      </c>
      <c r="M61" s="28">
        <f t="shared" si="13"/>
        <v>0</v>
      </c>
      <c r="O61" s="471">
        <v>1</v>
      </c>
      <c r="Q61" s="471">
        <v>0</v>
      </c>
      <c r="S61" s="18">
        <f t="shared" si="0"/>
        <v>12918.272217155456</v>
      </c>
      <c r="U61" s="18">
        <f t="shared" si="1"/>
        <v>17158.338851517135</v>
      </c>
      <c r="W61" s="18">
        <f t="shared" si="2"/>
        <v>-4240.0666343616795</v>
      </c>
      <c r="Y61" s="271">
        <f t="shared" si="3"/>
        <v>-19.232292663547572</v>
      </c>
      <c r="Z61" s="235"/>
      <c r="AB61" s="378">
        <f>+IF(AB60&gt;$I$13+$I$14,XX,AB60+1)</f>
        <v>2041</v>
      </c>
      <c r="AC61" s="117"/>
      <c r="AD61" s="151">
        <f t="shared" si="4"/>
        <v>220466.00000000003</v>
      </c>
      <c r="AF61" s="154">
        <f t="shared" si="21"/>
        <v>161.31646421001244</v>
      </c>
      <c r="AH61" s="154">
        <f t="shared" si="22"/>
        <v>32.312388637154143</v>
      </c>
      <c r="AJ61" s="154">
        <f t="shared" si="23"/>
        <v>3.2975444858303442</v>
      </c>
      <c r="AL61" s="153">
        <f t="shared" si="5"/>
        <v>9233.6269736392696</v>
      </c>
      <c r="AN61" s="154">
        <f>INDEX('(2.2)_Forward_Price_Curve'!$K:$K,MATCH($AB61,'(2.2)_Forward_Price_Curve'!$C:$C,0),1)</f>
        <v>7.2385291666666687</v>
      </c>
      <c r="AP61" s="154">
        <f t="shared" si="24"/>
        <v>52.59530732748366</v>
      </c>
      <c r="AR61" s="154">
        <f t="shared" si="27"/>
        <v>3.7211022935962879</v>
      </c>
      <c r="AS61" s="154"/>
      <c r="AT61" s="153">
        <f t="shared" si="7"/>
        <v>4742.4852879961236</v>
      </c>
      <c r="AV61" s="153">
        <f t="shared" si="8"/>
        <v>12415.853563521012</v>
      </c>
      <c r="AW61" s="273"/>
      <c r="AX61" s="155">
        <f t="shared" si="9"/>
        <v>17158.338851517135</v>
      </c>
      <c r="AZ61" s="384">
        <f>+IF(AZ60&gt;$I$13+$I$14,XX,AZ60+1)</f>
        <v>2041</v>
      </c>
      <c r="BA61" s="117"/>
      <c r="BB61" s="154">
        <f t="shared" si="25"/>
        <v>84.40992666288227</v>
      </c>
      <c r="BD61" s="154">
        <f t="shared" si="26"/>
        <v>26.055165679106995</v>
      </c>
      <c r="BF61" s="153">
        <f t="shared" si="10"/>
        <v>4491.141685643146</v>
      </c>
      <c r="BH61" s="157"/>
    </row>
    <row r="62" spans="2:60" ht="12">
      <c r="B62" s="2"/>
      <c r="C62" s="354">
        <f>+IF(C61&gt;$I$13+$I$14,XX,C61+1)</f>
        <v>2042</v>
      </c>
      <c r="E62" s="356">
        <f>'(2.2)_Forward_Price_Curve'!S55</f>
        <v>2.1999999999999999E-2</v>
      </c>
      <c r="G62" s="470">
        <v>220466.00000000003</v>
      </c>
      <c r="I62" s="471">
        <v>95.763437259470535</v>
      </c>
      <c r="K62" s="471">
        <v>28.307645995393926</v>
      </c>
      <c r="M62" s="28">
        <f t="shared" si="13"/>
        <v>0</v>
      </c>
      <c r="O62" s="471">
        <v>1.0199999999999998</v>
      </c>
      <c r="Q62" s="471">
        <v>0</v>
      </c>
      <c r="S62" s="18">
        <f t="shared" si="0"/>
        <v>13188.342097635352</v>
      </c>
      <c r="U62" s="18">
        <f t="shared" si="1"/>
        <v>17547.393213971045</v>
      </c>
      <c r="W62" s="18">
        <f t="shared" si="2"/>
        <v>-4359.0511163356932</v>
      </c>
      <c r="Y62" s="271">
        <f t="shared" si="3"/>
        <v>-19.77198804503049</v>
      </c>
      <c r="Z62" s="235"/>
      <c r="AB62" s="378">
        <f>+IF(AB61&gt;$I$13+$I$14,XX,AB61+1)</f>
        <v>2042</v>
      </c>
      <c r="AC62" s="117"/>
      <c r="AD62" s="151">
        <f t="shared" si="4"/>
        <v>220466.00000000003</v>
      </c>
      <c r="AF62" s="154">
        <f t="shared" si="21"/>
        <v>164.86542642263271</v>
      </c>
      <c r="AH62" s="154">
        <f t="shared" si="22"/>
        <v>33.023261187171535</v>
      </c>
      <c r="AJ62" s="154">
        <f t="shared" si="23"/>
        <v>3.3700904645186118</v>
      </c>
      <c r="AL62" s="153">
        <f t="shared" si="5"/>
        <v>9436.7667670593346</v>
      </c>
      <c r="AN62" s="154">
        <f>INDEX('(2.2)_Forward_Price_Curve'!$K:$K,MATCH($AB62,'(2.2)_Forward_Price_Curve'!$C:$C,0),1)</f>
        <v>7.4050000000000002</v>
      </c>
      <c r="AP62" s="154">
        <f t="shared" si="24"/>
        <v>53.804887953413605</v>
      </c>
      <c r="AR62" s="154">
        <f t="shared" si="27"/>
        <v>3.8029665440554061</v>
      </c>
      <c r="AS62" s="154"/>
      <c r="AT62" s="153">
        <f t="shared" si="7"/>
        <v>4846.8199643320395</v>
      </c>
      <c r="AV62" s="153">
        <f t="shared" si="8"/>
        <v>12700.573249639005</v>
      </c>
      <c r="AW62" s="273"/>
      <c r="AX62" s="155">
        <f t="shared" si="9"/>
        <v>17547.393213971045</v>
      </c>
      <c r="AZ62" s="384">
        <f>+IF(AZ61&gt;$I$13+$I$14,XX,AZ61+1)</f>
        <v>2042</v>
      </c>
      <c r="BA62" s="117"/>
      <c r="BB62" s="154">
        <f t="shared" si="25"/>
        <v>86.266945049465676</v>
      </c>
      <c r="BD62" s="154">
        <f t="shared" si="26"/>
        <v>26.628379324047348</v>
      </c>
      <c r="BF62" s="153">
        <f t="shared" si="10"/>
        <v>4589.9468027272951</v>
      </c>
      <c r="BH62" s="157"/>
    </row>
    <row r="63" spans="2:60" ht="12">
      <c r="B63" s="2"/>
      <c r="C63" s="354">
        <f>+IF(C62&gt;$I$13+$I$14,XX,C62+1)</f>
        <v>2043</v>
      </c>
      <c r="E63" s="356">
        <f>'(2.2)_Forward_Price_Curve'!S56</f>
        <v>2.1999999999999999E-2</v>
      </c>
      <c r="G63" s="470">
        <v>220466.00000000003</v>
      </c>
      <c r="I63" s="471">
        <v>97.582942567400465</v>
      </c>
      <c r="K63" s="471">
        <v>28.958721853287983</v>
      </c>
      <c r="M63" s="28">
        <f t="shared" si="13"/>
        <v>0</v>
      </c>
      <c r="O63" s="471">
        <v>1.05</v>
      </c>
      <c r="Q63" s="471">
        <v>0</v>
      </c>
      <c r="S63" s="18">
        <f t="shared" si="0"/>
        <v>13466.225440338503</v>
      </c>
      <c r="U63" s="18">
        <f t="shared" si="1"/>
        <v>17933.435864678409</v>
      </c>
      <c r="W63" s="18">
        <f t="shared" si="2"/>
        <v>-4467.2104243399062</v>
      </c>
      <c r="Y63" s="271">
        <f t="shared" si="3"/>
        <v>-20.262582095832943</v>
      </c>
      <c r="Z63" s="235"/>
      <c r="AB63" s="378">
        <f>+IF(AB62&gt;$I$13+$I$14,XX,AB62+1)</f>
        <v>2043</v>
      </c>
      <c r="AC63" s="117"/>
      <c r="AD63" s="151">
        <f t="shared" si="4"/>
        <v>220466.00000000003</v>
      </c>
      <c r="AF63" s="154">
        <f t="shared" si="21"/>
        <v>168.49246580393063</v>
      </c>
      <c r="AH63" s="154">
        <f t="shared" si="22"/>
        <v>33.749772933289307</v>
      </c>
      <c r="AJ63" s="154">
        <f t="shared" si="23"/>
        <v>3.4442324547380214</v>
      </c>
      <c r="AL63" s="153">
        <f t="shared" si="5"/>
        <v>9644.3756359346389</v>
      </c>
      <c r="AN63" s="154">
        <f>INDEX('(2.2)_Forward_Price_Curve'!$K:$K,MATCH($AB63,'(2.2)_Forward_Price_Curve'!$C:$C,0),1)</f>
        <v>7.5679100000000004</v>
      </c>
      <c r="AP63" s="154">
        <f t="shared" si="24"/>
        <v>54.988595488388711</v>
      </c>
      <c r="AR63" s="154">
        <f t="shared" si="27"/>
        <v>3.8866318080246249</v>
      </c>
      <c r="AS63" s="154"/>
      <c r="AT63" s="153">
        <f t="shared" si="7"/>
        <v>4953.4500035473438</v>
      </c>
      <c r="AV63" s="153">
        <f t="shared" si="8"/>
        <v>12979.985861131065</v>
      </c>
      <c r="AW63" s="273"/>
      <c r="AX63" s="155">
        <f t="shared" si="9"/>
        <v>17933.435864678409</v>
      </c>
      <c r="AZ63" s="384">
        <f>+IF(AZ62&gt;$I$13+$I$14,XX,AZ62+1)</f>
        <v>2043</v>
      </c>
      <c r="BA63" s="117"/>
      <c r="BB63" s="154">
        <f t="shared" si="25"/>
        <v>88.164817840553923</v>
      </c>
      <c r="BD63" s="154">
        <f t="shared" si="26"/>
        <v>27.214203669176388</v>
      </c>
      <c r="BF63" s="153">
        <f t="shared" si="10"/>
        <v>4690.9256323872951</v>
      </c>
      <c r="BH63" s="157"/>
    </row>
    <row r="64" spans="2:60" ht="12">
      <c r="B64" s="2"/>
      <c r="C64" s="354">
        <f>+IF(C63&gt;$I$13+$I$14,XX,C63+1)</f>
        <v>2044</v>
      </c>
      <c r="E64" s="356">
        <f>'(2.2)_Forward_Price_Curve'!S57</f>
        <v>2.3E-2</v>
      </c>
      <c r="G64" s="470">
        <v>220466.00000000003</v>
      </c>
      <c r="I64" s="471">
        <v>99.437018476181066</v>
      </c>
      <c r="K64" s="471">
        <v>29.624772455913604</v>
      </c>
      <c r="M64" s="28">
        <f t="shared" si="13"/>
        <v>0</v>
      </c>
      <c r="O64" s="471">
        <v>1.0700000000000003</v>
      </c>
      <c r="Q64" s="471">
        <v>0</v>
      </c>
      <c r="S64" s="18">
        <f t="shared" si="0"/>
        <v>13747.63240129336</v>
      </c>
      <c r="U64" s="18">
        <f t="shared" si="1"/>
        <v>18333.781773873066</v>
      </c>
      <c r="W64" s="18">
        <f t="shared" si="2"/>
        <v>-4586.1493725797063</v>
      </c>
      <c r="Y64" s="271">
        <f t="shared" si="3"/>
        <v>-20.802070943273364</v>
      </c>
      <c r="Z64" s="235"/>
      <c r="AB64" s="378">
        <f>+IF(AB63&gt;$I$13+$I$14,XX,AB63+1)</f>
        <v>2044</v>
      </c>
      <c r="AC64" s="117"/>
      <c r="AD64" s="151">
        <f t="shared" si="4"/>
        <v>220466.00000000003</v>
      </c>
      <c r="AF64" s="154">
        <f t="shared" si="21"/>
        <v>172.36779251742101</v>
      </c>
      <c r="AH64" s="154">
        <f t="shared" si="22"/>
        <v>34.526017710754957</v>
      </c>
      <c r="AJ64" s="154">
        <f t="shared" si="23"/>
        <v>3.5234498011969957</v>
      </c>
      <c r="AL64" s="153">
        <f t="shared" si="5"/>
        <v>9866.1962755611348</v>
      </c>
      <c r="AN64" s="154">
        <f>INDEX('(2.2)_Forward_Price_Curve'!$K:$K,MATCH($AB64,'(2.2)_Forward_Price_Curve'!$C:$C,0),1)</f>
        <v>7.7344040200000004</v>
      </c>
      <c r="AP64" s="154">
        <f t="shared" si="24"/>
        <v>56.198344589133256</v>
      </c>
      <c r="AR64" s="154">
        <f t="shared" si="27"/>
        <v>3.9760243396091908</v>
      </c>
      <c r="AS64" s="154"/>
      <c r="AT64" s="153">
        <f t="shared" si="7"/>
        <v>5067.3793536289322</v>
      </c>
      <c r="AV64" s="153">
        <f t="shared" si="8"/>
        <v>13266.402420244132</v>
      </c>
      <c r="AW64" s="273"/>
      <c r="AX64" s="155">
        <f t="shared" si="9"/>
        <v>18333.781773873066</v>
      </c>
      <c r="AZ64" s="384">
        <f>+IF(AZ63&gt;$I$13+$I$14,XX,AZ63+1)</f>
        <v>2044</v>
      </c>
      <c r="BA64" s="117"/>
      <c r="BB64" s="154">
        <f t="shared" si="25"/>
        <v>90.192608650886655</v>
      </c>
      <c r="BD64" s="154">
        <f t="shared" si="26"/>
        <v>27.840130353567442</v>
      </c>
      <c r="BF64" s="153">
        <f t="shared" si="10"/>
        <v>4798.8169219322026</v>
      </c>
      <c r="BH64" s="157"/>
    </row>
    <row r="65" spans="2:60" ht="12">
      <c r="B65" s="2"/>
      <c r="C65" s="354">
        <f>+IF(C64&gt;$I$13+$I$14,XX,C64+1)</f>
        <v>2045</v>
      </c>
      <c r="E65" s="356">
        <f>'(2.2)_Forward_Price_Curve'!S58</f>
        <v>2.3E-2</v>
      </c>
      <c r="G65" s="470">
        <v>220466.00000000003</v>
      </c>
      <c r="I65" s="471">
        <v>101.3263218272285</v>
      </c>
      <c r="K65" s="471">
        <v>30.306142222399608</v>
      </c>
      <c r="M65" s="28">
        <f t="shared" si="13"/>
        <v>0</v>
      </c>
      <c r="O65" s="471">
        <v>1.1000000000000001</v>
      </c>
      <c r="Q65" s="471">
        <v>0</v>
      </c>
      <c r="S65" s="18">
        <f t="shared" si="0"/>
        <v>14037.094343474995</v>
      </c>
      <c r="U65" s="18">
        <f t="shared" si="1"/>
        <v>18743.068930433961</v>
      </c>
      <c r="W65" s="18">
        <f t="shared" si="2"/>
        <v>-4705.974586958966</v>
      </c>
      <c r="Y65" s="271">
        <f t="shared" si="3"/>
        <v>-21.345579758143955</v>
      </c>
      <c r="Z65" s="235"/>
      <c r="AB65" s="378">
        <f>+IF(AB64&gt;$I$13+$I$14,XX,AB64+1)</f>
        <v>2045</v>
      </c>
      <c r="AC65" s="117"/>
      <c r="AD65" s="151">
        <f t="shared" si="4"/>
        <v>220466.00000000003</v>
      </c>
      <c r="AF65" s="154">
        <f t="shared" si="21"/>
        <v>176.33225174532168</v>
      </c>
      <c r="AH65" s="154">
        <f t="shared" si="22"/>
        <v>35.32011611810232</v>
      </c>
      <c r="AJ65" s="154">
        <f t="shared" si="23"/>
        <v>3.6044891466245264</v>
      </c>
      <c r="AL65" s="153">
        <f t="shared" si="5"/>
        <v>10093.118789899041</v>
      </c>
      <c r="AN65" s="154">
        <f>INDEX('(2.2)_Forward_Price_Curve'!$K:$K,MATCH($AB65,'(2.2)_Forward_Price_Curve'!$C:$C,0),1)</f>
        <v>7.9045609084400006</v>
      </c>
      <c r="AP65" s="154">
        <f t="shared" si="24"/>
        <v>57.43470817009419</v>
      </c>
      <c r="AR65" s="154">
        <f t="shared" si="27"/>
        <v>4.0674728994202018</v>
      </c>
      <c r="AS65" s="154"/>
      <c r="AT65" s="153">
        <f t="shared" si="7"/>
        <v>5183.9290787623977</v>
      </c>
      <c r="AV65" s="153">
        <f t="shared" si="8"/>
        <v>13559.139851671562</v>
      </c>
      <c r="AW65" s="273"/>
      <c r="AX65" s="155">
        <f t="shared" si="9"/>
        <v>18743.068930433961</v>
      </c>
      <c r="AZ65" s="384">
        <f>+IF(AZ64&gt;$I$13+$I$14,XX,AZ64+1)</f>
        <v>2045</v>
      </c>
      <c r="BA65" s="117"/>
      <c r="BB65" s="154">
        <f t="shared" si="25"/>
        <v>92.267038649857042</v>
      </c>
      <c r="BD65" s="154">
        <f t="shared" si="26"/>
        <v>28.480453351699492</v>
      </c>
      <c r="BF65" s="153">
        <f t="shared" si="10"/>
        <v>4909.1897111366434</v>
      </c>
      <c r="BH65" s="157"/>
    </row>
    <row r="66" spans="2:60" ht="12">
      <c r="B66" s="2"/>
      <c r="C66" s="354">
        <f>+IF(C65&gt;$I$13+$I$14,XX,C65+1)</f>
        <v>2046</v>
      </c>
      <c r="E66" s="356">
        <f>'(2.2)_Forward_Price_Curve'!S59</f>
        <v>2.3E-2</v>
      </c>
      <c r="G66" s="470">
        <v>220466.00000000003</v>
      </c>
      <c r="I66" s="471">
        <v>103.25152194194582</v>
      </c>
      <c r="K66" s="471">
        <v>31.003183493514797</v>
      </c>
      <c r="M66" s="28">
        <f t="shared" si="13"/>
        <v>0</v>
      </c>
      <c r="O66" s="471">
        <v>1.1200000000000001</v>
      </c>
      <c r="Q66" s="471">
        <v>0</v>
      </c>
      <c r="S66" s="18">
        <f t="shared" si="0"/>
        <v>14330.32661240583</v>
      </c>
      <c r="U66" s="18">
        <f t="shared" si="1"/>
        <v>19161.497115462513</v>
      </c>
      <c r="W66" s="18">
        <f t="shared" si="2"/>
        <v>-4831.1705030566827</v>
      </c>
      <c r="Y66" s="271">
        <f t="shared" si="3"/>
        <v>-21.913449253203133</v>
      </c>
      <c r="Z66" s="235"/>
      <c r="AB66" s="378">
        <f>+IF(AB65&gt;$I$13+$I$14,XX,AB65+1)</f>
        <v>2046</v>
      </c>
      <c r="AC66" s="117"/>
      <c r="AD66" s="151">
        <f t="shared" si="4"/>
        <v>220466.00000000003</v>
      </c>
      <c r="AF66" s="154">
        <f t="shared" si="21"/>
        <v>180.38789353546406</v>
      </c>
      <c r="AH66" s="154">
        <f t="shared" si="22"/>
        <v>36.132478788818666</v>
      </c>
      <c r="AJ66" s="154">
        <f t="shared" si="23"/>
        <v>3.68739239699689</v>
      </c>
      <c r="AL66" s="153">
        <f t="shared" si="5"/>
        <v>10325.260522066717</v>
      </c>
      <c r="AN66" s="154">
        <f>INDEX('(2.2)_Forward_Price_Curve'!$K:$K,MATCH($AB66,'(2.2)_Forward_Price_Curve'!$C:$C,0),1)</f>
        <v>8.0784612484256808</v>
      </c>
      <c r="AP66" s="154">
        <f t="shared" si="24"/>
        <v>58.698271749836266</v>
      </c>
      <c r="AR66" s="154">
        <f t="shared" si="27"/>
        <v>4.1610247761068662</v>
      </c>
      <c r="AS66" s="154"/>
      <c r="AT66" s="153">
        <f t="shared" si="7"/>
        <v>5303.1594475739321</v>
      </c>
      <c r="AV66" s="153">
        <f t="shared" si="8"/>
        <v>13858.33766788858</v>
      </c>
      <c r="AW66" s="273"/>
      <c r="AX66" s="155">
        <f t="shared" si="9"/>
        <v>19161.497115462513</v>
      </c>
      <c r="AZ66" s="384">
        <f>+IF(AZ65&gt;$I$13+$I$14,XX,AZ65+1)</f>
        <v>2046</v>
      </c>
      <c r="BA66" s="117"/>
      <c r="BB66" s="154">
        <f t="shared" si="25"/>
        <v>94.389180538803743</v>
      </c>
      <c r="BD66" s="154">
        <f t="shared" si="26"/>
        <v>29.135503778788578</v>
      </c>
      <c r="BF66" s="153">
        <f t="shared" si="10"/>
        <v>5022.1010744927853</v>
      </c>
      <c r="BH66" s="157"/>
    </row>
    <row r="67" spans="2:60" ht="12">
      <c r="B67" s="2"/>
      <c r="C67" s="354">
        <f>+IF(C66&gt;$I$13+$I$14,XX,C66+1)</f>
        <v>2047</v>
      </c>
      <c r="E67" s="356">
        <f>'(2.2)_Forward_Price_Curve'!S60</f>
        <v>2.3E-2</v>
      </c>
      <c r="G67" s="470">
        <v>220466.00000000003</v>
      </c>
      <c r="I67" s="471">
        <v>105.21330085884279</v>
      </c>
      <c r="K67" s="471">
        <v>31.716256713865636</v>
      </c>
      <c r="M67" s="28">
        <f t="shared" si="13"/>
        <v>0</v>
      </c>
      <c r="O67" s="471">
        <v>1.1499999999999997</v>
      </c>
      <c r="Q67" s="471">
        <v>0</v>
      </c>
      <c r="S67" s="18">
        <f t="shared" si="0"/>
        <v>14631.865872969865</v>
      </c>
      <c r="U67" s="18">
        <f t="shared" si="1"/>
        <v>19589.270575938554</v>
      </c>
      <c r="W67" s="18">
        <f t="shared" si="2"/>
        <v>-4957.4047029686881</v>
      </c>
      <c r="Y67" s="271">
        <f t="shared" si="3"/>
        <v>-22.486028244575976</v>
      </c>
      <c r="Z67" s="235"/>
      <c r="AB67" s="378">
        <f>+IF(AB66&gt;$I$13+$I$14,XX,AB66+1)</f>
        <v>2047</v>
      </c>
      <c r="AC67" s="117"/>
      <c r="AD67" s="151">
        <f t="shared" si="4"/>
        <v>220466.00000000003</v>
      </c>
      <c r="AF67" s="154">
        <f t="shared" si="21"/>
        <v>184.53681508677971</v>
      </c>
      <c r="AH67" s="154">
        <f t="shared" si="22"/>
        <v>36.963525800961492</v>
      </c>
      <c r="AJ67" s="154">
        <f t="shared" si="23"/>
        <v>3.7722024221278181</v>
      </c>
      <c r="AL67" s="153">
        <f t="shared" si="5"/>
        <v>10562.741514074252</v>
      </c>
      <c r="AN67" s="154">
        <f>INDEX('(2.2)_Forward_Price_Curve'!$K:$K,MATCH($AB67,'(2.2)_Forward_Price_Curve'!$C:$C,0),1)</f>
        <v>8.2561873958910468</v>
      </c>
      <c r="AP67" s="154">
        <f t="shared" si="24"/>
        <v>59.98963372833267</v>
      </c>
      <c r="AR67" s="154">
        <f t="shared" si="27"/>
        <v>4.256728345957324</v>
      </c>
      <c r="AS67" s="154"/>
      <c r="AT67" s="153">
        <f t="shared" si="7"/>
        <v>5425.1321148681336</v>
      </c>
      <c r="AV67" s="153">
        <f t="shared" si="8"/>
        <v>14164.138461070419</v>
      </c>
      <c r="AW67" s="273"/>
      <c r="AX67" s="155">
        <f t="shared" si="9"/>
        <v>19589.270575938554</v>
      </c>
      <c r="AZ67" s="384">
        <f>+IF(AZ66&gt;$I$13+$I$14,XX,AZ66+1)</f>
        <v>2047</v>
      </c>
      <c r="BA67" s="117"/>
      <c r="BB67" s="154">
        <f t="shared" si="25"/>
        <v>96.560131691196219</v>
      </c>
      <c r="BD67" s="154">
        <f t="shared" si="26"/>
        <v>29.805620365700712</v>
      </c>
      <c r="BF67" s="153">
        <f t="shared" si="10"/>
        <v>5137.6093992061187</v>
      </c>
      <c r="BH67" s="157"/>
    </row>
    <row r="68" spans="2:60" ht="12">
      <c r="B68" s="2"/>
      <c r="C68" s="354">
        <f>+IF(C67&gt;$I$13+$I$14,XX,C67+1)</f>
        <v>2048</v>
      </c>
      <c r="E68" s="356">
        <f>'(2.2)_Forward_Price_Curve'!S61</f>
        <v>2.1999999999999999E-2</v>
      </c>
      <c r="G68" s="470">
        <v>220466.00000000003</v>
      </c>
      <c r="I68" s="471">
        <v>107.21235357516082</v>
      </c>
      <c r="K68" s="471">
        <v>32.445730618284543</v>
      </c>
      <c r="M68" s="28">
        <f t="shared" si="13"/>
        <v>0</v>
      </c>
      <c r="O68" s="471">
        <v>1.17</v>
      </c>
      <c r="Q68" s="471">
        <v>0</v>
      </c>
      <c r="S68" s="18">
        <f t="shared" si="0"/>
        <v>14937.432887467012</v>
      </c>
      <c r="U68" s="18">
        <f t="shared" si="1"/>
        <v>20020.234528609202</v>
      </c>
      <c r="W68" s="18">
        <f t="shared" si="2"/>
        <v>-5082.8016411421904</v>
      </c>
      <c r="Y68" s="271">
        <f t="shared" si="3"/>
        <v>-23.054809544973782</v>
      </c>
      <c r="Z68" s="235"/>
      <c r="AB68" s="378">
        <f>+IF(AB67&gt;$I$13+$I$14,XX,AB67+1)</f>
        <v>2048</v>
      </c>
      <c r="AC68" s="117"/>
      <c r="AD68" s="151">
        <f t="shared" si="4"/>
        <v>220466.00000000003</v>
      </c>
      <c r="AF68" s="154">
        <f t="shared" si="21"/>
        <v>188.59662501868885</v>
      </c>
      <c r="AH68" s="154">
        <f t="shared" si="22"/>
        <v>37.776723368582644</v>
      </c>
      <c r="AJ68" s="154">
        <f t="shared" si="23"/>
        <v>3.85519087541463</v>
      </c>
      <c r="AL68" s="153">
        <f t="shared" si="5"/>
        <v>10795.121827383884</v>
      </c>
      <c r="AN68" s="154">
        <f>INDEX('(2.2)_Forward_Price_Curve'!$K:$K,MATCH($AB68,'(2.2)_Forward_Price_Curve'!$C:$C,0),1)</f>
        <v>8.4378235186006503</v>
      </c>
      <c r="AP68" s="154">
        <f t="shared" si="24"/>
        <v>61.309405670356</v>
      </c>
      <c r="AR68" s="154">
        <f t="shared" si="27"/>
        <v>4.3503763695683855</v>
      </c>
      <c r="AS68" s="154"/>
      <c r="AT68" s="153">
        <f t="shared" si="7"/>
        <v>5544.4850213952304</v>
      </c>
      <c r="AV68" s="153">
        <f t="shared" si="8"/>
        <v>14475.74950721397</v>
      </c>
      <c r="AW68" s="273"/>
      <c r="AX68" s="155">
        <f t="shared" si="9"/>
        <v>20020.234528609202</v>
      </c>
      <c r="AZ68" s="384">
        <f>+IF(AZ67&gt;$I$13+$I$14,XX,AZ67+1)</f>
        <v>2048</v>
      </c>
      <c r="BA68" s="117"/>
      <c r="BB68" s="154">
        <f t="shared" si="25"/>
        <v>98.684454588402531</v>
      </c>
      <c r="BD68" s="154">
        <f t="shared" si="26"/>
        <v>30.461344013746128</v>
      </c>
      <c r="BF68" s="153">
        <f t="shared" si="10"/>
        <v>5250.6368059886536</v>
      </c>
      <c r="BH68" s="157"/>
    </row>
    <row r="69" spans="2:60" ht="12">
      <c r="B69" s="2"/>
      <c r="C69" s="354">
        <f>+IF(C68&gt;$I$13+$I$14,XX,C68+1)</f>
        <v>2049</v>
      </c>
      <c r="E69" s="356">
        <f>'(2.2)_Forward_Price_Curve'!S62</f>
        <v>2.1999999999999999E-2</v>
      </c>
      <c r="G69" s="470">
        <v>164897.72540983607</v>
      </c>
      <c r="I69" s="471">
        <v>81.937041219816663</v>
      </c>
      <c r="K69" s="471">
        <v>24.893986816878815</v>
      </c>
      <c r="M69" s="28">
        <f t="shared" si="13"/>
        <v>0</v>
      </c>
      <c r="O69" s="471">
        <v>1.2000000000000002</v>
      </c>
      <c r="Q69" s="471">
        <v>0</v>
      </c>
      <c r="S69" s="18">
        <f t="shared" si="0"/>
        <v>10054.819366608694</v>
      </c>
      <c r="U69" s="18">
        <f t="shared" si="1"/>
        <v>16512.870388883315</v>
      </c>
      <c r="W69" s="18">
        <f t="shared" si="2"/>
        <v>-6458.0510222746216</v>
      </c>
      <c r="Y69" s="271">
        <f t="shared" si="3"/>
        <v>-39.163978800943497</v>
      </c>
      <c r="Z69" s="235"/>
      <c r="AB69" s="378">
        <f>+IF(AB68&gt;$I$13+$I$14,XX,AB68+1)</f>
        <v>2049</v>
      </c>
      <c r="AC69" s="117"/>
      <c r="AD69" s="151">
        <f t="shared" si="4"/>
        <v>164897.72540983607</v>
      </c>
      <c r="AF69" s="154">
        <f t="shared" si="21"/>
        <v>192.7457507691</v>
      </c>
      <c r="AH69" s="154">
        <f t="shared" si="22"/>
        <v>38.607811282691465</v>
      </c>
      <c r="AJ69" s="154">
        <f t="shared" si="23"/>
        <v>3.9400050746737518</v>
      </c>
      <c r="AL69" s="153">
        <f t="shared" si="5"/>
        <v>10813.675223710221</v>
      </c>
      <c r="AN69" s="154">
        <f>INDEX('(2.2)_Forward_Price_Curve'!$K:$K,MATCH($AB69,'(2.2)_Forward_Price_Curve'!$C:$C,0),1)</f>
        <v>8.6234556360098651</v>
      </c>
      <c r="AP69" s="154">
        <f t="shared" si="24"/>
        <v>62.658212595103834</v>
      </c>
      <c r="AR69" s="154">
        <f t="shared" si="27"/>
        <v>4.4460846496988902</v>
      </c>
      <c r="AS69" s="154"/>
      <c r="AT69" s="153">
        <f t="shared" si="7"/>
        <v>5447.5244079898166</v>
      </c>
      <c r="AV69" s="153">
        <f t="shared" si="8"/>
        <v>11065.345980893499</v>
      </c>
      <c r="AW69" s="273"/>
      <c r="AX69" s="155">
        <f t="shared" si="9"/>
        <v>16512.870388883315</v>
      </c>
      <c r="AZ69" s="384">
        <f>+IF(AZ68&gt;$I$13+$I$14,XX,AZ68+1)</f>
        <v>2049</v>
      </c>
      <c r="BA69" s="117"/>
      <c r="BB69" s="154">
        <f t="shared" si="25"/>
        <v>100.85551258934738</v>
      </c>
      <c r="BD69" s="154">
        <f t="shared" si="26"/>
        <v>31.131493582048545</v>
      </c>
      <c r="BF69" s="153">
        <f t="shared" si="10"/>
        <v>5366.1508157204044</v>
      </c>
      <c r="BH69" s="157"/>
    </row>
    <row r="70" spans="2:60">
      <c r="B70" s="2"/>
      <c r="E70" s="169"/>
      <c r="G70" s="267"/>
      <c r="H70" s="267"/>
      <c r="I70" s="267"/>
      <c r="K70" s="267"/>
      <c r="M70" s="267"/>
      <c r="O70" s="267"/>
      <c r="Q70" s="267"/>
      <c r="S70" s="267"/>
      <c r="U70" s="267"/>
      <c r="W70" s="267"/>
      <c r="Y70" s="267"/>
      <c r="Z70" s="235"/>
      <c r="AB70" s="2"/>
      <c r="AF70" s="274"/>
      <c r="AH70" s="274"/>
      <c r="AJ70" s="274"/>
      <c r="AL70" s="273"/>
      <c r="AN70" s="274"/>
      <c r="AP70" s="274"/>
      <c r="AR70" s="274"/>
      <c r="AS70" s="274"/>
      <c r="AT70" s="274"/>
      <c r="AV70" s="273"/>
      <c r="AW70" s="273"/>
      <c r="AX70" s="275"/>
      <c r="AZ70" s="2"/>
      <c r="BB70" s="274"/>
      <c r="BF70" s="273"/>
      <c r="BH70" s="235"/>
    </row>
    <row r="71" spans="2:60" ht="12">
      <c r="B71" s="2"/>
      <c r="C71" s="4" t="s">
        <v>341</v>
      </c>
      <c r="E71" s="169"/>
      <c r="G71" s="466">
        <f>+-PMT($I$18,42,NPV($I$18,G28:G69))</f>
        <v>201011.00454652603</v>
      </c>
      <c r="I71" s="466">
        <f>+-PMT($I$18,42,NPV($I$18,I28:I69))</f>
        <v>216.57234001284448</v>
      </c>
      <c r="J71" s="28"/>
      <c r="K71" s="466">
        <f>+-PMT($I$18,42,NPV($I$18,K28:K69))</f>
        <v>30.702118411227204</v>
      </c>
      <c r="M71" s="28">
        <f>+-PMT($G$18,$G$14,NPV($G$18,M28:M52))</f>
        <v>0</v>
      </c>
      <c r="O71" s="466">
        <f>+-PMT($I$18,42,NPV($I$18,O28:O69))</f>
        <v>3.4033141972903769</v>
      </c>
      <c r="Q71" s="466">
        <f>+-PMT($I$18,42,NPV($I$18,Q28:Q69))</f>
        <v>-28.29398742130893</v>
      </c>
      <c r="S71" s="466">
        <f>+-PMT($I$18,42,NPV($I$18,S28:S69))</f>
        <v>16532.487205203957</v>
      </c>
      <c r="U71" s="466">
        <f>+-PMT($I$18,42,NPV($I$18,U28:U69))</f>
        <v>12151.199710988592</v>
      </c>
      <c r="W71" s="285">
        <f>+-PMT($I$18,42,NPV($I$18,W28:W69))</f>
        <v>4381.2874942153694</v>
      </c>
      <c r="Y71" s="466">
        <f>+-PMT($I$18,42,NPV($I$18,Y28:Y69))</f>
        <v>20.499368155733791</v>
      </c>
      <c r="Z71" s="235"/>
      <c r="AB71" s="2"/>
      <c r="AD71" s="466">
        <f>+-PMT($I$18,42,NPV($I$18,AD28:AD69))</f>
        <v>201011.00454652603</v>
      </c>
      <c r="AF71" s="466">
        <f>+-PMT($I$18,42,NPV($I$18,AF28:AF69))</f>
        <v>92.302858961411886</v>
      </c>
      <c r="AH71" s="466">
        <f>+-PMT($I$18,42,NPV($I$18,AH28:AH69))</f>
        <v>16.464192646094777</v>
      </c>
      <c r="AJ71" s="466">
        <f>+-PMT($I$18,42,NPV($I$18,AJ28:AJ69))</f>
        <v>2.5417122380805592</v>
      </c>
      <c r="AL71" s="467">
        <f>+-PMT($I$18,42,NPV($I$18,AL28:AL69))</f>
        <v>5290.3609338615724</v>
      </c>
      <c r="AN71" s="466">
        <f>+-PMT($I$18,42,NPV($I$18,AN28:AN69))</f>
        <v>6.2580097720117607</v>
      </c>
      <c r="AP71" s="466">
        <f>+-PMT($I$18,42,NPV($I$18,AP28:AP69))</f>
        <v>45.470832490811638</v>
      </c>
      <c r="AR71" s="466">
        <f>+-PMT($I$18,42,NPV($I$18,AR28:AR69))</f>
        <v>2.7419625115528148</v>
      </c>
      <c r="AS71" s="154"/>
      <c r="AT71" s="468">
        <f>+-PMT($I$18,42,NPV($I$18,AT28:AT69))</f>
        <v>2593.6375972307305</v>
      </c>
      <c r="AV71" s="468">
        <f>+-PMT($I$18,42,NPV($I$18,AV28:AV69))</f>
        <v>9557.5621137578582</v>
      </c>
      <c r="AW71" s="273"/>
      <c r="AX71" s="468">
        <f>+-PMT($I$18,42,NPV($I$18,AX28:AX69))</f>
        <v>12151.199710988592</v>
      </c>
      <c r="AY71" s="311"/>
      <c r="AZ71" s="2"/>
      <c r="BB71" s="466">
        <f>+-PMT($I$18,42,NPV($I$18,BB28:BB69))</f>
        <v>53.436588351743488</v>
      </c>
      <c r="BD71" s="466">
        <f>+-PMT($I$18,42,NPV($I$18,BD28:BD69))</f>
        <v>12.892602142068322</v>
      </c>
      <c r="BF71" s="468">
        <f>+-PMT($I$18,42,NPV($I$18,BF28:BF69))</f>
        <v>2696.7233366308424</v>
      </c>
      <c r="BH71" s="157"/>
    </row>
    <row r="72" spans="2:60" ht="12">
      <c r="B72" s="2"/>
      <c r="E72" s="169"/>
      <c r="G72" s="466"/>
      <c r="I72" s="466"/>
      <c r="J72" s="28"/>
      <c r="K72" s="466"/>
      <c r="M72" s="28"/>
      <c r="O72" s="28"/>
      <c r="Q72" s="466"/>
      <c r="S72" s="18"/>
      <c r="U72" s="18"/>
      <c r="W72" s="18"/>
      <c r="Y72" s="271"/>
      <c r="Z72" s="235"/>
      <c r="AB72" s="2"/>
      <c r="AD72" s="151"/>
      <c r="AF72" s="154"/>
      <c r="AH72" s="154"/>
      <c r="AJ72" s="154"/>
      <c r="AL72" s="153"/>
      <c r="AN72" s="154"/>
      <c r="AP72" s="154"/>
      <c r="AR72" s="154"/>
      <c r="AS72" s="154"/>
      <c r="AT72" s="153"/>
      <c r="AV72" s="153"/>
      <c r="AW72" s="273"/>
      <c r="AX72" s="155"/>
      <c r="AZ72" s="2"/>
      <c r="BB72" s="154"/>
      <c r="BD72" s="154"/>
      <c r="BF72" s="153"/>
      <c r="BH72" s="157"/>
    </row>
    <row r="73" spans="2:60" ht="12">
      <c r="B73" s="2"/>
      <c r="E73" s="169"/>
      <c r="I73" s="466"/>
      <c r="W73" s="18"/>
      <c r="Y73" s="271"/>
      <c r="Z73" s="235"/>
      <c r="AB73" s="2"/>
      <c r="AX73" s="235"/>
      <c r="AZ73" s="2"/>
      <c r="BH73" s="235"/>
    </row>
    <row r="74" spans="2:60">
      <c r="B74" s="238"/>
      <c r="C74" s="277"/>
      <c r="D74" s="277"/>
      <c r="E74" s="278"/>
      <c r="G74" s="277"/>
      <c r="H74" s="277"/>
      <c r="I74" s="277"/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39"/>
      <c r="AB74" s="238"/>
      <c r="AC74" s="277"/>
      <c r="AD74" s="277"/>
      <c r="AE74" s="277"/>
      <c r="AF74" s="277"/>
      <c r="AG74" s="277"/>
      <c r="AH74" s="277"/>
      <c r="AI74" s="277"/>
      <c r="AJ74" s="277"/>
      <c r="AK74" s="277"/>
      <c r="AL74" s="277"/>
      <c r="AM74" s="277"/>
      <c r="AN74" s="277"/>
      <c r="AO74" s="277"/>
      <c r="AP74" s="277"/>
      <c r="AQ74" s="277"/>
      <c r="AR74" s="277"/>
      <c r="AS74" s="277"/>
      <c r="AT74" s="277"/>
      <c r="AU74" s="277"/>
      <c r="AV74" s="277"/>
      <c r="AW74" s="277"/>
      <c r="AX74" s="239"/>
      <c r="AZ74" s="238"/>
      <c r="BA74" s="277"/>
      <c r="BB74" s="277"/>
      <c r="BC74" s="277"/>
      <c r="BD74" s="277"/>
      <c r="BE74" s="277"/>
      <c r="BF74" s="277"/>
      <c r="BG74" s="277"/>
      <c r="BH74" s="239"/>
    </row>
    <row r="75" spans="2:60">
      <c r="E75" s="169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  <row r="82" spans="5:5">
      <c r="E82" s="169"/>
    </row>
  </sheetData>
  <pageMargins left="0.25" right="0.25" top="0.25" bottom="0.75" header="0.3" footer="0.3"/>
  <pageSetup paperSize="5" scale="4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DC657-D415-4728-B9AC-113630FF2215}">
  <sheetPr codeName="Sheet4">
    <tabColor theme="8" tint="0.79998168889431442"/>
  </sheetPr>
  <dimension ref="A1:M68"/>
  <sheetViews>
    <sheetView zoomScale="129" zoomScaleNormal="85" workbookViewId="0"/>
  </sheetViews>
  <sheetFormatPr defaultRowHeight="11.25"/>
  <cols>
    <col min="1" max="1" width="31.5" customWidth="1"/>
    <col min="2" max="2" width="5.83203125" customWidth="1"/>
    <col min="3" max="3" width="9.83203125" customWidth="1"/>
    <col min="4" max="4" width="13.5" customWidth="1"/>
    <col min="5" max="5" width="13.33203125" customWidth="1"/>
    <col min="6" max="6" width="4.1640625" customWidth="1"/>
    <col min="7" max="7" width="13.33203125" customWidth="1"/>
    <col min="8" max="8" width="6.1640625" bestFit="1" customWidth="1"/>
    <col min="9" max="9" width="18.1640625" customWidth="1"/>
    <col min="10" max="10" width="6.1640625" bestFit="1" customWidth="1"/>
    <col min="11" max="11" width="12.6640625" customWidth="1"/>
    <col min="12" max="12" width="3.5" customWidth="1"/>
    <col min="13" max="13" width="12.83203125" customWidth="1"/>
  </cols>
  <sheetData>
    <row r="1" spans="1:13" s="4" customFormat="1">
      <c r="A1" s="4" t="str">
        <f>+'Workpaper Index'!C3</f>
        <v>PACIFICORP</v>
      </c>
    </row>
    <row r="2" spans="1:13" s="4" customFormat="1">
      <c r="A2" s="4" t="str">
        <f>+'Workpaper Index'!C4</f>
        <v xml:space="preserve">WASHINGTON JUNE, 1 2024 RENEWABLES REPORT </v>
      </c>
    </row>
    <row r="3" spans="1:13" s="4" customFormat="1">
      <c r="A3" s="4" t="str">
        <f>+'Workpaper Index'!C5</f>
        <v>EVALUATION OF RENEWABLE RESOURCE COST</v>
      </c>
    </row>
    <row r="4" spans="1:13" s="4" customFormat="1"/>
    <row r="5" spans="1:13" s="4" customFormat="1">
      <c r="A5" s="4" t="str">
        <f>+'Workpaper Index'!C11&amp;" - "&amp;'Workpaper Index'!D11</f>
        <v>1.2 - LEVELIZED RESOURCE COST SUMMARY</v>
      </c>
    </row>
    <row r="6" spans="1:13">
      <c r="A6" s="4"/>
    </row>
    <row r="7" spans="1:13">
      <c r="G7" s="606" t="s">
        <v>25</v>
      </c>
      <c r="H7" s="606"/>
      <c r="I7" s="606"/>
      <c r="J7" s="606"/>
      <c r="K7" s="606"/>
      <c r="L7" s="606"/>
      <c r="M7" s="606"/>
    </row>
    <row r="8" spans="1:13" ht="45.75">
      <c r="A8" s="473" t="s">
        <v>272</v>
      </c>
      <c r="B8" s="473" t="s">
        <v>275</v>
      </c>
      <c r="C8" s="473" t="s">
        <v>276</v>
      </c>
      <c r="D8" s="473" t="s">
        <v>282</v>
      </c>
      <c r="E8" s="473" t="s">
        <v>292</v>
      </c>
      <c r="F8" s="475"/>
      <c r="G8" s="474" t="s">
        <v>27</v>
      </c>
      <c r="H8" s="474"/>
      <c r="I8" s="474" t="s">
        <v>28</v>
      </c>
      <c r="J8" s="474"/>
      <c r="K8" s="474" t="s">
        <v>29</v>
      </c>
      <c r="L8" s="475"/>
      <c r="M8" s="474" t="s">
        <v>30</v>
      </c>
    </row>
    <row r="9" spans="1:13">
      <c r="A9" s="9" t="s">
        <v>219</v>
      </c>
      <c r="B9" s="9" t="s">
        <v>275</v>
      </c>
      <c r="C9" s="9" t="s">
        <v>277</v>
      </c>
      <c r="D9" s="9"/>
      <c r="E9" s="9" t="s">
        <v>376</v>
      </c>
      <c r="F9" s="9"/>
      <c r="G9" s="570">
        <v>0</v>
      </c>
      <c r="H9" s="570"/>
      <c r="I9" s="570">
        <v>0</v>
      </c>
      <c r="J9" s="570"/>
      <c r="K9" s="570">
        <v>0</v>
      </c>
      <c r="L9" s="570"/>
      <c r="M9" s="570">
        <v>1.4</v>
      </c>
    </row>
    <row r="10" spans="1:13">
      <c r="A10" s="9" t="s">
        <v>220</v>
      </c>
      <c r="B10" s="9" t="s">
        <v>275</v>
      </c>
      <c r="C10" s="9" t="s">
        <v>277</v>
      </c>
      <c r="D10" s="9"/>
      <c r="E10" s="9" t="s">
        <v>376</v>
      </c>
      <c r="F10" s="9"/>
      <c r="G10" s="570">
        <v>0</v>
      </c>
      <c r="H10" s="570"/>
      <c r="I10" s="570">
        <v>0</v>
      </c>
      <c r="J10" s="570"/>
      <c r="K10" s="570">
        <v>0</v>
      </c>
      <c r="L10" s="570"/>
      <c r="M10" s="570">
        <v>1.4</v>
      </c>
    </row>
    <row r="11" spans="1:13">
      <c r="A11" s="9" t="s">
        <v>270</v>
      </c>
      <c r="B11" s="9"/>
      <c r="C11" s="9" t="s">
        <v>280</v>
      </c>
      <c r="D11" s="9"/>
      <c r="E11" s="9" t="s">
        <v>171</v>
      </c>
      <c r="F11" s="9"/>
      <c r="G11" s="570">
        <f>'Big Fork (2003IRP)'!S59</f>
        <v>61.588085716151504</v>
      </c>
      <c r="H11" s="570"/>
      <c r="I11" s="570">
        <f>'Big Fork (2003IRP)'!U59</f>
        <v>105.19606522217667</v>
      </c>
      <c r="J11" s="570"/>
      <c r="K11" s="570">
        <f>'Big Fork (2003IRP)'!W59</f>
        <v>-43.60797950602516</v>
      </c>
      <c r="L11" s="570"/>
      <c r="M11" s="570">
        <f>'Big Fork (2003IRP)'!Y59</f>
        <v>-19.338350113536656</v>
      </c>
    </row>
    <row r="12" spans="1:13">
      <c r="A12" s="9" t="s">
        <v>273</v>
      </c>
      <c r="B12" s="9"/>
      <c r="C12" s="9" t="s">
        <v>278</v>
      </c>
      <c r="D12" s="9"/>
      <c r="E12" s="9" t="s">
        <v>322</v>
      </c>
      <c r="F12" s="9"/>
      <c r="G12" s="570">
        <v>0</v>
      </c>
      <c r="H12" s="570"/>
      <c r="I12" s="570">
        <v>0</v>
      </c>
      <c r="J12" s="570"/>
      <c r="K12" s="570">
        <v>0</v>
      </c>
      <c r="L12" s="570"/>
      <c r="M12" s="570">
        <v>0</v>
      </c>
    </row>
    <row r="13" spans="1:13">
      <c r="A13" s="9" t="s">
        <v>274</v>
      </c>
      <c r="B13" s="9"/>
      <c r="C13" s="9" t="s">
        <v>278</v>
      </c>
      <c r="D13" s="9"/>
      <c r="E13" s="9" t="s">
        <v>184</v>
      </c>
      <c r="F13" s="9"/>
      <c r="G13" s="570">
        <f>'Blundell 2'!S64</f>
        <v>2819.202047347113</v>
      </c>
      <c r="H13" s="570"/>
      <c r="I13" s="570">
        <f>'Blundell 2'!U64</f>
        <v>8829.2935321472123</v>
      </c>
      <c r="J13" s="570"/>
      <c r="K13" s="570">
        <f>'Blundell 2'!W64</f>
        <v>-6010.0914848000994</v>
      </c>
      <c r="L13" s="570"/>
      <c r="M13" s="570">
        <f>'Blundell 2'!Y64</f>
        <v>-63.542288348681581</v>
      </c>
    </row>
    <row r="14" spans="1:13">
      <c r="A14" s="9" t="s">
        <v>221</v>
      </c>
      <c r="B14" s="9" t="s">
        <v>275</v>
      </c>
      <c r="C14" s="9" t="s">
        <v>277</v>
      </c>
      <c r="D14" s="9"/>
      <c r="E14" s="9" t="s">
        <v>376</v>
      </c>
      <c r="F14" s="9"/>
      <c r="G14" s="570">
        <v>0</v>
      </c>
      <c r="H14" s="570"/>
      <c r="I14" s="570">
        <v>0</v>
      </c>
      <c r="J14" s="570"/>
      <c r="K14" s="570">
        <v>0</v>
      </c>
      <c r="L14" s="570"/>
      <c r="M14" s="570">
        <v>1.4</v>
      </c>
    </row>
    <row r="15" spans="1:13">
      <c r="A15" s="9" t="s">
        <v>223</v>
      </c>
      <c r="B15" s="9"/>
      <c r="C15" s="9" t="s">
        <v>279</v>
      </c>
      <c r="D15" s="9"/>
      <c r="E15" s="9" t="s">
        <v>184</v>
      </c>
      <c r="F15" s="9"/>
      <c r="G15" s="570">
        <f>'Cambell Hill (PPA)'!S58</f>
        <v>20609.598859325553</v>
      </c>
      <c r="H15" s="570"/>
      <c r="I15" s="570">
        <f>'Cambell Hill (PPA)'!U58</f>
        <v>29273.264706634131</v>
      </c>
      <c r="J15" s="570"/>
      <c r="K15" s="570">
        <f>'Cambell Hill (PPA)'!W58</f>
        <v>-8663.6658473085809</v>
      </c>
      <c r="L15" s="570"/>
      <c r="M15" s="570">
        <f>'Cambell Hill (PPA)'!Y58</f>
        <v>-35.513823799757304</v>
      </c>
    </row>
    <row r="16" spans="1:13">
      <c r="A16" s="9" t="s">
        <v>281</v>
      </c>
      <c r="B16" s="9"/>
      <c r="C16" s="9" t="s">
        <v>279</v>
      </c>
      <c r="D16" s="9"/>
      <c r="E16" s="9" t="s">
        <v>287</v>
      </c>
      <c r="F16" s="9"/>
      <c r="G16" s="570">
        <f>'Cedar Springs I (PPA)'!S58</f>
        <v>12647.624295574342</v>
      </c>
      <c r="H16" s="570"/>
      <c r="I16" s="570">
        <f>'Cedar Springs I (PPA)'!U58</f>
        <v>36666.223596023403</v>
      </c>
      <c r="J16" s="570"/>
      <c r="K16" s="570">
        <f>'Cedar Springs I (PPA)'!W58</f>
        <v>-24018.599300449048</v>
      </c>
      <c r="L16" s="570"/>
      <c r="M16" s="570">
        <f>'Cedar Springs I (PPA)'!Y58</f>
        <v>-32.078001741936873</v>
      </c>
    </row>
    <row r="17" spans="1:13">
      <c r="A17" s="9" t="s">
        <v>263</v>
      </c>
      <c r="B17" s="9"/>
      <c r="C17" s="9" t="s">
        <v>279</v>
      </c>
      <c r="D17" s="9"/>
      <c r="E17" s="9" t="s">
        <v>287</v>
      </c>
      <c r="F17" s="9"/>
      <c r="G17" s="570">
        <f>'Cedar Springs II'!S68</f>
        <v>1288.2309635277825</v>
      </c>
      <c r="H17" s="570"/>
      <c r="I17" s="570">
        <f>'Cedar Springs II'!U68</f>
        <v>37799.677011087806</v>
      </c>
      <c r="J17" s="570"/>
      <c r="K17" s="570">
        <f>'Cedar Springs II'!W68</f>
        <v>-36511.446047560028</v>
      </c>
      <c r="L17" s="570"/>
      <c r="M17" s="570">
        <f>'Cedar Springs II'!Y68</f>
        <v>33.484495796648424</v>
      </c>
    </row>
    <row r="18" spans="1:13">
      <c r="A18" s="9" t="s">
        <v>262</v>
      </c>
      <c r="B18" s="9"/>
      <c r="C18" s="9" t="s">
        <v>279</v>
      </c>
      <c r="D18" s="9"/>
      <c r="E18" s="9" t="s">
        <v>287</v>
      </c>
      <c r="F18" s="9"/>
      <c r="G18" s="570">
        <f>'Cedar Springs III (PPA)'!S58</f>
        <v>8153.6623952735999</v>
      </c>
      <c r="H18" s="570"/>
      <c r="I18" s="570">
        <f>'Cedar Springs III (PPA)'!U58</f>
        <v>23515.342020079479</v>
      </c>
      <c r="J18" s="570"/>
      <c r="K18" s="570">
        <f>'Cedar Springs III (PPA)'!W58</f>
        <v>-15361.679624805871</v>
      </c>
      <c r="L18" s="570"/>
      <c r="M18" s="570">
        <f>'Cedar Springs III (PPA)'!Y58</f>
        <v>-31.823985208310333</v>
      </c>
    </row>
    <row r="19" spans="1:13">
      <c r="A19" s="9" t="s">
        <v>203</v>
      </c>
      <c r="B19" s="9"/>
      <c r="C19" s="9" t="s">
        <v>279</v>
      </c>
      <c r="D19" s="9" t="s">
        <v>282</v>
      </c>
      <c r="E19" s="9" t="s">
        <v>295</v>
      </c>
      <c r="F19" s="9"/>
      <c r="G19" s="570">
        <f>'Dunlap - Repower'!S75</f>
        <v>20108.704376956124</v>
      </c>
      <c r="H19" s="570"/>
      <c r="I19" s="570">
        <f>'Dunlap - Repower'!U75</f>
        <v>28774.506728027667</v>
      </c>
      <c r="J19" s="570"/>
      <c r="K19" s="570">
        <f>'Dunlap - Repower'!W75</f>
        <v>-8665.8023510715375</v>
      </c>
      <c r="L19" s="570"/>
      <c r="M19" s="570">
        <f>'Dunlap - Repower'!Y75</f>
        <v>-23.515096713077824</v>
      </c>
    </row>
    <row r="20" spans="1:13">
      <c r="A20" s="9" t="s">
        <v>252</v>
      </c>
      <c r="B20" s="9"/>
      <c r="C20" s="9" t="s">
        <v>279</v>
      </c>
      <c r="D20" s="9"/>
      <c r="E20" s="9" t="s">
        <v>248</v>
      </c>
      <c r="F20" s="9"/>
      <c r="G20" s="570">
        <f>'Ekola Flats Wind'!S59</f>
        <v>4902.7770679884516</v>
      </c>
      <c r="H20" s="570"/>
      <c r="I20" s="570">
        <f>'Ekola Flats Wind'!U59</f>
        <v>39568.626951186539</v>
      </c>
      <c r="J20" s="570"/>
      <c r="K20" s="570">
        <f>'Ekola Flats Wind'!W59</f>
        <v>-34665.849883198091</v>
      </c>
      <c r="L20" s="570"/>
      <c r="M20" s="570">
        <f>'Ekola Flats Wind'!Y59</f>
        <v>-40.565681070494129</v>
      </c>
    </row>
    <row r="21" spans="1:13">
      <c r="A21" s="9" t="s">
        <v>222</v>
      </c>
      <c r="B21" s="9" t="s">
        <v>275</v>
      </c>
      <c r="C21" s="9" t="s">
        <v>277</v>
      </c>
      <c r="D21" s="9"/>
      <c r="E21" s="9" t="s">
        <v>376</v>
      </c>
      <c r="F21" s="9"/>
      <c r="G21" s="570">
        <v>0</v>
      </c>
      <c r="H21" s="570"/>
      <c r="I21" s="570">
        <v>0</v>
      </c>
      <c r="J21" s="570"/>
      <c r="K21" s="570">
        <v>0</v>
      </c>
      <c r="L21" s="570"/>
      <c r="M21" s="570">
        <v>1.4</v>
      </c>
    </row>
    <row r="22" spans="1:13">
      <c r="A22" s="9" t="s">
        <v>216</v>
      </c>
      <c r="B22" s="9" t="s">
        <v>275</v>
      </c>
      <c r="C22" s="9" t="s">
        <v>277</v>
      </c>
      <c r="D22" s="9"/>
      <c r="E22" s="9" t="s">
        <v>376</v>
      </c>
      <c r="F22" s="9"/>
      <c r="G22" s="570">
        <v>0</v>
      </c>
      <c r="H22" s="570"/>
      <c r="I22" s="570">
        <v>0</v>
      </c>
      <c r="J22" s="570"/>
      <c r="K22" s="570">
        <v>0</v>
      </c>
      <c r="L22" s="570"/>
      <c r="M22" s="570">
        <v>1.9</v>
      </c>
    </row>
    <row r="23" spans="1:13">
      <c r="A23" s="424" t="s">
        <v>253</v>
      </c>
      <c r="B23" s="424"/>
      <c r="C23" s="424" t="s">
        <v>279</v>
      </c>
      <c r="D23" s="424"/>
      <c r="E23" s="424"/>
      <c r="F23" s="424"/>
      <c r="G23" s="571">
        <v>0</v>
      </c>
      <c r="H23" s="571"/>
      <c r="I23" s="571">
        <v>0</v>
      </c>
      <c r="J23" s="571"/>
      <c r="K23" s="571">
        <v>0</v>
      </c>
      <c r="L23" s="571"/>
      <c r="M23" s="571">
        <v>0</v>
      </c>
    </row>
    <row r="24" spans="1:13">
      <c r="A24" s="9" t="s">
        <v>204</v>
      </c>
      <c r="B24" s="9"/>
      <c r="C24" s="9" t="s">
        <v>279</v>
      </c>
      <c r="D24" s="9" t="s">
        <v>282</v>
      </c>
      <c r="E24" s="9" t="s">
        <v>294</v>
      </c>
      <c r="F24" s="9"/>
      <c r="G24" s="570">
        <f>'Glenrock I - Repower'!S70</f>
        <v>19684.218778822196</v>
      </c>
      <c r="H24" s="570"/>
      <c r="I24" s="570">
        <f>'Glenrock I - Repower'!U70</f>
        <v>20945.849711875107</v>
      </c>
      <c r="J24" s="570"/>
      <c r="K24" s="570">
        <f>'Glenrock I - Repower'!W70</f>
        <v>-1261.63093305291</v>
      </c>
      <c r="L24" s="570"/>
      <c r="M24" s="570">
        <f>'Glenrock I - Repower'!Y70</f>
        <v>-4.5792577629076945</v>
      </c>
    </row>
    <row r="25" spans="1:13">
      <c r="A25" s="9" t="s">
        <v>254</v>
      </c>
      <c r="B25" s="9"/>
      <c r="C25" s="9" t="s">
        <v>279</v>
      </c>
      <c r="D25" s="9" t="s">
        <v>282</v>
      </c>
      <c r="E25" s="9" t="s">
        <v>294</v>
      </c>
      <c r="F25" s="9"/>
      <c r="G25" s="570">
        <f>'Glenrock III - Repower'!S70</f>
        <v>7645.4604601328538</v>
      </c>
      <c r="H25" s="570"/>
      <c r="I25" s="570">
        <f>'Glenrock III - Repower'!U70</f>
        <v>8020.2042537516527</v>
      </c>
      <c r="J25" s="570"/>
      <c r="K25" s="570">
        <f>'Glenrock III - Repower'!W70</f>
        <v>-374.74379361879983</v>
      </c>
      <c r="L25" s="570"/>
      <c r="M25" s="570">
        <f>'Glenrock III - Repower'!Y70</f>
        <v>-3.8522891249440252</v>
      </c>
    </row>
    <row r="26" spans="1:13">
      <c r="A26" s="9" t="s">
        <v>12</v>
      </c>
      <c r="B26" s="9"/>
      <c r="C26" s="9" t="s">
        <v>279</v>
      </c>
      <c r="D26" s="9" t="s">
        <v>282</v>
      </c>
      <c r="E26" s="9" t="s">
        <v>293</v>
      </c>
      <c r="F26" s="9"/>
      <c r="G26" s="570">
        <f>'Goodnoe_Hills - Repower'!S71</f>
        <v>20279.851149041704</v>
      </c>
      <c r="H26" s="570"/>
      <c r="I26" s="570">
        <f>'Goodnoe_Hills - Repower'!U71</f>
        <v>15628.68978043069</v>
      </c>
      <c r="J26" s="570"/>
      <c r="K26" s="570">
        <f>'Goodnoe_Hills - Repower'!W71</f>
        <v>4651.1613686110186</v>
      </c>
      <c r="L26" s="570"/>
      <c r="M26" s="570">
        <f>'Goodnoe_Hills - Repower'!Y71</f>
        <v>17.08953726360841</v>
      </c>
    </row>
    <row r="27" spans="1:13" s="17" customFormat="1">
      <c r="A27" s="551" t="s">
        <v>250</v>
      </c>
      <c r="C27" s="551" t="s">
        <v>279</v>
      </c>
      <c r="E27" s="9" t="s">
        <v>376</v>
      </c>
      <c r="F27" s="9"/>
      <c r="G27" s="570">
        <v>0</v>
      </c>
      <c r="H27" s="570"/>
      <c r="I27" s="570">
        <v>0</v>
      </c>
      <c r="J27" s="570"/>
      <c r="K27" s="570">
        <v>0</v>
      </c>
      <c r="L27" s="570"/>
      <c r="M27" s="570">
        <v>1.7</v>
      </c>
    </row>
    <row r="28" spans="1:13" s="17" customFormat="1">
      <c r="A28" s="551" t="s">
        <v>251</v>
      </c>
      <c r="C28" s="551" t="s">
        <v>279</v>
      </c>
      <c r="E28" s="9" t="s">
        <v>376</v>
      </c>
      <c r="F28" s="9"/>
      <c r="G28" s="570">
        <v>0</v>
      </c>
      <c r="H28" s="570"/>
      <c r="I28" s="570">
        <v>0</v>
      </c>
      <c r="J28" s="570"/>
      <c r="K28" s="570">
        <v>0</v>
      </c>
      <c r="L28" s="570"/>
      <c r="M28" s="570">
        <v>1.7</v>
      </c>
    </row>
    <row r="29" spans="1:13">
      <c r="A29" s="9" t="s">
        <v>255</v>
      </c>
      <c r="B29" s="9"/>
      <c r="C29" s="9" t="s">
        <v>279</v>
      </c>
      <c r="D29" s="9" t="s">
        <v>282</v>
      </c>
      <c r="E29" s="9" t="s">
        <v>294</v>
      </c>
      <c r="F29" s="9"/>
      <c r="G29" s="570">
        <f>'High Plains - Repower'!S70</f>
        <v>21864.068872841104</v>
      </c>
      <c r="H29" s="570"/>
      <c r="I29" s="570">
        <f>'High Plains - Repower'!U70</f>
        <v>21008.0821569115</v>
      </c>
      <c r="J29" s="570"/>
      <c r="K29" s="570">
        <f>'High Plains - Repower'!W70</f>
        <v>855.9867159296133</v>
      </c>
      <c r="L29" s="570"/>
      <c r="M29" s="570">
        <f>'High Plains - Repower'!Y70</f>
        <v>0.42153243388039824</v>
      </c>
    </row>
    <row r="30" spans="1:13">
      <c r="A30" s="9" t="s">
        <v>201</v>
      </c>
      <c r="B30" s="9"/>
      <c r="C30" s="9" t="s">
        <v>280</v>
      </c>
      <c r="D30" s="9"/>
      <c r="E30" s="9" t="s">
        <v>171</v>
      </c>
      <c r="F30" s="9"/>
      <c r="G30" s="570">
        <f>'JC Boyle (2004 IRP)'!S47</f>
        <v>113.44495737553754</v>
      </c>
      <c r="H30" s="570"/>
      <c r="I30" s="570">
        <f>'JC Boyle (2004 IRP)'!U47</f>
        <v>2336.8699264847774</v>
      </c>
      <c r="J30" s="570"/>
      <c r="K30" s="570">
        <f>'JC Boyle (2004 IRP)'!W47</f>
        <v>-2223.42496910924</v>
      </c>
      <c r="L30" s="570"/>
      <c r="M30" s="570">
        <f>'JC Boyle (2004 IRP)'!Y47</f>
        <v>-66.436339352473794</v>
      </c>
    </row>
    <row r="31" spans="1:13">
      <c r="A31" s="9" t="s">
        <v>256</v>
      </c>
      <c r="B31" s="9" t="s">
        <v>275</v>
      </c>
      <c r="C31" s="9" t="s">
        <v>279</v>
      </c>
      <c r="D31" s="9"/>
      <c r="E31" s="9" t="s">
        <v>308</v>
      </c>
      <c r="F31" s="9"/>
      <c r="G31" s="570">
        <f>'Latigo (PPA)'!S58</f>
        <v>10292.323167750461</v>
      </c>
      <c r="H31" s="570"/>
      <c r="I31" s="570">
        <f>'Latigo (PPA)'!U58</f>
        <v>16145.776679071489</v>
      </c>
      <c r="J31" s="570"/>
      <c r="K31" s="570">
        <f>'Latigo (PPA)'!W58</f>
        <v>-5853.4535113210322</v>
      </c>
      <c r="L31" s="570"/>
      <c r="M31" s="570">
        <f>'Latigo (PPA)'!Y58</f>
        <v>-36.351856688816731</v>
      </c>
    </row>
    <row r="32" spans="1:13">
      <c r="A32" s="9" t="s">
        <v>13</v>
      </c>
      <c r="B32" s="9"/>
      <c r="C32" s="9" t="s">
        <v>279</v>
      </c>
      <c r="D32" s="9" t="s">
        <v>282</v>
      </c>
      <c r="E32" s="9" t="s">
        <v>294</v>
      </c>
      <c r="F32" s="9"/>
      <c r="G32" s="570">
        <f>'Leaning Juniper -Repower'!S73</f>
        <v>21752.206130388346</v>
      </c>
      <c r="H32" s="570"/>
      <c r="I32" s="570">
        <f>'Leaning Juniper -Repower'!U73</f>
        <v>17111.301003855828</v>
      </c>
      <c r="J32" s="570"/>
      <c r="K32" s="570">
        <f>'Leaning Juniper -Repower'!W73</f>
        <v>4640.9051265325033</v>
      </c>
      <c r="L32" s="570"/>
      <c r="M32" s="570">
        <f>'Leaning Juniper -Repower'!Y73</f>
        <v>18.282770860147256</v>
      </c>
    </row>
    <row r="33" spans="1:13">
      <c r="A33" s="551" t="s">
        <v>20</v>
      </c>
      <c r="B33" s="9"/>
      <c r="C33" s="9" t="s">
        <v>280</v>
      </c>
      <c r="D33" s="9"/>
      <c r="E33" s="9" t="s">
        <v>184</v>
      </c>
      <c r="F33" s="9"/>
      <c r="G33" s="570">
        <f>'Lemolo 1 (2003IRP)'!S66</f>
        <v>51.351375492717658</v>
      </c>
      <c r="H33" s="570"/>
      <c r="I33" s="570">
        <f>'Lemolo 1 (2003IRP)'!U66</f>
        <v>645.67385605629227</v>
      </c>
      <c r="J33" s="570"/>
      <c r="K33" s="570">
        <f>'Lemolo 1 (2003IRP)'!W66</f>
        <v>-594.32248056357446</v>
      </c>
      <c r="L33" s="570"/>
      <c r="M33" s="570">
        <f>'Lemolo 1 (2003IRP)'!Y66</f>
        <v>-45.230021351870242</v>
      </c>
    </row>
    <row r="34" spans="1:13">
      <c r="A34" s="551" t="s">
        <v>21</v>
      </c>
      <c r="B34" s="9"/>
      <c r="C34" s="9" t="s">
        <v>280</v>
      </c>
      <c r="D34" s="9"/>
      <c r="E34" s="9" t="s">
        <v>184</v>
      </c>
      <c r="F34" s="9"/>
      <c r="G34" s="570">
        <f>'Lemolo 2 (2008 IRP)'!S58</f>
        <v>885.53156555422208</v>
      </c>
      <c r="H34" s="570"/>
      <c r="I34" s="570">
        <f>'Lemolo 2 (2008 IRP)'!U58</f>
        <v>2014.8542606002784</v>
      </c>
      <c r="J34" s="570"/>
      <c r="K34" s="570">
        <f>'Lemolo 2 (2008 IRP)'!W58</f>
        <v>-1129.3226950460569</v>
      </c>
      <c r="L34" s="570"/>
      <c r="M34" s="570">
        <f>'Lemolo 2 (2008 IRP)'!Y58</f>
        <v>-65.650662425651461</v>
      </c>
    </row>
    <row r="35" spans="1:13">
      <c r="A35" s="9" t="s">
        <v>15</v>
      </c>
      <c r="B35" s="9"/>
      <c r="C35" s="9" t="s">
        <v>279</v>
      </c>
      <c r="D35" s="9" t="s">
        <v>282</v>
      </c>
      <c r="E35" s="9" t="s">
        <v>294</v>
      </c>
      <c r="F35" s="9"/>
      <c r="G35" s="570">
        <f>'Marengo - Repower'!S72</f>
        <v>31676.043010066885</v>
      </c>
      <c r="H35" s="570"/>
      <c r="I35" s="570">
        <f>'Marengo - Repower'!U72</f>
        <v>25020.675635753447</v>
      </c>
      <c r="J35" s="570"/>
      <c r="K35" s="570">
        <f>'Marengo - Repower'!W72</f>
        <v>6655.367374313445</v>
      </c>
      <c r="L35" s="570"/>
      <c r="M35" s="570">
        <f>'Marengo - Repower'!Y72</f>
        <v>14.603774424903307</v>
      </c>
    </row>
    <row r="36" spans="1:13">
      <c r="A36" s="9" t="s">
        <v>16</v>
      </c>
      <c r="B36" s="9"/>
      <c r="C36" s="9" t="s">
        <v>279</v>
      </c>
      <c r="D36" s="9" t="s">
        <v>282</v>
      </c>
      <c r="E36" s="9" t="s">
        <v>294</v>
      </c>
      <c r="F36" s="9"/>
      <c r="G36" s="570">
        <f>'Marengo 2 - Repower'!S71</f>
        <v>16532.487205203957</v>
      </c>
      <c r="H36" s="570"/>
      <c r="I36" s="570">
        <f>'Marengo 2 - Repower'!U71</f>
        <v>12151.199710988592</v>
      </c>
      <c r="J36" s="570"/>
      <c r="K36" s="570">
        <f>'Marengo 2 - Repower'!W71</f>
        <v>4381.2874942153694</v>
      </c>
      <c r="L36" s="570"/>
      <c r="M36" s="570">
        <f>'Marengo 2 - Repower'!Y71</f>
        <v>20.499368155733791</v>
      </c>
    </row>
    <row r="37" spans="1:13">
      <c r="A37" s="9" t="s">
        <v>257</v>
      </c>
      <c r="B37" s="9"/>
      <c r="C37" s="9" t="s">
        <v>279</v>
      </c>
      <c r="D37" s="9" t="s">
        <v>282</v>
      </c>
      <c r="E37" s="9" t="s">
        <v>294</v>
      </c>
      <c r="F37" s="9"/>
      <c r="G37" s="570">
        <f>'McFadden Ridge - Repower'!S70</f>
        <v>5432.0693520449195</v>
      </c>
      <c r="H37" s="570"/>
      <c r="I37" s="570">
        <f>'McFadden Ridge - Repower'!U70</f>
        <v>6037.0661372824388</v>
      </c>
      <c r="J37" s="570"/>
      <c r="K37" s="570">
        <f>'McFadden Ridge - Repower'!W70</f>
        <v>-604.99678523752084</v>
      </c>
      <c r="L37" s="570"/>
      <c r="M37" s="570">
        <f>'McFadden Ridge - Repower'!Y70</f>
        <v>-8.5890776126560624</v>
      </c>
    </row>
    <row r="38" spans="1:13">
      <c r="A38" s="9" t="s">
        <v>258</v>
      </c>
      <c r="B38" s="9" t="s">
        <v>275</v>
      </c>
      <c r="C38" s="9" t="s">
        <v>279</v>
      </c>
      <c r="D38" s="9"/>
      <c r="E38" s="9" t="s">
        <v>191</v>
      </c>
      <c r="F38" s="9"/>
      <c r="G38" s="570">
        <f>'Mountain Wind I (PPA)'!S61</f>
        <v>9950.4655594777869</v>
      </c>
      <c r="H38" s="570"/>
      <c r="I38" s="570">
        <f>'Mountain Wind I (PPA)'!U61</f>
        <v>12085.736136931313</v>
      </c>
      <c r="J38" s="570"/>
      <c r="K38" s="570">
        <f>'Mountain Wind I (PPA)'!W61</f>
        <v>-2135.2705774535248</v>
      </c>
      <c r="L38" s="570"/>
      <c r="M38" s="570">
        <f>'Mountain Wind I (PPA)'!Y61</f>
        <v>-13.295947923628464</v>
      </c>
    </row>
    <row r="39" spans="1:13">
      <c r="A39" s="9" t="s">
        <v>259</v>
      </c>
      <c r="B39" s="9" t="s">
        <v>275</v>
      </c>
      <c r="C39" s="9" t="s">
        <v>279</v>
      </c>
      <c r="D39" s="9"/>
      <c r="E39" s="9" t="s">
        <v>191</v>
      </c>
      <c r="F39" s="9"/>
      <c r="G39" s="570">
        <f>'Mountain Wind II (PPA)'!S61</f>
        <v>15470.417563327237</v>
      </c>
      <c r="H39" s="570"/>
      <c r="I39" s="570">
        <f>'Mountain Wind II (PPA)'!U61</f>
        <v>16447.371602235849</v>
      </c>
      <c r="J39" s="570"/>
      <c r="K39" s="570">
        <f>'Mountain Wind II (PPA)'!W61</f>
        <v>-976.95403890861473</v>
      </c>
      <c r="L39" s="570"/>
      <c r="M39" s="570">
        <f>'Mountain Wind II (PPA)'!Y61</f>
        <v>-4.4568797057952274</v>
      </c>
    </row>
    <row r="40" spans="1:13">
      <c r="A40" s="9" t="s">
        <v>215</v>
      </c>
      <c r="B40" s="9" t="s">
        <v>275</v>
      </c>
      <c r="C40" s="9" t="s">
        <v>277</v>
      </c>
      <c r="D40" s="9"/>
      <c r="E40" s="9" t="s">
        <v>376</v>
      </c>
      <c r="F40" s="9"/>
      <c r="G40" s="570">
        <v>0</v>
      </c>
      <c r="H40" s="570"/>
      <c r="I40" s="570">
        <v>0</v>
      </c>
      <c r="J40" s="570"/>
      <c r="K40" s="570">
        <v>0</v>
      </c>
      <c r="L40" s="570"/>
      <c r="M40" s="570">
        <v>1.5</v>
      </c>
    </row>
    <row r="41" spans="1:13">
      <c r="A41" s="9" t="s">
        <v>265</v>
      </c>
      <c r="B41" s="9" t="s">
        <v>275</v>
      </c>
      <c r="C41" s="9" t="s">
        <v>277</v>
      </c>
      <c r="D41" s="9"/>
      <c r="E41" s="9" t="s">
        <v>308</v>
      </c>
      <c r="F41" s="9"/>
      <c r="G41" s="570">
        <f>'Pavant II (PPA)'!S58</f>
        <v>6099.5727164523514</v>
      </c>
      <c r="H41" s="570"/>
      <c r="I41" s="570">
        <f>'Pavant II (PPA)'!U58</f>
        <v>13771.474997509195</v>
      </c>
      <c r="J41" s="570"/>
      <c r="K41" s="570">
        <f>'Pavant II (PPA)'!W58</f>
        <v>-7671.9022810568467</v>
      </c>
      <c r="L41" s="570"/>
      <c r="M41" s="570">
        <f>'Pavant II (PPA)'!Y58</f>
        <v>-61.068508183530625</v>
      </c>
    </row>
    <row r="42" spans="1:13">
      <c r="A42" s="9" t="s">
        <v>260</v>
      </c>
      <c r="B42" s="9" t="s">
        <v>275</v>
      </c>
      <c r="C42" s="9" t="s">
        <v>279</v>
      </c>
      <c r="D42" s="9"/>
      <c r="E42" s="9" t="s">
        <v>308</v>
      </c>
      <c r="F42" s="9"/>
      <c r="G42" s="570">
        <f>'Pioneer Wind (PPA)'!S58</f>
        <v>18007.725487954118</v>
      </c>
      <c r="H42" s="570"/>
      <c r="I42" s="570">
        <f>'Pioneer Wind (PPA)'!U58</f>
        <v>28963.70230801063</v>
      </c>
      <c r="J42" s="570"/>
      <c r="K42" s="570">
        <f>'Pioneer Wind (PPA)'!W58</f>
        <v>-10955.976820056512</v>
      </c>
      <c r="L42" s="570"/>
      <c r="M42" s="570">
        <f>'Pioneer Wind (PPA)'!Y58</f>
        <v>-38.889997337800139</v>
      </c>
    </row>
    <row r="43" spans="1:13">
      <c r="A43" s="551" t="s">
        <v>19</v>
      </c>
      <c r="B43" s="9"/>
      <c r="C43" s="9" t="s">
        <v>280</v>
      </c>
      <c r="D43" s="9"/>
      <c r="E43" s="9" t="s">
        <v>171</v>
      </c>
      <c r="F43" s="9"/>
      <c r="G43" s="570">
        <f>'Prospect 2 (2003 IRP)'!S66</f>
        <v>39.061852998687137</v>
      </c>
      <c r="H43" s="570"/>
      <c r="I43" s="570">
        <f>'Prospect 2 (2003 IRP)'!U66</f>
        <v>411.16375667828771</v>
      </c>
      <c r="J43" s="570"/>
      <c r="K43" s="570">
        <f>'Prospect 2 (2003 IRP)'!W66</f>
        <v>-372.10190367960053</v>
      </c>
      <c r="L43" s="570"/>
      <c r="M43" s="570">
        <f>'Prospect 2 (2003 IRP)'!Y66</f>
        <v>-40.273516972999651</v>
      </c>
    </row>
    <row r="44" spans="1:13">
      <c r="A44" s="9" t="s">
        <v>430</v>
      </c>
      <c r="B44" s="9"/>
      <c r="C44" s="9" t="s">
        <v>279</v>
      </c>
      <c r="D44" s="9"/>
      <c r="E44" s="9" t="s">
        <v>171</v>
      </c>
      <c r="F44" s="9"/>
      <c r="G44" s="570">
        <f>'Rock River I (PPA)'!S52</f>
        <v>7052.2950576296835</v>
      </c>
      <c r="H44" s="570"/>
      <c r="I44" s="570">
        <f>'Rock River I (PPA)'!U52</f>
        <v>5419.8604861047306</v>
      </c>
      <c r="J44" s="570"/>
      <c r="K44" s="570">
        <f>'Rock River I (PPA)'!W52</f>
        <v>1632.4345715249522</v>
      </c>
      <c r="L44" s="570"/>
      <c r="M44" s="570">
        <f>'Rock River I (PPA)'!Y52</f>
        <v>11.721954657913106</v>
      </c>
    </row>
    <row r="45" spans="1:13">
      <c r="A45" s="9" t="s">
        <v>289</v>
      </c>
      <c r="B45" s="9"/>
      <c r="C45" s="9" t="s">
        <v>279</v>
      </c>
      <c r="D45" s="9" t="s">
        <v>282</v>
      </c>
      <c r="E45" s="9" t="s">
        <v>294</v>
      </c>
      <c r="F45" s="9"/>
      <c r="G45" s="570">
        <f>'Rolling Hills - Repower'!S70</f>
        <v>16990.625702525427</v>
      </c>
      <c r="H45" s="570"/>
      <c r="I45" s="570">
        <f>'Rolling Hills - Repower'!U70</f>
        <v>19410.26634290806</v>
      </c>
      <c r="J45" s="570"/>
      <c r="K45" s="570">
        <f>'Rolling Hills - Repower'!W70</f>
        <v>-2419.64064038263</v>
      </c>
      <c r="L45" s="570"/>
      <c r="M45" s="570">
        <f>'Rolling Hills - Repower'!Y70</f>
        <v>-8.8136173210603506</v>
      </c>
    </row>
    <row r="46" spans="1:13">
      <c r="A46" s="9" t="s">
        <v>266</v>
      </c>
      <c r="B46" s="9" t="s">
        <v>275</v>
      </c>
      <c r="C46" s="9" t="s">
        <v>277</v>
      </c>
      <c r="D46" s="9"/>
      <c r="E46" s="9" t="s">
        <v>248</v>
      </c>
      <c r="F46" s="9"/>
      <c r="G46" s="570">
        <f>'Sage Solar I (PPA)'!S58</f>
        <v>2106.8780649583409</v>
      </c>
      <c r="H46" s="570"/>
      <c r="I46" s="570">
        <f>'Sage Solar I (PPA)'!U58</f>
        <v>2722.7840655659088</v>
      </c>
      <c r="J46" s="570"/>
      <c r="K46" s="570">
        <f>'Sage Solar I (PPA)'!W58</f>
        <v>-615.90600060756753</v>
      </c>
      <c r="L46" s="570"/>
      <c r="M46" s="570">
        <f>'Sage Solar I (PPA)'!Y58</f>
        <v>-22.011095141487989</v>
      </c>
    </row>
    <row r="47" spans="1:13">
      <c r="A47" s="9" t="s">
        <v>267</v>
      </c>
      <c r="B47" s="9" t="s">
        <v>275</v>
      </c>
      <c r="C47" s="9" t="s">
        <v>277</v>
      </c>
      <c r="D47" s="9"/>
      <c r="E47" s="9" t="s">
        <v>248</v>
      </c>
      <c r="F47" s="9"/>
      <c r="G47" s="570">
        <f>'Sage Solar II (PPA)'!S58</f>
        <v>2024.1456388655315</v>
      </c>
      <c r="H47" s="570"/>
      <c r="I47" s="570">
        <f>'Sage Solar II (PPA)'!U58</f>
        <v>2722.7840655659088</v>
      </c>
      <c r="J47" s="570"/>
      <c r="K47" s="570">
        <f>'Sage Solar II (PPA)'!W58</f>
        <v>-698.63842670037661</v>
      </c>
      <c r="L47" s="570"/>
      <c r="M47" s="570">
        <f>'Sage Solar II (PPA)'!Y58</f>
        <v>-23.877816875748543</v>
      </c>
    </row>
    <row r="48" spans="1:13">
      <c r="A48" s="9" t="s">
        <v>268</v>
      </c>
      <c r="B48" s="9" t="s">
        <v>275</v>
      </c>
      <c r="C48" s="9" t="s">
        <v>277</v>
      </c>
      <c r="D48" s="9"/>
      <c r="E48" s="9" t="s">
        <v>248</v>
      </c>
      <c r="F48" s="9"/>
      <c r="G48" s="570">
        <f>'Sage Solar III (PPA)'!S58</f>
        <v>1749.2904990977061</v>
      </c>
      <c r="H48" s="570"/>
      <c r="I48" s="570">
        <f>'Sage Solar III (PPA)'!U58</f>
        <v>2308.1861000949484</v>
      </c>
      <c r="J48" s="570"/>
      <c r="K48" s="570">
        <f>'Sage Solar III (PPA)'!W58</f>
        <v>-558.89560099724258</v>
      </c>
      <c r="L48" s="570"/>
      <c r="M48" s="570">
        <f>'Sage Solar III (PPA)'!Y58</f>
        <v>-23.525723259751</v>
      </c>
    </row>
    <row r="49" spans="1:13">
      <c r="A49" s="9" t="s">
        <v>213</v>
      </c>
      <c r="B49" s="9"/>
      <c r="C49" s="9" t="s">
        <v>279</v>
      </c>
      <c r="D49" s="9" t="s">
        <v>282</v>
      </c>
      <c r="E49" s="9" t="s">
        <v>294</v>
      </c>
      <c r="F49" s="9"/>
      <c r="G49" s="570">
        <f>'Seven Mile Hill I- Repower'!S70</f>
        <v>17170.797639483721</v>
      </c>
      <c r="H49" s="570"/>
      <c r="I49" s="570">
        <f>'Seven Mile Hill I- Repower'!U70</f>
        <v>22852.715510645838</v>
      </c>
      <c r="J49" s="570"/>
      <c r="K49" s="570">
        <f>'Seven Mile Hill I- Repower'!W70</f>
        <v>-5681.9178711621162</v>
      </c>
      <c r="L49" s="570"/>
      <c r="M49" s="570">
        <f>'Seven Mile Hill I- Repower'!Y70</f>
        <v>-17.131349246162966</v>
      </c>
    </row>
    <row r="50" spans="1:13">
      <c r="A50" s="9" t="s">
        <v>340</v>
      </c>
      <c r="B50" s="9"/>
      <c r="C50" s="9" t="s">
        <v>279</v>
      </c>
      <c r="D50" s="9" t="s">
        <v>282</v>
      </c>
      <c r="E50" s="9" t="s">
        <v>294</v>
      </c>
      <c r="F50" s="9"/>
      <c r="G50" s="570">
        <f>'Seven Mile Hill II- Repower'!S70</f>
        <v>3400.0133622822136</v>
      </c>
      <c r="H50" s="570"/>
      <c r="I50" s="570">
        <f>'Seven Mile Hill II- Repower'!U70</f>
        <v>4666.1877005497518</v>
      </c>
      <c r="J50" s="570"/>
      <c r="K50" s="570">
        <f>'Seven Mile Hill II- Repower'!W70</f>
        <v>-1266.1743382675368</v>
      </c>
      <c r="L50" s="570"/>
      <c r="M50" s="570">
        <f>'Seven Mile Hill II- Repower'!Y70</f>
        <v>-18.131904427486738</v>
      </c>
    </row>
    <row r="51" spans="1:13">
      <c r="A51" s="9" t="s">
        <v>269</v>
      </c>
      <c r="B51" s="9" t="s">
        <v>275</v>
      </c>
      <c r="C51" s="9" t="s">
        <v>277</v>
      </c>
      <c r="D51" s="9"/>
      <c r="E51" s="9" t="s">
        <v>248</v>
      </c>
      <c r="F51" s="9"/>
      <c r="G51" s="570">
        <f>'Sweetwater (PPA)'!S58</f>
        <v>7425.3085253970248</v>
      </c>
      <c r="H51" s="570"/>
      <c r="I51" s="570">
        <f>'Sweetwater (PPA)'!U58</f>
        <v>10548.341187205147</v>
      </c>
      <c r="J51" s="570"/>
      <c r="K51" s="570">
        <f>'Sweetwater (PPA)'!W58</f>
        <v>-3123.0326618081258</v>
      </c>
      <c r="L51" s="570"/>
      <c r="M51" s="570">
        <f>'Sweetwater (PPA)'!Y58</f>
        <v>-45.774671421023719</v>
      </c>
    </row>
    <row r="52" spans="1:13">
      <c r="A52" s="9" t="s">
        <v>17</v>
      </c>
      <c r="B52" s="9"/>
      <c r="C52" s="9" t="s">
        <v>279</v>
      </c>
      <c r="D52" s="9"/>
      <c r="E52" s="9" t="s">
        <v>184</v>
      </c>
      <c r="F52" s="9"/>
      <c r="G52" s="570">
        <f>'Top of World (PPA)'!S58</f>
        <v>41834.485142780723</v>
      </c>
      <c r="H52" s="570"/>
      <c r="I52" s="570">
        <f>'Top of World (PPA)'!U58</f>
        <v>59316.512743396423</v>
      </c>
      <c r="J52" s="570"/>
      <c r="K52" s="570">
        <f>'Top of World (PPA)'!W58</f>
        <v>-17482.0276006157</v>
      </c>
      <c r="L52" s="570"/>
      <c r="M52" s="570">
        <f>'Top of World (PPA)'!Y58</f>
        <v>-30.545912363617266</v>
      </c>
    </row>
    <row r="53" spans="1:13">
      <c r="A53" s="9" t="s">
        <v>290</v>
      </c>
      <c r="B53" s="9"/>
      <c r="C53" s="9" t="s">
        <v>279</v>
      </c>
      <c r="D53" s="9"/>
      <c r="E53" s="9" t="s">
        <v>248</v>
      </c>
      <c r="F53" s="9"/>
      <c r="G53" s="570">
        <f>'TB Flats I Wind'!S59</f>
        <v>18860.759462185975</v>
      </c>
      <c r="H53" s="570"/>
      <c r="I53" s="570">
        <f>'TB Flats I Wind'!U59</f>
        <v>52615.493781632853</v>
      </c>
      <c r="J53" s="570"/>
      <c r="K53" s="570">
        <f>'TB Flats I Wind'!W59</f>
        <v>-33754.734319446878</v>
      </c>
      <c r="L53" s="570"/>
      <c r="M53" s="570">
        <f>'TB Flats I Wind'!Y59</f>
        <v>-32.835481170434676</v>
      </c>
    </row>
    <row r="54" spans="1:13">
      <c r="A54" s="9" t="s">
        <v>291</v>
      </c>
      <c r="B54" s="9"/>
      <c r="C54" s="9" t="s">
        <v>279</v>
      </c>
      <c r="D54" s="9"/>
      <c r="E54" s="9" t="s">
        <v>248</v>
      </c>
      <c r="F54" s="9"/>
      <c r="G54" s="570">
        <f>'TB Flats II Wind'!S59</f>
        <v>8415.5931049048413</v>
      </c>
      <c r="H54" s="570"/>
      <c r="I54" s="570">
        <f>'TB Flats II Wind'!U59</f>
        <v>33074.687742292917</v>
      </c>
      <c r="J54" s="570"/>
      <c r="K54" s="570">
        <f>'TB Flats II Wind'!W59</f>
        <v>-24659.094637388065</v>
      </c>
      <c r="L54" s="570"/>
      <c r="M54" s="570">
        <f>'TB Flats II Wind'!Y59</f>
        <v>-38.332150081912332</v>
      </c>
    </row>
    <row r="55" spans="1:13">
      <c r="A55" s="9" t="s">
        <v>261</v>
      </c>
      <c r="B55" s="9"/>
      <c r="C55" s="9" t="s">
        <v>279</v>
      </c>
      <c r="D55" s="9"/>
      <c r="E55" s="9" t="s">
        <v>176</v>
      </c>
      <c r="F55" s="9"/>
      <c r="G55" s="570">
        <f>'Wolverine Creek PPA'!S50</f>
        <v>10883.36556959516</v>
      </c>
      <c r="H55" s="570"/>
      <c r="I55" s="570">
        <f>'Wolverine Creek PPA'!U50</f>
        <v>9016.4648363367778</v>
      </c>
      <c r="J55" s="570"/>
      <c r="K55" s="570">
        <f>'Wolverine Creek PPA'!W50</f>
        <v>1866.9007332583785</v>
      </c>
      <c r="L55" s="570"/>
      <c r="M55" s="570">
        <f>'Wolverine Creek PPA'!Y50</f>
        <v>10.668004190047878</v>
      </c>
    </row>
    <row r="56" spans="1:13">
      <c r="A56" s="9" t="s">
        <v>428</v>
      </c>
      <c r="B56" s="9"/>
      <c r="C56" s="9" t="s">
        <v>279</v>
      </c>
      <c r="D56" s="9" t="s">
        <v>384</v>
      </c>
      <c r="E56" s="9" t="s">
        <v>377</v>
      </c>
      <c r="F56" s="9"/>
      <c r="G56" s="570">
        <f>'Foote Creek I - Repower'!S61</f>
        <v>9870.0329655869245</v>
      </c>
      <c r="H56" s="570"/>
      <c r="I56" s="570">
        <f>'Foote Creek I - Repower'!U61</f>
        <v>6978.9117691205029</v>
      </c>
      <c r="J56" s="570"/>
      <c r="K56" s="570">
        <f>'Foote Creek I - Repower'!W61</f>
        <v>2891.1211964664244</v>
      </c>
      <c r="L56" s="570"/>
      <c r="M56" s="570">
        <f>'Foote Creek I - Repower'!Y61</f>
        <v>17.000014123939522</v>
      </c>
    </row>
    <row r="57" spans="1:13">
      <c r="A57" s="551" t="s">
        <v>379</v>
      </c>
      <c r="B57" s="551"/>
      <c r="C57" s="551" t="s">
        <v>279</v>
      </c>
      <c r="D57" s="551"/>
      <c r="E57" s="551" t="s">
        <v>378</v>
      </c>
      <c r="F57" s="551"/>
      <c r="G57" s="570">
        <f>'Foote Creek II'!S60</f>
        <v>41.26063887183706</v>
      </c>
      <c r="H57" s="570"/>
      <c r="I57" s="570">
        <f>'Foote Creek II'!U60</f>
        <v>481.10540963954435</v>
      </c>
      <c r="J57" s="570"/>
      <c r="K57" s="570">
        <f>'Foote Creek II'!W60</f>
        <v>-439.84477076770742</v>
      </c>
      <c r="L57" s="570"/>
      <c r="M57" s="570">
        <f>'Foote Creek II'!Y60</f>
        <v>-58.137828909880781</v>
      </c>
    </row>
    <row r="58" spans="1:13">
      <c r="A58" s="551" t="s">
        <v>380</v>
      </c>
      <c r="B58" s="9"/>
      <c r="C58" s="551" t="s">
        <v>279</v>
      </c>
      <c r="D58" s="9"/>
      <c r="E58" s="551" t="s">
        <v>378</v>
      </c>
      <c r="F58" s="9"/>
      <c r="G58" s="570">
        <f>'Foote Creek III'!S60</f>
        <v>5002.670013024981</v>
      </c>
      <c r="H58" s="570"/>
      <c r="I58" s="570">
        <f>'Foote Creek III'!U60</f>
        <v>6615.1993825437357</v>
      </c>
      <c r="J58" s="570"/>
      <c r="K58" s="570">
        <f>'Foote Creek III'!W60</f>
        <v>-1612.5293695187565</v>
      </c>
      <c r="L58" s="570"/>
      <c r="M58" s="570">
        <f>'Foote Creek III'!Y60</f>
        <v>-15.501164018488446</v>
      </c>
    </row>
    <row r="59" spans="1:13">
      <c r="A59" s="551" t="s">
        <v>381</v>
      </c>
      <c r="B59" s="9"/>
      <c r="C59" s="551" t="s">
        <v>279</v>
      </c>
      <c r="D59" s="9"/>
      <c r="E59" s="551" t="s">
        <v>378</v>
      </c>
      <c r="F59" s="9"/>
      <c r="G59" s="570">
        <f>'Foote Creek III'!S60</f>
        <v>5002.670013024981</v>
      </c>
      <c r="H59" s="570"/>
      <c r="I59" s="570">
        <f>'Foote Creek III'!U60</f>
        <v>6615.1993825437357</v>
      </c>
      <c r="J59" s="570"/>
      <c r="K59" s="570">
        <f>'Foote Creek III'!W60</f>
        <v>-1612.5293695187565</v>
      </c>
      <c r="L59" s="570"/>
      <c r="M59" s="570">
        <f>'Foote Creek III'!Y60</f>
        <v>-15.501164018488446</v>
      </c>
    </row>
    <row r="60" spans="1:13">
      <c r="A60" s="9" t="s">
        <v>415</v>
      </c>
      <c r="B60" s="9"/>
      <c r="C60" s="551" t="s">
        <v>279</v>
      </c>
      <c r="D60" s="9"/>
      <c r="E60" s="551" t="s">
        <v>378</v>
      </c>
      <c r="F60" s="9"/>
      <c r="G60" s="570">
        <f>'Rock River I - Repower'!S60</f>
        <v>19487.83722330111</v>
      </c>
      <c r="H60" s="570"/>
      <c r="I60" s="570">
        <f>'Rock River I - Repower'!U60</f>
        <v>13641.063818113835</v>
      </c>
      <c r="J60" s="570"/>
      <c r="K60" s="570">
        <f>'Rock River I - Repower'!W60</f>
        <v>5846.7734051872749</v>
      </c>
      <c r="L60" s="570"/>
      <c r="M60" s="570">
        <f>'Rock River I - Repower'!Y60</f>
        <v>28.052980629750504</v>
      </c>
    </row>
    <row r="61" spans="1:13">
      <c r="A61" s="9" t="s">
        <v>382</v>
      </c>
      <c r="B61" s="9"/>
      <c r="C61" s="551" t="s">
        <v>279</v>
      </c>
      <c r="D61" s="9"/>
      <c r="E61" s="551" t="s">
        <v>378</v>
      </c>
      <c r="F61" s="9"/>
      <c r="G61" s="570">
        <f>'Cedar Creek (PPA)'!S55</f>
        <v>50738.760995582961</v>
      </c>
      <c r="H61" s="570"/>
      <c r="I61" s="570">
        <f>'Cedar Creek (PPA)'!U55</f>
        <v>28541.487653381882</v>
      </c>
      <c r="J61" s="570"/>
      <c r="K61" s="570">
        <f>'Cedar Creek (PPA)'!W55</f>
        <v>22197.273342201072</v>
      </c>
      <c r="L61" s="570"/>
      <c r="M61" s="570">
        <f>'Cedar Creek (PPA)'!Y55</f>
        <v>48.37010619682485</v>
      </c>
    </row>
    <row r="68" spans="1:1">
      <c r="A68" s="112"/>
    </row>
  </sheetData>
  <mergeCells count="1">
    <mergeCell ref="G7:M7"/>
  </mergeCells>
  <phoneticPr fontId="6" type="noConversion"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ACA89-77EA-4212-8236-6B9F2F23456A}">
  <sheetPr codeName="Sheet42">
    <tabColor theme="0" tint="-0.249977111117893"/>
    <pageSetUpPr fitToPage="1"/>
  </sheetPr>
  <dimension ref="A1:BL81"/>
  <sheetViews>
    <sheetView workbookViewId="0"/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231" customFormat="1">
      <c r="A1" s="231" t="s">
        <v>0</v>
      </c>
    </row>
    <row r="2" spans="1:64" s="231" customFormat="1">
      <c r="A2" s="231" t="s">
        <v>143</v>
      </c>
    </row>
    <row r="3" spans="1:64" s="231" customFormat="1">
      <c r="A3" s="231" t="s">
        <v>1</v>
      </c>
    </row>
    <row r="4" spans="1:64" s="231" customFormat="1"/>
    <row r="5" spans="1:64" s="231" customFormat="1"/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85" t="s">
        <v>96</v>
      </c>
      <c r="AO8" s="386"/>
      <c r="AP8" s="386"/>
      <c r="AQ8" s="386"/>
      <c r="AR8" s="386"/>
      <c r="AS8" s="386"/>
      <c r="AT8" s="386"/>
      <c r="AU8" s="386"/>
      <c r="AV8" s="386"/>
      <c r="AW8" s="387"/>
      <c r="AZ8" s="244" t="s">
        <v>97</v>
      </c>
      <c r="BA8" s="245"/>
      <c r="BB8" s="245"/>
      <c r="BC8" s="245"/>
      <c r="BD8" s="245"/>
      <c r="BE8" s="246"/>
      <c r="BG8" s="385" t="s">
        <v>97</v>
      </c>
      <c r="BH8" s="386"/>
      <c r="BI8" s="386"/>
      <c r="BJ8" s="386"/>
      <c r="BK8" s="386"/>
      <c r="BL8" s="38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436"/>
      <c r="AO9" s="437"/>
      <c r="AP9" s="437"/>
      <c r="AQ9" s="437"/>
      <c r="AR9" s="438"/>
      <c r="AS9" s="437"/>
      <c r="AT9" s="437"/>
      <c r="AU9" s="437"/>
      <c r="AV9" s="439"/>
      <c r="AW9" s="440"/>
      <c r="AZ9" s="116"/>
      <c r="BA9" s="117"/>
      <c r="BB9" s="117"/>
      <c r="BC9" s="117"/>
      <c r="BD9" s="118"/>
      <c r="BE9" s="121"/>
      <c r="BG9" s="436"/>
      <c r="BH9" s="437"/>
      <c r="BI9" s="437"/>
      <c r="BJ9" s="437"/>
      <c r="BK9" s="438"/>
      <c r="BL9" s="441"/>
    </row>
    <row r="10" spans="1:64" ht="12">
      <c r="B10" s="250"/>
      <c r="C10" s="231" t="s">
        <v>98</v>
      </c>
      <c r="D10" s="231"/>
      <c r="E10" s="231"/>
      <c r="F10" s="231"/>
      <c r="G10" s="251" t="s">
        <v>257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230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388" t="s">
        <v>230</v>
      </c>
      <c r="BH10" s="389"/>
      <c r="BI10" s="389"/>
      <c r="BJ10" s="389"/>
      <c r="BK10" s="390"/>
      <c r="BL10" s="398"/>
    </row>
    <row r="11" spans="1:64" ht="12">
      <c r="B11" s="250"/>
      <c r="C11" s="231" t="s">
        <v>31</v>
      </c>
      <c r="D11" s="231"/>
      <c r="E11" s="231"/>
      <c r="F11" s="231"/>
      <c r="G11" s="251">
        <v>28.5</v>
      </c>
      <c r="H11" s="252"/>
      <c r="I11" s="348">
        <v>28.5</v>
      </c>
      <c r="AB11" s="122" t="s">
        <v>99</v>
      </c>
      <c r="AC11" s="123"/>
      <c r="AD11" s="123"/>
      <c r="AE11" s="123"/>
      <c r="AF11" s="134">
        <f>+G11*(G12/AJ16)</f>
        <v>22.619577104280864</v>
      </c>
      <c r="AG11" s="127"/>
      <c r="AH11" s="123" t="s">
        <v>100</v>
      </c>
      <c r="AI11" s="124"/>
      <c r="AJ11" s="129">
        <v>7.9126910299003335</v>
      </c>
      <c r="AK11" s="235"/>
      <c r="AN11" s="444" t="s">
        <v>99</v>
      </c>
      <c r="AO11" s="445"/>
      <c r="AP11" s="445"/>
      <c r="AQ11" s="445"/>
      <c r="AR11" s="446">
        <f>+I11*(I12/AV16)</f>
        <v>15.758758524491963</v>
      </c>
      <c r="AS11" s="447"/>
      <c r="AT11" s="445" t="s">
        <v>100</v>
      </c>
      <c r="AU11" s="448"/>
      <c r="AV11" s="396">
        <f>'(2.1)_Proxy Resources'!N53</f>
        <v>19.805241420865066</v>
      </c>
      <c r="AW11" s="235"/>
      <c r="AZ11" s="122" t="s">
        <v>99</v>
      </c>
      <c r="BA11" s="123"/>
      <c r="BB11" s="123"/>
      <c r="BC11" s="123"/>
      <c r="BD11" s="134">
        <f>(AF11*AF13-G11*B19)</f>
        <v>22.619577104280864</v>
      </c>
      <c r="BE11" s="130"/>
      <c r="BG11" s="444" t="s">
        <v>99</v>
      </c>
      <c r="BH11" s="445"/>
      <c r="BI11" s="445"/>
      <c r="BJ11" s="445"/>
      <c r="BK11" s="368">
        <f>(AR11*AR13-I11*I19)</f>
        <v>11.255758524491963</v>
      </c>
      <c r="BL11" s="449"/>
    </row>
    <row r="12" spans="1:64" ht="12">
      <c r="B12" s="250"/>
      <c r="C12" s="231" t="s">
        <v>32</v>
      </c>
      <c r="D12" s="231"/>
      <c r="E12" s="231"/>
      <c r="F12" s="231"/>
      <c r="G12" s="254">
        <v>0.3864457912692667</v>
      </c>
      <c r="H12" s="252"/>
      <c r="I12" s="349">
        <v>0.38863627404182438</v>
      </c>
      <c r="AB12" s="122" t="s">
        <v>32</v>
      </c>
      <c r="AC12" s="123"/>
      <c r="AD12" s="123"/>
      <c r="AE12" s="123"/>
      <c r="AF12" s="131">
        <f>+AD53/8760/AF11</f>
        <v>0.53062540047564444</v>
      </c>
      <c r="AG12" s="127"/>
      <c r="AH12" s="117" t="s">
        <v>101</v>
      </c>
      <c r="AI12" s="118"/>
      <c r="AJ12" s="117">
        <v>2006</v>
      </c>
      <c r="AK12" s="235"/>
      <c r="AN12" s="444" t="s">
        <v>32</v>
      </c>
      <c r="AO12" s="445"/>
      <c r="AP12" s="445"/>
      <c r="AQ12" s="445"/>
      <c r="AR12" s="131">
        <f>AD70/8760/AR11</f>
        <v>0.69281704428824409</v>
      </c>
      <c r="AS12" s="447"/>
      <c r="AT12" s="437" t="s">
        <v>101</v>
      </c>
      <c r="AU12" s="438"/>
      <c r="AV12" s="450">
        <v>2016</v>
      </c>
      <c r="AW12" s="235"/>
      <c r="AZ12" s="122"/>
      <c r="BA12" s="123"/>
      <c r="BB12" s="123"/>
      <c r="BC12" s="123"/>
      <c r="BD12" s="539"/>
      <c r="BE12" s="132"/>
      <c r="BG12" s="444"/>
      <c r="BH12" s="445"/>
      <c r="BI12" s="445"/>
      <c r="BJ12" s="445"/>
      <c r="BK12" s="451"/>
      <c r="BL12" s="452"/>
    </row>
    <row r="13" spans="1:64" ht="12">
      <c r="B13" s="250"/>
      <c r="C13" s="231" t="s">
        <v>33</v>
      </c>
      <c r="D13" s="231"/>
      <c r="E13" s="231"/>
      <c r="F13" s="231"/>
      <c r="G13" s="251">
        <v>2009</v>
      </c>
      <c r="H13" s="252"/>
      <c r="I13" s="350">
        <v>2019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N13" s="444" t="s">
        <v>102</v>
      </c>
      <c r="AO13" s="445"/>
      <c r="AP13" s="445"/>
      <c r="AQ13" s="445"/>
      <c r="AR13" s="453">
        <v>1</v>
      </c>
      <c r="AS13" s="447"/>
      <c r="AT13" s="437" t="s">
        <v>103</v>
      </c>
      <c r="AU13" s="438"/>
      <c r="AV13" s="396">
        <f>'(2.1)_Proxy Resources'!O53</f>
        <v>2.02116486562735</v>
      </c>
      <c r="AW13" s="235"/>
      <c r="AZ13" s="122" t="s">
        <v>102</v>
      </c>
      <c r="BA13" s="123"/>
      <c r="BB13" s="123"/>
      <c r="BC13" s="123"/>
      <c r="BD13" s="540">
        <v>1</v>
      </c>
      <c r="BE13" s="132"/>
      <c r="BG13" s="444" t="s">
        <v>102</v>
      </c>
      <c r="BH13" s="445"/>
      <c r="BI13" s="445"/>
      <c r="BJ13" s="445"/>
      <c r="BK13" s="453">
        <v>1</v>
      </c>
      <c r="BL13" s="452"/>
    </row>
    <row r="14" spans="1:64" ht="12">
      <c r="B14" s="250"/>
      <c r="C14" s="231" t="s">
        <v>34</v>
      </c>
      <c r="D14" s="231"/>
      <c r="E14" s="231"/>
      <c r="F14" s="231"/>
      <c r="G14" s="251">
        <v>25</v>
      </c>
      <c r="H14" s="252"/>
      <c r="I14" s="351">
        <v>30</v>
      </c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N14" s="444" t="s">
        <v>104</v>
      </c>
      <c r="AO14" s="445"/>
      <c r="AP14" s="445"/>
      <c r="AQ14" s="445"/>
      <c r="AR14" s="454">
        <f>'(2.1)_Proxy Resources'!H53</f>
        <v>6414.883554173548</v>
      </c>
      <c r="AS14" s="447"/>
      <c r="AT14" s="437"/>
      <c r="AU14" s="438"/>
      <c r="AV14" s="396"/>
      <c r="AW14" s="235"/>
      <c r="AZ14" s="122" t="s">
        <v>105</v>
      </c>
      <c r="BA14" s="123"/>
      <c r="BB14" s="123"/>
      <c r="BC14" s="123"/>
      <c r="BD14" s="135">
        <v>454</v>
      </c>
      <c r="BE14" s="132"/>
      <c r="BG14" s="444" t="s">
        <v>232</v>
      </c>
      <c r="BH14" s="445"/>
      <c r="BI14" s="445"/>
      <c r="BJ14" s="445"/>
      <c r="BK14" s="397">
        <f>'(2.1)_Proxy Resources'!J54</f>
        <v>702</v>
      </c>
      <c r="BL14" s="452"/>
    </row>
    <row r="15" spans="1:64" ht="12">
      <c r="A15" t="s">
        <v>138</v>
      </c>
      <c r="B15" s="250"/>
      <c r="C15" s="231" t="s">
        <v>107</v>
      </c>
      <c r="D15" s="231"/>
      <c r="E15" s="231"/>
      <c r="F15" s="231"/>
      <c r="G15" s="255">
        <v>159.28191041324564</v>
      </c>
      <c r="H15" s="252"/>
      <c r="I15" s="382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N15" s="444" t="s">
        <v>231</v>
      </c>
      <c r="AO15" s="445"/>
      <c r="AP15" s="445"/>
      <c r="AQ15" s="445"/>
      <c r="AR15" s="397">
        <f>'(2.1)_Proxy Resources'!J53</f>
        <v>1362.6215812395926</v>
      </c>
      <c r="AS15" s="447"/>
      <c r="AT15" s="437" t="s">
        <v>141</v>
      </c>
      <c r="AU15" s="438"/>
      <c r="AV15" s="396">
        <f>'(2.1)_Proxy Resources'!P53</f>
        <v>2.2807762714164963</v>
      </c>
      <c r="AW15" s="235"/>
      <c r="AZ15" s="122" t="s">
        <v>108</v>
      </c>
      <c r="BA15" s="123"/>
      <c r="BB15" s="123"/>
      <c r="BC15" s="123"/>
      <c r="BD15" s="541">
        <f>'(2.1)_Proxy Resources'!D54</f>
        <v>0.33</v>
      </c>
      <c r="BE15" s="132"/>
      <c r="BG15" s="444" t="s">
        <v>108</v>
      </c>
      <c r="BH15" s="445"/>
      <c r="BI15" s="445"/>
      <c r="BJ15" s="445"/>
      <c r="BK15" s="455">
        <f>'(2.1)_Proxy Resources'!K54</f>
        <v>7.3700000000000002E-2</v>
      </c>
      <c r="BL15" s="452"/>
    </row>
    <row r="16" spans="1:64" ht="12">
      <c r="A16" t="s">
        <v>138</v>
      </c>
      <c r="B16" s="250"/>
      <c r="C16" s="231" t="s">
        <v>109</v>
      </c>
      <c r="D16" s="231"/>
      <c r="E16" s="231"/>
      <c r="F16" s="231"/>
      <c r="G16" s="255">
        <v>7.3695518411694527</v>
      </c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N16" s="444" t="s">
        <v>108</v>
      </c>
      <c r="AO16" s="445"/>
      <c r="AP16" s="445"/>
      <c r="AQ16" s="445"/>
      <c r="AR16" s="455">
        <f>'(2.1)_Proxy Resources'!K52</f>
        <v>7.2562879502455491E-2</v>
      </c>
      <c r="AS16" s="447"/>
      <c r="AT16" s="437" t="s">
        <v>110</v>
      </c>
      <c r="AU16" s="448"/>
      <c r="AV16" s="456">
        <f>'(2.1)_Proxy Resources'!D53</f>
        <v>0.70285573530285894</v>
      </c>
      <c r="AW16" s="235"/>
      <c r="AZ16" s="122" t="s">
        <v>100</v>
      </c>
      <c r="BA16" s="124"/>
      <c r="BB16" s="129">
        <v>5.75</v>
      </c>
      <c r="BE16" s="130"/>
      <c r="BG16" s="444" t="s">
        <v>100</v>
      </c>
      <c r="BH16" s="448"/>
      <c r="BI16" s="396">
        <f>'(2.1)_Proxy Resources'!L54</f>
        <v>15.97</v>
      </c>
      <c r="BL16" s="449"/>
    </row>
    <row r="17" spans="1:64" ht="12">
      <c r="A17" t="s">
        <v>138</v>
      </c>
      <c r="B17" s="250"/>
      <c r="C17" s="231" t="s">
        <v>111</v>
      </c>
      <c r="D17" s="231"/>
      <c r="E17" s="231"/>
      <c r="F17" s="231"/>
      <c r="G17" s="255">
        <v>0</v>
      </c>
      <c r="H17" s="252"/>
      <c r="AB17" s="2"/>
      <c r="AG17" s="127"/>
      <c r="AI17" s="127"/>
      <c r="AJ17" s="123"/>
      <c r="AK17" s="130"/>
      <c r="AN17" s="2"/>
      <c r="AS17" s="447"/>
      <c r="AU17" s="447"/>
      <c r="AV17" s="445"/>
      <c r="AW17" s="449"/>
      <c r="AZ17" s="116" t="s">
        <v>101</v>
      </c>
      <c r="BA17" s="118"/>
      <c r="BB17" s="117">
        <v>2006</v>
      </c>
      <c r="BE17" s="128"/>
      <c r="BG17" s="436" t="s">
        <v>101</v>
      </c>
      <c r="BH17" s="438"/>
      <c r="BI17" s="450">
        <v>2016</v>
      </c>
      <c r="BL17" s="457"/>
    </row>
    <row r="18" spans="1:64" ht="12">
      <c r="B18" s="250"/>
      <c r="C18" s="231" t="s">
        <v>112</v>
      </c>
      <c r="D18" s="231"/>
      <c r="E18" s="231"/>
      <c r="F18" s="231"/>
      <c r="G18" s="254">
        <v>7.3164524549999999E-2</v>
      </c>
      <c r="H18" s="252"/>
      <c r="I18" s="458">
        <f>'(2.2)_Forward_Price_Curve'!AA8</f>
        <v>6.5699999999999995E-2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459"/>
      <c r="AO18" s="460"/>
      <c r="AP18" s="460"/>
      <c r="AQ18" s="460"/>
      <c r="AR18" s="460"/>
      <c r="AS18" s="460"/>
      <c r="AT18" s="460"/>
      <c r="AU18" s="460"/>
      <c r="AV18" s="460"/>
      <c r="AW18" s="461"/>
      <c r="AZ18" s="138"/>
      <c r="BA18" s="139"/>
      <c r="BB18" s="139"/>
      <c r="BC18" s="139"/>
      <c r="BD18" s="139"/>
      <c r="BE18" s="141"/>
      <c r="BG18" s="459"/>
      <c r="BH18" s="460"/>
      <c r="BI18" s="460"/>
      <c r="BJ18" s="460"/>
      <c r="BK18" s="460"/>
      <c r="BL18" s="462"/>
    </row>
    <row r="19" spans="1:64" ht="12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s="458">
        <f>'(2.2)_Forward_Price_Curve'!L103</f>
        <v>0.158</v>
      </c>
    </row>
    <row r="20" spans="1:64">
      <c r="B20" s="231"/>
      <c r="C20" s="231"/>
      <c r="D20" s="231"/>
      <c r="E20" s="231"/>
      <c r="F20" s="231"/>
      <c r="G20" t="s">
        <v>113</v>
      </c>
      <c r="H20" s="231"/>
    </row>
    <row r="23" spans="1:64">
      <c r="B23" s="244"/>
      <c r="C23" s="241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v>2009</v>
      </c>
      <c r="E28" s="169">
        <f>'(2.2)_Forward_Price_Curve'!V23</f>
        <v>1.7000000000000001E-2</v>
      </c>
      <c r="G28" s="18">
        <v>96297</v>
      </c>
      <c r="I28" s="268">
        <f>$G$15</f>
        <v>159.28191041324564</v>
      </c>
      <c r="J28" s="268"/>
      <c r="K28" s="268">
        <f>G16</f>
        <v>7.3695518411694527</v>
      </c>
      <c r="L28" s="269"/>
      <c r="M28" s="268">
        <f>$G$17</f>
        <v>0</v>
      </c>
      <c r="O28" s="270">
        <v>5.1866999999999992</v>
      </c>
      <c r="Q28" s="28">
        <f>-'(2.2)_Forward_Price_Curve'!AO20</f>
        <v>-33.844219890731516</v>
      </c>
      <c r="S28" s="18">
        <f t="shared" ref="S28:S68" si="0">(I28*$G$11*1000+(K28+M28+O28+Q28)*G28)/1000</f>
        <v>2489.5669875088224</v>
      </c>
      <c r="U28" s="18">
        <f t="shared" ref="U28:U68" si="1">AX28</f>
        <v>6372.2838254542658</v>
      </c>
      <c r="W28" s="18">
        <f t="shared" ref="W28:W68" si="2">S28-U28</f>
        <v>-3882.7168379454433</v>
      </c>
      <c r="Y28" s="271">
        <f t="shared" ref="Y28:Y68" si="3">+W28*1000/G28</f>
        <v>-40.320226361625423</v>
      </c>
      <c r="Z28" s="235"/>
      <c r="AB28" s="146">
        <f>$C$28</f>
        <v>2009</v>
      </c>
      <c r="AC28" s="117"/>
      <c r="AD28" s="151">
        <f t="shared" ref="AD28:AD68" si="4">G28</f>
        <v>96297</v>
      </c>
      <c r="AF28" s="152">
        <v>58.163412158772744</v>
      </c>
      <c r="AG28" s="272"/>
      <c r="AH28" s="152">
        <v>8.2001037061794015</v>
      </c>
      <c r="AI28" s="272"/>
      <c r="AJ28" s="152">
        <v>2.3050946065283835</v>
      </c>
      <c r="AK28" s="272"/>
      <c r="AL28" s="153">
        <f>((AF28+AH28)*$AF$11*1000+AJ28*AD28)/1000</f>
        <v>1723.0883593433152</v>
      </c>
      <c r="AN28" s="154">
        <f>INDEX('(2.2)_Forward_Price_Curve'!$I:$I,MATCH($AB28,'(2.2)_Forward_Price_Curve'!$C:$C,0),1)</f>
        <v>7.7758276535043622</v>
      </c>
      <c r="AO28" s="279"/>
      <c r="AP28" s="154">
        <f t="shared" ref="AP28:AP68" si="5">AN28*$AF$14/1000</f>
        <v>56.499329593768707</v>
      </c>
      <c r="AQ28" s="272"/>
      <c r="AR28" s="152">
        <v>2.3860545125109165</v>
      </c>
      <c r="AS28" s="152"/>
      <c r="AT28" s="153">
        <f t="shared" ref="AT28:AT68" si="6">AL28-BF28</f>
        <v>701.79799217185575</v>
      </c>
      <c r="AU28" s="272"/>
      <c r="AV28" s="153">
        <f t="shared" ref="AV28:AV68" si="7">(AP28+AR28)*AD28/1000</f>
        <v>5670.4858332824097</v>
      </c>
      <c r="AW28" s="273"/>
      <c r="AX28" s="155">
        <f t="shared" ref="AX28:AX68" si="8">AT28+AV28</f>
        <v>6372.2838254542658</v>
      </c>
      <c r="AZ28" s="146">
        <f>$C$28</f>
        <v>2009</v>
      </c>
      <c r="BA28" s="117"/>
      <c r="BB28" s="152">
        <v>39.191870478599988</v>
      </c>
      <c r="BD28" s="152">
        <v>5.9588572499999986</v>
      </c>
      <c r="BE28" s="272"/>
      <c r="BF28" s="153">
        <f t="shared" ref="BF28:BF68" si="9">(BB28+BD28)*$BD$11</f>
        <v>1021.2903671714595</v>
      </c>
      <c r="BG28" s="272"/>
      <c r="BH28" s="156"/>
    </row>
    <row r="29" spans="1:64" ht="12">
      <c r="B29" s="2"/>
      <c r="C29">
        <f>+IF(C28&gt;$G$13+$G$14,XX,C28+1)</f>
        <v>2010</v>
      </c>
      <c r="E29" s="169">
        <f>'(2.2)_Forward_Price_Curve'!V24</f>
        <v>1.9E-2</v>
      </c>
      <c r="G29" s="18">
        <v>86063</v>
      </c>
      <c r="I29" s="28">
        <f t="shared" ref="I29:I36" si="10">I28*(1+$E29)</f>
        <v>162.3082667110973</v>
      </c>
      <c r="K29" s="28">
        <f>K28*(1+$E29)</f>
        <v>7.5095733261516715</v>
      </c>
      <c r="M29" s="28">
        <f t="shared" ref="M29:M68" si="11">M28*(1+$E29)</f>
        <v>0</v>
      </c>
      <c r="O29" s="270">
        <v>5.2748738999999985</v>
      </c>
      <c r="Q29" s="28">
        <f>-'(2.2)_Forward_Price_Curve'!AO21</f>
        <v>-35.45584940933778</v>
      </c>
      <c r="S29" s="18">
        <f t="shared" si="0"/>
        <v>2674.6167151747272</v>
      </c>
      <c r="U29" s="18">
        <f t="shared" si="1"/>
        <v>5576.2592579747061</v>
      </c>
      <c r="W29" s="18">
        <f t="shared" si="2"/>
        <v>-2901.6425427999789</v>
      </c>
      <c r="Y29" s="271">
        <f t="shared" si="3"/>
        <v>-33.715331127197274</v>
      </c>
      <c r="Z29" s="235"/>
      <c r="AB29" s="146">
        <f>+IF(AB28&gt;$G$13+$G$14,XX,AB28+1)</f>
        <v>2010</v>
      </c>
      <c r="AC29" s="117"/>
      <c r="AD29" s="151">
        <f t="shared" si="4"/>
        <v>86063</v>
      </c>
      <c r="AF29" s="154">
        <f t="shared" ref="AF29:AF37" si="12">AF28*(1+$E29)</f>
        <v>59.268516989789418</v>
      </c>
      <c r="AH29" s="154">
        <f t="shared" ref="AH29:AH37" si="13">AH28*(1+$E29)</f>
        <v>8.3559056765968087</v>
      </c>
      <c r="AJ29" s="154">
        <f t="shared" ref="AJ29:AJ37" si="14">AJ28*(1+$E29)</f>
        <v>2.3488914040524227</v>
      </c>
      <c r="AL29" s="153">
        <f t="shared" ref="AL29:AL66" si="15">((AF29+AH29)*$AF$11*1000+AJ29*AD29)/1000</f>
        <v>1731.7884835417656</v>
      </c>
      <c r="AN29" s="154">
        <f>INDEX('(2.2)_Forward_Price_Curve'!$I:$I,MATCH($AB29,'(2.2)_Forward_Price_Curve'!$C:$C,0),1)</f>
        <v>7.4774457529777205</v>
      </c>
      <c r="AP29" s="154">
        <f t="shared" si="5"/>
        <v>54.331280339864243</v>
      </c>
      <c r="AR29" s="154">
        <f>AR28*(1+$E29)</f>
        <v>2.4313895482486236</v>
      </c>
      <c r="AS29" s="154"/>
      <c r="AT29" s="153">
        <f t="shared" si="6"/>
        <v>691.09359939404862</v>
      </c>
      <c r="AV29" s="153">
        <f t="shared" si="7"/>
        <v>4885.1656585806577</v>
      </c>
      <c r="AW29" s="273"/>
      <c r="AX29" s="155">
        <f t="shared" si="8"/>
        <v>5576.2592579747061</v>
      </c>
      <c r="AZ29" s="146">
        <f>+IF(AZ28&gt;$G$13+$G$14,XX,AZ28+1)</f>
        <v>2010</v>
      </c>
      <c r="BA29" s="117"/>
      <c r="BB29" s="154">
        <f t="shared" ref="BB29:BB68" si="16">BB28*(1+$E29)</f>
        <v>39.936516017693386</v>
      </c>
      <c r="BD29" s="154">
        <f t="shared" ref="BD29:BD68" si="17">BD28*(1+$E29)</f>
        <v>6.0720755377499982</v>
      </c>
      <c r="BF29" s="153">
        <f t="shared" si="9"/>
        <v>1040.6948841477169</v>
      </c>
      <c r="BH29" s="157"/>
    </row>
    <row r="30" spans="1:64" ht="12">
      <c r="B30" s="2"/>
      <c r="C30">
        <f>+IF(C29&gt;$G$13+$G$14,XX,C29+1)</f>
        <v>2011</v>
      </c>
      <c r="E30" s="169">
        <f>'(2.2)_Forward_Price_Curve'!V25</f>
        <v>1.9E-2</v>
      </c>
      <c r="G30" s="18">
        <v>86063</v>
      </c>
      <c r="I30" s="28">
        <f t="shared" si="10"/>
        <v>165.39212377860812</v>
      </c>
      <c r="K30" s="28">
        <f t="shared" ref="K30:K37" si="18">K29*(1+$E30)</f>
        <v>7.6522552193485529</v>
      </c>
      <c r="M30" s="28">
        <f t="shared" si="11"/>
        <v>0</v>
      </c>
      <c r="O30" s="270">
        <v>5.3750965040999983</v>
      </c>
      <c r="Q30" s="28">
        <f>-'(2.2)_Forward_Price_Curve'!AO22</f>
        <v>-35.45584940933778</v>
      </c>
      <c r="S30" s="18">
        <f t="shared" si="0"/>
        <v>2783.4117313496467</v>
      </c>
      <c r="U30" s="18">
        <f t="shared" si="1"/>
        <v>5346.1693452873906</v>
      </c>
      <c r="W30" s="18">
        <f t="shared" si="2"/>
        <v>-2562.7576139377438</v>
      </c>
      <c r="Y30" s="271">
        <f t="shared" si="3"/>
        <v>-29.777693247246134</v>
      </c>
      <c r="Z30" s="235"/>
      <c r="AB30" s="146">
        <f>+IF(AB29&gt;$G$13+$G$14,XX,AB29+1)</f>
        <v>2011</v>
      </c>
      <c r="AC30" s="117"/>
      <c r="AD30" s="151">
        <f t="shared" si="4"/>
        <v>86063</v>
      </c>
      <c r="AF30" s="154">
        <f t="shared" si="12"/>
        <v>60.394618812595411</v>
      </c>
      <c r="AH30" s="154">
        <f t="shared" si="13"/>
        <v>8.5146678844521482</v>
      </c>
      <c r="AJ30" s="154">
        <f t="shared" si="14"/>
        <v>2.3935203407294185</v>
      </c>
      <c r="AL30" s="153">
        <f t="shared" si="15"/>
        <v>1764.6924647290591</v>
      </c>
      <c r="AN30" s="154">
        <f>INDEX('(2.2)_Forward_Price_Curve'!$I:$I,MATCH($AB30,'(2.2)_Forward_Price_Curve'!$C:$C,0),1)</f>
        <v>7.0821436233211914</v>
      </c>
      <c r="AP30" s="154">
        <f t="shared" si="5"/>
        <v>51.459006633731178</v>
      </c>
      <c r="AR30" s="154">
        <f t="shared" ref="AR30:AR68" si="19">AR29*(1+$E30)</f>
        <v>2.4775859496653472</v>
      </c>
      <c r="AS30" s="154"/>
      <c r="AT30" s="153">
        <f t="shared" si="6"/>
        <v>704.22437778253538</v>
      </c>
      <c r="AV30" s="153">
        <f t="shared" si="7"/>
        <v>4641.9449675048554</v>
      </c>
      <c r="AW30" s="273"/>
      <c r="AX30" s="155">
        <f t="shared" si="8"/>
        <v>5346.1693452873906</v>
      </c>
      <c r="AZ30" s="146">
        <f>+IF(AZ29&gt;$G$13+$G$14,XX,AZ29+1)</f>
        <v>2011</v>
      </c>
      <c r="BA30" s="117"/>
      <c r="BB30" s="154">
        <f t="shared" si="16"/>
        <v>40.695309822029557</v>
      </c>
      <c r="BD30" s="154">
        <f t="shared" si="17"/>
        <v>6.1874449729672474</v>
      </c>
      <c r="BF30" s="153">
        <f t="shared" si="9"/>
        <v>1060.4680869465237</v>
      </c>
      <c r="BH30" s="157"/>
    </row>
    <row r="31" spans="1:64" ht="12">
      <c r="B31" s="2"/>
      <c r="C31">
        <f>+IF(C30&gt;$G$13+$G$14,XX,C30+1)</f>
        <v>2012</v>
      </c>
      <c r="E31" s="169">
        <f>'(2.2)_Forward_Price_Curve'!V26</f>
        <v>0.02</v>
      </c>
      <c r="G31" s="18">
        <v>86345</v>
      </c>
      <c r="I31" s="28">
        <f t="shared" si="10"/>
        <v>168.69996625418028</v>
      </c>
      <c r="K31" s="28">
        <f t="shared" si="18"/>
        <v>7.8053003237355245</v>
      </c>
      <c r="M31" s="28">
        <f t="shared" si="11"/>
        <v>0</v>
      </c>
      <c r="O31" s="270">
        <v>5.4772233376778976</v>
      </c>
      <c r="Q31" s="28">
        <f>-'(2.2)_Forward_Price_Curve'!AO23</f>
        <v>-35.45584940933778</v>
      </c>
      <c r="S31" s="18">
        <f t="shared" si="0"/>
        <v>2893.3932265396102</v>
      </c>
      <c r="U31" s="18">
        <f t="shared" si="1"/>
        <v>5142.2295181777581</v>
      </c>
      <c r="W31" s="18">
        <f t="shared" si="2"/>
        <v>-2248.8362916381479</v>
      </c>
      <c r="Y31" s="271">
        <f t="shared" si="3"/>
        <v>-26.044777249848259</v>
      </c>
      <c r="Z31" s="235"/>
      <c r="AB31" s="146">
        <f>+IF(AB30&gt;$G$13+$G$14,XX,AB30+1)</f>
        <v>2012</v>
      </c>
      <c r="AC31" s="117"/>
      <c r="AD31" s="151">
        <f t="shared" si="4"/>
        <v>86345</v>
      </c>
      <c r="AF31" s="154">
        <f t="shared" si="12"/>
        <v>61.602511188847323</v>
      </c>
      <c r="AH31" s="154">
        <f t="shared" si="13"/>
        <v>8.6849612421411919</v>
      </c>
      <c r="AJ31" s="154">
        <f t="shared" si="14"/>
        <v>2.4413907475440069</v>
      </c>
      <c r="AL31" s="153">
        <f t="shared" si="15"/>
        <v>1800.6747862144475</v>
      </c>
      <c r="AN31" s="154">
        <f>INDEX('(2.2)_Forward_Price_Curve'!$I:$I,MATCH($AB31,'(2.2)_Forward_Price_Curve'!$C:$C,0),1)</f>
        <v>6.7024699037828679</v>
      </c>
      <c r="AP31" s="154">
        <f t="shared" si="5"/>
        <v>48.700289288881038</v>
      </c>
      <c r="AR31" s="154">
        <f t="shared" si="19"/>
        <v>2.527137668658654</v>
      </c>
      <c r="AS31" s="154"/>
      <c r="AT31" s="153">
        <f t="shared" si="6"/>
        <v>718.99733752899351</v>
      </c>
      <c r="AV31" s="153">
        <f t="shared" si="7"/>
        <v>4423.2321806487644</v>
      </c>
      <c r="AW31" s="273"/>
      <c r="AX31" s="155">
        <f t="shared" si="8"/>
        <v>5142.2295181777581</v>
      </c>
      <c r="AZ31" s="146">
        <f>+IF(AZ30&gt;$G$13+$G$14,XX,AZ30+1)</f>
        <v>2012</v>
      </c>
      <c r="BA31" s="117"/>
      <c r="BB31" s="154">
        <f t="shared" si="16"/>
        <v>41.509216018470148</v>
      </c>
      <c r="BD31" s="154">
        <f t="shared" si="17"/>
        <v>6.3111938724265926</v>
      </c>
      <c r="BF31" s="153">
        <f t="shared" si="9"/>
        <v>1081.677448685454</v>
      </c>
      <c r="BH31" s="157"/>
    </row>
    <row r="32" spans="1:64" ht="12">
      <c r="B32" s="2"/>
      <c r="C32">
        <f>+IF(C31&gt;$G$13+$G$14,XX,C31+1)</f>
        <v>2013</v>
      </c>
      <c r="E32" s="169">
        <f>'(2.2)_Forward_Price_Curve'!V27</f>
        <v>1.9E-2</v>
      </c>
      <c r="G32" s="18">
        <v>86063</v>
      </c>
      <c r="I32" s="28">
        <f t="shared" si="10"/>
        <v>171.9052656130097</v>
      </c>
      <c r="K32" s="28">
        <f t="shared" si="18"/>
        <v>7.9536010298864985</v>
      </c>
      <c r="M32" s="28">
        <f t="shared" si="11"/>
        <v>0</v>
      </c>
      <c r="O32" s="270">
        <v>5.5867678044314557</v>
      </c>
      <c r="Q32" s="28">
        <f>-'(2.2)_Forward_Price_Curve'!AO24</f>
        <v>-37.067478927944045</v>
      </c>
      <c r="S32" s="18">
        <f t="shared" si="0"/>
        <v>2874.4863939830338</v>
      </c>
      <c r="U32" s="18">
        <f t="shared" si="1"/>
        <v>5143.0147601086901</v>
      </c>
      <c r="W32" s="18">
        <f t="shared" si="2"/>
        <v>-2268.5283661256562</v>
      </c>
      <c r="Y32" s="271">
        <f t="shared" si="3"/>
        <v>-26.358927368621316</v>
      </c>
      <c r="Z32" s="235"/>
      <c r="AB32" s="146">
        <f>+IF(AB31&gt;$G$13+$G$14,XX,AB31+1)</f>
        <v>2013</v>
      </c>
      <c r="AC32" s="117"/>
      <c r="AD32" s="151">
        <f t="shared" si="4"/>
        <v>86063</v>
      </c>
      <c r="AF32" s="154">
        <f t="shared" si="12"/>
        <v>62.772958901435416</v>
      </c>
      <c r="AH32" s="154">
        <f t="shared" si="13"/>
        <v>8.8499755057418739</v>
      </c>
      <c r="AJ32" s="154">
        <f t="shared" si="14"/>
        <v>2.4877771717473429</v>
      </c>
      <c r="AL32" s="153">
        <f t="shared" si="15"/>
        <v>1834.1860539900892</v>
      </c>
      <c r="AN32" s="154">
        <f>INDEX('(2.2)_Forward_Price_Curve'!$I:$I,MATCH($AB32,'(2.2)_Forward_Price_Curve'!$C:$C,0),1)</f>
        <v>6.6994948806584134</v>
      </c>
      <c r="AP32" s="154">
        <f t="shared" si="5"/>
        <v>48.678672707399592</v>
      </c>
      <c r="AR32" s="154">
        <f t="shared" si="19"/>
        <v>2.5751532843631684</v>
      </c>
      <c r="AS32" s="154"/>
      <c r="AT32" s="153">
        <f t="shared" si="6"/>
        <v>731.95673377961157</v>
      </c>
      <c r="AV32" s="153">
        <f t="shared" si="7"/>
        <v>4411.0580263290785</v>
      </c>
      <c r="AW32" s="273"/>
      <c r="AX32" s="155">
        <f t="shared" si="8"/>
        <v>5143.0147601086901</v>
      </c>
      <c r="AZ32" s="146">
        <f>+IF(AZ31&gt;$G$13+$G$14,XX,AZ31+1)</f>
        <v>2013</v>
      </c>
      <c r="BA32" s="117"/>
      <c r="BB32" s="154">
        <f t="shared" si="16"/>
        <v>42.297891122821078</v>
      </c>
      <c r="BD32" s="154">
        <f t="shared" si="17"/>
        <v>6.431106556002697</v>
      </c>
      <c r="BF32" s="153">
        <f t="shared" si="9"/>
        <v>1102.2293202104777</v>
      </c>
      <c r="BH32" s="157"/>
    </row>
    <row r="33" spans="2:60" ht="12">
      <c r="B33" s="2"/>
      <c r="C33">
        <f>+IF(C32&gt;$G$13+$G$14,XX,C32+1)</f>
        <v>2014</v>
      </c>
      <c r="E33" s="169">
        <f>'(2.2)_Forward_Price_Curve'!V28</f>
        <v>1.7999999999999999E-2</v>
      </c>
      <c r="G33" s="18">
        <v>86063</v>
      </c>
      <c r="I33" s="28">
        <f t="shared" si="10"/>
        <v>174.99956039404387</v>
      </c>
      <c r="K33" s="28">
        <f t="shared" si="18"/>
        <v>8.0967658484244556</v>
      </c>
      <c r="M33" s="28">
        <f t="shared" si="11"/>
        <v>0</v>
      </c>
      <c r="O33" s="270">
        <v>5.6929163927156532</v>
      </c>
      <c r="Q33" s="28">
        <f>-'(2.2)_Forward_Price_Curve'!AO25</f>
        <v>-37.067478927944045</v>
      </c>
      <c r="S33" s="18">
        <f t="shared" si="0"/>
        <v>2984.1304549738429</v>
      </c>
      <c r="U33" s="18">
        <f t="shared" si="1"/>
        <v>5294.3222911250177</v>
      </c>
      <c r="W33" s="18">
        <f t="shared" si="2"/>
        <v>-2310.1918361511748</v>
      </c>
      <c r="Y33" s="271">
        <f t="shared" si="3"/>
        <v>-26.843031687846981</v>
      </c>
      <c r="Z33" s="235"/>
      <c r="AB33" s="146">
        <f>+IF(AB32&gt;$G$13+$G$14,XX,AB32+1)</f>
        <v>2014</v>
      </c>
      <c r="AC33" s="117"/>
      <c r="AD33" s="151">
        <f t="shared" si="4"/>
        <v>86063</v>
      </c>
      <c r="AF33" s="154">
        <f t="shared" si="12"/>
        <v>63.902872161661257</v>
      </c>
      <c r="AH33" s="154">
        <f t="shared" si="13"/>
        <v>9.0092750648452284</v>
      </c>
      <c r="AJ33" s="154">
        <f t="shared" si="14"/>
        <v>2.5325571608387953</v>
      </c>
      <c r="AL33" s="153">
        <f t="shared" si="15"/>
        <v>1867.2014029619108</v>
      </c>
      <c r="AN33" s="154">
        <f>INDEX('(2.2)_Forward_Price_Curve'!$I:$I,MATCH($AB33,'(2.2)_Forward_Price_Curve'!$C:$C,0),1)</f>
        <v>6.9140085811973453</v>
      </c>
      <c r="AP33" s="154">
        <f t="shared" si="5"/>
        <v>50.2373338312307</v>
      </c>
      <c r="AR33" s="154">
        <f t="shared" si="19"/>
        <v>2.6215060434817055</v>
      </c>
      <c r="AS33" s="154"/>
      <c r="AT33" s="153">
        <f t="shared" si="6"/>
        <v>745.13195498764458</v>
      </c>
      <c r="AV33" s="153">
        <f t="shared" si="7"/>
        <v>4549.1903361373734</v>
      </c>
      <c r="AW33" s="273"/>
      <c r="AX33" s="155">
        <f t="shared" si="8"/>
        <v>5294.3222911250177</v>
      </c>
      <c r="AZ33" s="146">
        <f>+IF(AZ32&gt;$G$13+$G$14,XX,AZ32+1)</f>
        <v>2014</v>
      </c>
      <c r="BA33" s="117"/>
      <c r="BB33" s="154">
        <f t="shared" si="16"/>
        <v>43.059253163031855</v>
      </c>
      <c r="BD33" s="154">
        <f t="shared" si="17"/>
        <v>6.5468664740107458</v>
      </c>
      <c r="BF33" s="153">
        <f t="shared" si="9"/>
        <v>1122.0694479742663</v>
      </c>
      <c r="BH33" s="157"/>
    </row>
    <row r="34" spans="2:60" ht="12">
      <c r="B34" s="2"/>
      <c r="C34">
        <f>+IF(C33&gt;$G$13+$G$14,XX,C33+1)</f>
        <v>2015</v>
      </c>
      <c r="E34" s="169">
        <f>'(2.2)_Forward_Price_Curve'!V29</f>
        <v>1.7999999999999999E-2</v>
      </c>
      <c r="G34" s="18">
        <v>86063</v>
      </c>
      <c r="I34" s="28">
        <f t="shared" si="10"/>
        <v>178.14955248113665</v>
      </c>
      <c r="K34" s="28">
        <f t="shared" si="18"/>
        <v>8.2425076336960963</v>
      </c>
      <c r="M34" s="28">
        <f t="shared" si="11"/>
        <v>0</v>
      </c>
      <c r="O34" s="270">
        <v>5.7953888877845348</v>
      </c>
      <c r="Q34" s="28">
        <f>-'(2.2)_Forward_Price_Curve'!AO26</f>
        <v>-37.067478927944045</v>
      </c>
      <c r="S34" s="18">
        <f t="shared" si="0"/>
        <v>3095.2672950649335</v>
      </c>
      <c r="U34" s="18">
        <f t="shared" si="1"/>
        <v>5563.4261488356506</v>
      </c>
      <c r="W34" s="18">
        <f t="shared" si="2"/>
        <v>-2468.1588537707171</v>
      </c>
      <c r="Y34" s="271">
        <f t="shared" si="3"/>
        <v>-28.678512877435331</v>
      </c>
      <c r="Z34" s="235"/>
      <c r="AB34" s="146">
        <f>+IF(AB33&gt;$G$13+$G$14,XX,AB33+1)</f>
        <v>2015</v>
      </c>
      <c r="AC34" s="117"/>
      <c r="AD34" s="151">
        <f t="shared" si="4"/>
        <v>86063</v>
      </c>
      <c r="AF34" s="154">
        <f t="shared" si="12"/>
        <v>65.053123860571162</v>
      </c>
      <c r="AH34" s="154">
        <f t="shared" si="13"/>
        <v>9.1714420160124419</v>
      </c>
      <c r="AJ34" s="154">
        <f t="shared" si="14"/>
        <v>2.5781431897338938</v>
      </c>
      <c r="AL34" s="153">
        <f t="shared" si="15"/>
        <v>1900.8110282152252</v>
      </c>
      <c r="AN34" s="154">
        <f>INDEX('(2.2)_Forward_Price_Curve'!$I:$I,MATCH($AB34,'(2.2)_Forward_Price_Curve'!$C:$C,0),1)</f>
        <v>7.3164011858738007</v>
      </c>
      <c r="AP34" s="154">
        <f t="shared" si="5"/>
        <v>53.161127080102943</v>
      </c>
      <c r="AR34" s="154">
        <f t="shared" si="19"/>
        <v>2.6686931522643764</v>
      </c>
      <c r="AS34" s="154"/>
      <c r="AT34" s="153">
        <f t="shared" si="6"/>
        <v>758.54433017742213</v>
      </c>
      <c r="AV34" s="153">
        <f t="shared" si="7"/>
        <v>4804.8818186582284</v>
      </c>
      <c r="AW34" s="273"/>
      <c r="AX34" s="155">
        <f t="shared" si="8"/>
        <v>5563.4261488356506</v>
      </c>
      <c r="AZ34" s="146">
        <f>+IF(AZ33&gt;$G$13+$G$14,XX,AZ33+1)</f>
        <v>2015</v>
      </c>
      <c r="BA34" s="117"/>
      <c r="BB34" s="154">
        <f t="shared" si="16"/>
        <v>43.83431971996643</v>
      </c>
      <c r="BD34" s="154">
        <f t="shared" si="17"/>
        <v>6.664710070542939</v>
      </c>
      <c r="BF34" s="153">
        <f t="shared" si="9"/>
        <v>1142.2666980378031</v>
      </c>
      <c r="BH34" s="157"/>
    </row>
    <row r="35" spans="2:60" ht="12">
      <c r="B35" s="2"/>
      <c r="C35">
        <f>+IF(C34&gt;$G$13+$G$14,XX,C34+1)</f>
        <v>2016</v>
      </c>
      <c r="E35" s="169">
        <f>'(2.2)_Forward_Price_Curve'!V30</f>
        <v>1.7999999999999999E-2</v>
      </c>
      <c r="G35" s="18">
        <v>86298.789041095893</v>
      </c>
      <c r="I35" s="28">
        <f t="shared" si="10"/>
        <v>181.35624442579712</v>
      </c>
      <c r="K35" s="28">
        <f t="shared" si="18"/>
        <v>8.390872771102627</v>
      </c>
      <c r="M35" s="28">
        <f t="shared" si="11"/>
        <v>0</v>
      </c>
      <c r="O35" s="270">
        <v>5.8997058877646564</v>
      </c>
      <c r="Q35" s="28">
        <f>-'(2.2)_Forward_Price_Curve'!AO27</f>
        <v>-37.067478927944045</v>
      </c>
      <c r="S35" s="18">
        <f t="shared" si="0"/>
        <v>3203.0340548040822</v>
      </c>
      <c r="U35" s="18">
        <f t="shared" si="1"/>
        <v>5974.2359733439989</v>
      </c>
      <c r="W35" s="18">
        <f t="shared" si="2"/>
        <v>-2771.2019185399167</v>
      </c>
      <c r="Y35" s="271">
        <f t="shared" si="3"/>
        <v>-32.111712682552906</v>
      </c>
      <c r="Z35" s="235"/>
      <c r="AB35" s="146">
        <f>+IF(AB34&gt;$G$13+$G$14,XX,AB34+1)</f>
        <v>2016</v>
      </c>
      <c r="AC35" s="117"/>
      <c r="AD35" s="151">
        <f t="shared" si="4"/>
        <v>86298.789041095893</v>
      </c>
      <c r="AF35" s="154">
        <f t="shared" si="12"/>
        <v>66.224080090061449</v>
      </c>
      <c r="AH35" s="154">
        <f t="shared" si="13"/>
        <v>9.3365279723006669</v>
      </c>
      <c r="AJ35" s="154">
        <f t="shared" si="14"/>
        <v>2.6245497671491038</v>
      </c>
      <c r="AL35" s="153">
        <f t="shared" si="15"/>
        <v>1935.6444667960043</v>
      </c>
      <c r="AN35" s="154">
        <f>INDEX('(2.2)_Forward_Price_Curve'!$I:$I,MATCH($AB35,'(2.2)_Forward_Price_Curve'!$C:$C,0),1)</f>
        <v>7.9211828417083421</v>
      </c>
      <c r="AP35" s="154">
        <f t="shared" si="5"/>
        <v>57.555483491778489</v>
      </c>
      <c r="AR35" s="154">
        <f t="shared" si="19"/>
        <v>2.716729629005135</v>
      </c>
      <c r="AS35" s="154"/>
      <c r="AT35" s="153">
        <f t="shared" si="6"/>
        <v>772.81696819352078</v>
      </c>
      <c r="AV35" s="153">
        <f t="shared" si="7"/>
        <v>5201.4190051504784</v>
      </c>
      <c r="AW35" s="273"/>
      <c r="AX35" s="155">
        <f t="shared" si="8"/>
        <v>5974.2359733439989</v>
      </c>
      <c r="AZ35" s="146">
        <f>+IF(AZ34&gt;$G$13+$G$14,XX,AZ34+1)</f>
        <v>2016</v>
      </c>
      <c r="BA35" s="117"/>
      <c r="BB35" s="154">
        <f t="shared" si="16"/>
        <v>44.623337474925826</v>
      </c>
      <c r="BD35" s="154">
        <f t="shared" si="17"/>
        <v>6.7846748518127118</v>
      </c>
      <c r="BF35" s="153">
        <f t="shared" si="9"/>
        <v>1162.8274986024835</v>
      </c>
      <c r="BH35" s="157"/>
    </row>
    <row r="36" spans="2:60" ht="12">
      <c r="B36" s="2"/>
      <c r="C36">
        <f>+IF(C35&gt;$G$13+$G$14,XX,C35+1)</f>
        <v>2017</v>
      </c>
      <c r="E36" s="169">
        <f>'(2.2)_Forward_Price_Curve'!V31</f>
        <v>1.7999999999999999E-2</v>
      </c>
      <c r="G36" s="18">
        <v>86063</v>
      </c>
      <c r="I36" s="28">
        <f t="shared" si="10"/>
        <v>184.62065682546145</v>
      </c>
      <c r="K36" s="28">
        <f t="shared" si="18"/>
        <v>8.5419084809824746</v>
      </c>
      <c r="M36" s="28">
        <f t="shared" si="11"/>
        <v>0</v>
      </c>
      <c r="O36" s="270">
        <v>6.0059005937444203</v>
      </c>
      <c r="Q36" s="28">
        <f>-'(2.2)_Forward_Price_Curve'!AO28</f>
        <v>-38.679108446550309</v>
      </c>
      <c r="S36" s="18">
        <f t="shared" si="0"/>
        <v>3184.8767016884126</v>
      </c>
      <c r="U36" s="18">
        <f t="shared" si="1"/>
        <v>6368.706015106085</v>
      </c>
      <c r="W36" s="18">
        <f t="shared" si="2"/>
        <v>-3183.8293134176724</v>
      </c>
      <c r="Y36" s="271">
        <f t="shared" si="3"/>
        <v>-36.994170705386431</v>
      </c>
      <c r="Z36" s="235"/>
      <c r="AB36" s="146">
        <f>+IF(AB35&gt;$G$13+$G$14,XX,AB35+1)</f>
        <v>2017</v>
      </c>
      <c r="AC36" s="117"/>
      <c r="AD36" s="151">
        <f t="shared" si="4"/>
        <v>86063</v>
      </c>
      <c r="AF36" s="154">
        <f t="shared" si="12"/>
        <v>67.416113531682555</v>
      </c>
      <c r="AH36" s="154">
        <f t="shared" si="13"/>
        <v>9.5045854758020791</v>
      </c>
      <c r="AJ36" s="154">
        <f t="shared" si="14"/>
        <v>2.6717916629577876</v>
      </c>
      <c r="AL36" s="153">
        <f t="shared" si="15"/>
        <v>1969.856088004115</v>
      </c>
      <c r="AN36" s="154">
        <f>INDEX('(2.2)_Forward_Price_Curve'!$I:$I,MATCH($AB36,'(2.2)_Forward_Price_Curve'!$C:$C,0),1)</f>
        <v>8.5467545643478058</v>
      </c>
      <c r="AP36" s="154">
        <f t="shared" si="5"/>
        <v>62.100900972324112</v>
      </c>
      <c r="AR36" s="154">
        <f t="shared" si="19"/>
        <v>2.7656307623272274</v>
      </c>
      <c r="AS36" s="154"/>
      <c r="AT36" s="153">
        <f t="shared" si="6"/>
        <v>786.0976944267868</v>
      </c>
      <c r="AV36" s="153">
        <f t="shared" si="7"/>
        <v>5582.6083206792982</v>
      </c>
      <c r="AW36" s="273"/>
      <c r="AX36" s="155">
        <f t="shared" si="8"/>
        <v>6368.706015106085</v>
      </c>
      <c r="AZ36" s="146">
        <f>+IF(AZ35&gt;$G$13+$G$14,XX,AZ35+1)</f>
        <v>2017</v>
      </c>
      <c r="BA36" s="117"/>
      <c r="BB36" s="154">
        <f t="shared" si="16"/>
        <v>45.426557549474495</v>
      </c>
      <c r="BD36" s="154">
        <f t="shared" si="17"/>
        <v>6.9067989991453409</v>
      </c>
      <c r="BF36" s="153">
        <f t="shared" si="9"/>
        <v>1183.7583935773282</v>
      </c>
      <c r="BH36" s="157"/>
    </row>
    <row r="37" spans="2:60" ht="12">
      <c r="B37" s="2"/>
      <c r="C37">
        <f>+IF(C36&gt;$G$13+$G$14,XX,C36+1)</f>
        <v>2018</v>
      </c>
      <c r="E37" s="169">
        <f>'(2.2)_Forward_Price_Curve'!V32</f>
        <v>1.7999999999999999E-2</v>
      </c>
      <c r="G37" s="18">
        <v>86063</v>
      </c>
      <c r="I37" s="28">
        <f>I36*(1+$E37)</f>
        <v>187.94382864831977</v>
      </c>
      <c r="K37" s="28">
        <f t="shared" si="18"/>
        <v>8.69566283364016</v>
      </c>
      <c r="M37" s="28">
        <f t="shared" si="11"/>
        <v>0</v>
      </c>
      <c r="O37" s="270">
        <v>6.1140068044318197</v>
      </c>
      <c r="Q37" s="28">
        <f>-'(2.2)_Forward_Price_Curve'!AO29</f>
        <v>-38.679108446550309</v>
      </c>
      <c r="S37" s="18">
        <f t="shared" si="0"/>
        <v>3302.1236043030431</v>
      </c>
      <c r="U37" s="18">
        <f t="shared" si="1"/>
        <v>6737.5745918597368</v>
      </c>
      <c r="W37" s="18">
        <f t="shared" si="2"/>
        <v>-3435.4509875566937</v>
      </c>
      <c r="Y37" s="271">
        <f t="shared" si="3"/>
        <v>-39.917862351494762</v>
      </c>
      <c r="Z37" s="235"/>
      <c r="AB37" s="146">
        <f>+IF(AB36&gt;$G$13+$G$14,XX,AB36+1)</f>
        <v>2018</v>
      </c>
      <c r="AC37" s="117"/>
      <c r="AD37" s="151">
        <f t="shared" si="4"/>
        <v>86063</v>
      </c>
      <c r="AF37" s="154">
        <f t="shared" si="12"/>
        <v>68.629603575252844</v>
      </c>
      <c r="AH37" s="154">
        <f t="shared" si="13"/>
        <v>9.6756680143665168</v>
      </c>
      <c r="AJ37" s="154">
        <f t="shared" si="14"/>
        <v>2.7198839128910279</v>
      </c>
      <c r="AL37" s="153">
        <f t="shared" si="15"/>
        <v>2005.3134975881899</v>
      </c>
      <c r="AN37" s="154">
        <f>INDEX('(2.2)_Forward_Price_Curve'!$I:$I,MATCH($AB37,'(2.2)_Forward_Price_Curve'!$C:$C,0),1)</f>
        <v>9.1071488375904099</v>
      </c>
      <c r="AP37" s="154">
        <f t="shared" si="5"/>
        <v>66.172737715275218</v>
      </c>
      <c r="AR37" s="154">
        <f t="shared" si="19"/>
        <v>2.8154121160491177</v>
      </c>
      <c r="AS37" s="154"/>
      <c r="AT37" s="153">
        <f t="shared" si="6"/>
        <v>800.24745292646958</v>
      </c>
      <c r="AV37" s="153">
        <f t="shared" si="7"/>
        <v>5937.3271389332667</v>
      </c>
      <c r="AW37" s="273"/>
      <c r="AX37" s="155">
        <f t="shared" si="8"/>
        <v>6737.5745918597368</v>
      </c>
      <c r="AZ37" s="146">
        <f>+IF(AZ36&gt;$G$13+$G$14,XX,AZ36+1)</f>
        <v>2018</v>
      </c>
      <c r="BA37" s="117"/>
      <c r="BB37" s="154">
        <f t="shared" si="16"/>
        <v>46.24423558536504</v>
      </c>
      <c r="BD37" s="154">
        <f t="shared" si="17"/>
        <v>7.0311213811299575</v>
      </c>
      <c r="BF37" s="153">
        <f t="shared" si="9"/>
        <v>1205.0660446617203</v>
      </c>
      <c r="BH37" s="157"/>
    </row>
    <row r="38" spans="2:60" ht="12">
      <c r="B38" s="2"/>
      <c r="C38" s="353">
        <f>+IF(C37&gt;$G$13+$G$14,XX,C37+1)</f>
        <v>2019</v>
      </c>
      <c r="E38" s="355">
        <v>1.7999999999999999E-2</v>
      </c>
      <c r="G38" s="357">
        <v>93252.094117647066</v>
      </c>
      <c r="I38" s="538">
        <v>199.05523549413752</v>
      </c>
      <c r="K38" s="464">
        <v>10.777120355497138</v>
      </c>
      <c r="M38" s="28">
        <f t="shared" si="11"/>
        <v>0</v>
      </c>
      <c r="O38" s="464">
        <v>6.2240589269115922</v>
      </c>
      <c r="Q38" s="464">
        <v>-23.214576927028542</v>
      </c>
      <c r="S38" s="18">
        <f t="shared" si="0"/>
        <v>5093.6618696364649</v>
      </c>
      <c r="U38" s="18">
        <f t="shared" si="1"/>
        <v>8450.9893709990884</v>
      </c>
      <c r="W38" s="18">
        <f t="shared" si="2"/>
        <v>-3357.3275013626235</v>
      </c>
      <c r="Y38" s="271">
        <f t="shared" si="3"/>
        <v>-36.002703565316303</v>
      </c>
      <c r="Z38" s="235"/>
      <c r="AB38" s="377">
        <f>+IF(AB37&gt;$G$13+$G$14,XX,AB37+1)</f>
        <v>2019</v>
      </c>
      <c r="AC38" s="117"/>
      <c r="AD38" s="151">
        <f t="shared" si="4"/>
        <v>93252.094117647066</v>
      </c>
      <c r="AF38" s="399">
        <f>AR15*AR16</f>
        <v>98.875745606933918</v>
      </c>
      <c r="AH38" s="399">
        <f>AV11</f>
        <v>19.805241420865066</v>
      </c>
      <c r="AJ38" s="399">
        <f>AV13</f>
        <v>2.02116486562735</v>
      </c>
      <c r="AL38" s="153">
        <f t="shared" si="15"/>
        <v>2872.9915931642195</v>
      </c>
      <c r="AN38" s="399">
        <f>INDEX('(2.2)_Forward_Price_Curve'!$I:$I,MATCH($AB38,'(2.2)_Forward_Price_Curve'!$C:$C,0),1)</f>
        <v>9.7289597532905745</v>
      </c>
      <c r="AP38" s="154">
        <f t="shared" si="5"/>
        <v>70.69082909237946</v>
      </c>
      <c r="AR38" s="399">
        <f>AV15</f>
        <v>2.2807762714164963</v>
      </c>
      <c r="AS38" s="154"/>
      <c r="AT38" s="153">
        <f t="shared" si="6"/>
        <v>1646.2343596985882</v>
      </c>
      <c r="AV38" s="153">
        <f t="shared" si="7"/>
        <v>6804.7550113005009</v>
      </c>
      <c r="AW38" s="273"/>
      <c r="AX38" s="155">
        <f t="shared" si="8"/>
        <v>8450.9893709990884</v>
      </c>
      <c r="AZ38" s="383">
        <f>+IF(AZ37&gt;$G$13+$G$14,XX,AZ37+1)</f>
        <v>2019</v>
      </c>
      <c r="BA38" s="117"/>
      <c r="BB38" s="399">
        <f t="shared" si="16"/>
        <v>47.076631825901615</v>
      </c>
      <c r="BD38" s="399">
        <f t="shared" si="17"/>
        <v>7.1576815659902966</v>
      </c>
      <c r="BF38" s="153">
        <f t="shared" si="9"/>
        <v>1226.7572334656313</v>
      </c>
      <c r="BH38" s="157"/>
    </row>
    <row r="39" spans="2:60" ht="12">
      <c r="B39" s="2"/>
      <c r="C39" s="354">
        <f>+IF(C38&gt;$I$13+$I$14,XX,C38+1)</f>
        <v>2020</v>
      </c>
      <c r="E39" s="356">
        <f>'(2.2)_Forward_Price_Curve'!S33</f>
        <v>2.3E-2</v>
      </c>
      <c r="G39" s="470">
        <v>105139.09411764707</v>
      </c>
      <c r="I39" s="360">
        <v>270.7627489523037</v>
      </c>
      <c r="K39" s="471">
        <v>24.245242249872422</v>
      </c>
      <c r="M39" s="28">
        <f t="shared" si="11"/>
        <v>0</v>
      </c>
      <c r="O39" s="471">
        <v>0.63</v>
      </c>
      <c r="Q39" s="471">
        <v>-33.150783021494966</v>
      </c>
      <c r="S39" s="18">
        <f t="shared" si="0"/>
        <v>6846.655485078606</v>
      </c>
      <c r="U39" s="18">
        <f t="shared" si="1"/>
        <v>4012.3737142620316</v>
      </c>
      <c r="W39" s="18">
        <f t="shared" si="2"/>
        <v>2834.2817708165744</v>
      </c>
      <c r="Y39" s="271">
        <f t="shared" si="3"/>
        <v>26.957449030758337</v>
      </c>
      <c r="Z39" s="235"/>
      <c r="AB39" s="378">
        <f>+IF(AB38&gt;$I$13+$I$14,XX,AB38+1)</f>
        <v>2020</v>
      </c>
      <c r="AC39" s="117"/>
      <c r="AD39" s="151">
        <f t="shared" si="4"/>
        <v>105139.09411764707</v>
      </c>
      <c r="AF39" s="154">
        <f t="shared" ref="AF39:AF68" si="20">AF38*(1+$E39)</f>
        <v>101.14988775589339</v>
      </c>
      <c r="AH39" s="154">
        <f t="shared" ref="AH39:AH68" si="21">AH38*(1+$E39)</f>
        <v>20.260761973544962</v>
      </c>
      <c r="AJ39" s="154">
        <f t="shared" ref="AJ39:AJ68" si="22">AJ38*(1+$E39)</f>
        <v>2.0676516575367789</v>
      </c>
      <c r="AL39" s="153">
        <f t="shared" si="15"/>
        <v>2963.6485750601355</v>
      </c>
      <c r="AN39" s="154">
        <f>INDEX('(2.2)_Forward_Price_Curve'!$K:$K,MATCH($AB39,'(2.2)_Forward_Price_Curve'!$C:$C,0),1)</f>
        <v>2.6944208333333339</v>
      </c>
      <c r="AP39" s="154">
        <f t="shared" si="5"/>
        <v>19.577719248729689</v>
      </c>
      <c r="AR39" s="154">
        <f>AR38*(1+$E39)</f>
        <v>2.3332341256590756</v>
      </c>
      <c r="AS39" s="154"/>
      <c r="AT39" s="153">
        <f t="shared" si="6"/>
        <v>1708.6759252247948</v>
      </c>
      <c r="AV39" s="153">
        <f t="shared" si="7"/>
        <v>2303.6977890372368</v>
      </c>
      <c r="AW39" s="273"/>
      <c r="AX39" s="155">
        <f t="shared" si="8"/>
        <v>4012.3737142620316</v>
      </c>
      <c r="AZ39" s="384">
        <f>+IF(AZ38&gt;$I$13+$I$14,XX,AZ38+1)</f>
        <v>2020</v>
      </c>
      <c r="BA39" s="117"/>
      <c r="BB39" s="154">
        <f t="shared" si="16"/>
        <v>48.159394357897348</v>
      </c>
      <c r="BD39" s="154">
        <f t="shared" si="17"/>
        <v>7.3223082420080727</v>
      </c>
      <c r="BF39" s="153">
        <f t="shared" si="9"/>
        <v>1254.9726498353407</v>
      </c>
      <c r="BH39" s="157"/>
    </row>
    <row r="40" spans="2:60" ht="12">
      <c r="B40" s="2"/>
      <c r="C40" s="354">
        <f>+IF(C39&gt;$I$13+$I$14,XX,C39+1)</f>
        <v>2021</v>
      </c>
      <c r="E40" s="356">
        <f>'(2.2)_Forward_Price_Curve'!S34</f>
        <v>2.5999999999999999E-2</v>
      </c>
      <c r="G40" s="470">
        <v>105142.09411764707</v>
      </c>
      <c r="I40" s="360">
        <v>276.66335865347617</v>
      </c>
      <c r="K40" s="471">
        <v>24.759294380634749</v>
      </c>
      <c r="M40" s="28">
        <f t="shared" si="11"/>
        <v>0</v>
      </c>
      <c r="O40" s="471">
        <v>0.6399999999999999</v>
      </c>
      <c r="Q40" s="471">
        <v>-34.476814342354757</v>
      </c>
      <c r="S40" s="18">
        <f t="shared" si="0"/>
        <v>6930.4762634540857</v>
      </c>
      <c r="U40" s="18">
        <f t="shared" si="1"/>
        <v>4202.5523310013632</v>
      </c>
      <c r="W40" s="18">
        <f t="shared" si="2"/>
        <v>2727.9239324527225</v>
      </c>
      <c r="Y40" s="271">
        <f t="shared" si="3"/>
        <v>25.94511698996936</v>
      </c>
      <c r="Z40" s="235"/>
      <c r="AB40" s="378">
        <f>+IF(AB39&gt;$I$13+$I$14,XX,AB39+1)</f>
        <v>2021</v>
      </c>
      <c r="AC40" s="117"/>
      <c r="AD40" s="151">
        <f t="shared" si="4"/>
        <v>105142.09411764707</v>
      </c>
      <c r="AF40" s="154">
        <f t="shared" si="20"/>
        <v>103.77978483754661</v>
      </c>
      <c r="AH40" s="154">
        <f t="shared" si="21"/>
        <v>20.787541784857133</v>
      </c>
      <c r="AJ40" s="154">
        <f t="shared" si="22"/>
        <v>2.1214106006327351</v>
      </c>
      <c r="AL40" s="153">
        <f t="shared" si="15"/>
        <v>3040.7098022435021</v>
      </c>
      <c r="AN40" s="154">
        <f>INDEX('(2.2)_Forward_Price_Curve'!$K:$K,MATCH($AB40,'(2.2)_Forward_Price_Curve'!$C:$C,0),1)</f>
        <v>2.8767624999999999</v>
      </c>
      <c r="AP40" s="154">
        <f t="shared" si="5"/>
        <v>20.902617688194734</v>
      </c>
      <c r="AR40" s="154">
        <f t="shared" si="19"/>
        <v>2.3938982129262119</v>
      </c>
      <c r="AS40" s="154"/>
      <c r="AT40" s="153">
        <f t="shared" si="6"/>
        <v>1753.1078635124422</v>
      </c>
      <c r="AV40" s="153">
        <f t="shared" si="7"/>
        <v>2449.4444674889205</v>
      </c>
      <c r="AW40" s="273"/>
      <c r="AX40" s="155">
        <f t="shared" si="8"/>
        <v>4202.5523310013632</v>
      </c>
      <c r="AZ40" s="384">
        <f>+IF(AZ39&gt;$I$13+$I$14,XX,AZ39+1)</f>
        <v>2021</v>
      </c>
      <c r="BA40" s="117"/>
      <c r="BB40" s="154">
        <f t="shared" si="16"/>
        <v>49.41153861120268</v>
      </c>
      <c r="BD40" s="154">
        <f t="shared" si="17"/>
        <v>7.512688256300283</v>
      </c>
      <c r="BF40" s="153">
        <f t="shared" si="9"/>
        <v>1287.6019387310598</v>
      </c>
      <c r="BH40" s="157"/>
    </row>
    <row r="41" spans="2:60" ht="12">
      <c r="B41" s="2"/>
      <c r="C41" s="354">
        <f>+IF(C40&gt;$I$13+$I$14,XX,C40+1)</f>
        <v>2022</v>
      </c>
      <c r="E41" s="356">
        <f>'(2.2)_Forward_Price_Curve'!S35</f>
        <v>2.4E-2</v>
      </c>
      <c r="G41" s="470">
        <v>105142.09411764707</v>
      </c>
      <c r="I41" s="360">
        <v>283.27360177049093</v>
      </c>
      <c r="K41" s="471">
        <v>25.328758151389341</v>
      </c>
      <c r="M41" s="28">
        <f t="shared" si="11"/>
        <v>0</v>
      </c>
      <c r="O41" s="471">
        <v>0.66</v>
      </c>
      <c r="Q41" s="471">
        <v>-34.476814342354757</v>
      </c>
      <c r="S41" s="18">
        <f t="shared" si="0"/>
        <v>7180.8456475526291</v>
      </c>
      <c r="U41" s="18">
        <f t="shared" si="1"/>
        <v>4352.3450420468844</v>
      </c>
      <c r="W41" s="18">
        <f t="shared" si="2"/>
        <v>2828.5006055057447</v>
      </c>
      <c r="Y41" s="271">
        <f t="shared" si="3"/>
        <v>26.901695550602589</v>
      </c>
      <c r="Z41" s="235"/>
      <c r="AB41" s="378">
        <f>+IF(AB40&gt;$I$13+$I$14,XX,AB40+1)</f>
        <v>2022</v>
      </c>
      <c r="AC41" s="117"/>
      <c r="AD41" s="151">
        <f t="shared" si="4"/>
        <v>105142.09411764707</v>
      </c>
      <c r="AF41" s="154">
        <f t="shared" si="20"/>
        <v>106.27049967364773</v>
      </c>
      <c r="AH41" s="154">
        <f t="shared" si="21"/>
        <v>21.286442787693705</v>
      </c>
      <c r="AJ41" s="154">
        <f t="shared" si="22"/>
        <v>2.1723244550479208</v>
      </c>
      <c r="AL41" s="153">
        <f t="shared" si="15"/>
        <v>3113.6868374973451</v>
      </c>
      <c r="AN41" s="154">
        <f>INDEX('(2.2)_Forward_Price_Curve'!$K:$K,MATCH($AB41,'(2.2)_Forward_Price_Curve'!$C:$C,0),1)</f>
        <v>3.0098541666666665</v>
      </c>
      <c r="AP41" s="154">
        <f t="shared" si="5"/>
        <v>21.869664577125601</v>
      </c>
      <c r="AR41" s="154">
        <f t="shared" si="19"/>
        <v>2.4513517700364411</v>
      </c>
      <c r="AS41" s="154"/>
      <c r="AT41" s="153">
        <f t="shared" si="6"/>
        <v>1795.1824522367399</v>
      </c>
      <c r="AV41" s="153">
        <f t="shared" si="7"/>
        <v>2557.1625898101447</v>
      </c>
      <c r="AW41" s="273"/>
      <c r="AX41" s="155">
        <f t="shared" si="8"/>
        <v>4352.3450420468844</v>
      </c>
      <c r="AZ41" s="384">
        <f>+IF(AZ40&gt;$I$13+$I$14,XX,AZ40+1)</f>
        <v>2022</v>
      </c>
      <c r="BA41" s="117"/>
      <c r="BB41" s="154">
        <f t="shared" si="16"/>
        <v>50.597415537871548</v>
      </c>
      <c r="BD41" s="154">
        <f t="shared" si="17"/>
        <v>7.6929927744514899</v>
      </c>
      <c r="BF41" s="153">
        <f t="shared" si="9"/>
        <v>1318.5043852606052</v>
      </c>
      <c r="BH41" s="157"/>
    </row>
    <row r="42" spans="2:60" ht="12">
      <c r="B42" s="2"/>
      <c r="C42" s="354">
        <f>+IF(C41&gt;$I$13+$I$14,XX,C41+1)</f>
        <v>2023</v>
      </c>
      <c r="E42" s="356">
        <f>'(2.2)_Forward_Price_Curve'!S36</f>
        <v>2.3E-2</v>
      </c>
      <c r="G42" s="470">
        <v>105142.09411764707</v>
      </c>
      <c r="I42" s="360">
        <v>289.64782443589183</v>
      </c>
      <c r="K42" s="471">
        <v>25.911319588871287</v>
      </c>
      <c r="M42" s="28">
        <f t="shared" si="11"/>
        <v>0</v>
      </c>
      <c r="O42" s="471">
        <v>0.67</v>
      </c>
      <c r="Q42" s="471">
        <v>-35.802845663214569</v>
      </c>
      <c r="S42" s="18">
        <f t="shared" si="0"/>
        <v>7285.3924340059793</v>
      </c>
      <c r="U42" s="18">
        <f t="shared" si="1"/>
        <v>4756.5215866323342</v>
      </c>
      <c r="W42" s="18">
        <f t="shared" si="2"/>
        <v>2528.8708473736451</v>
      </c>
      <c r="Y42" s="271">
        <f t="shared" si="3"/>
        <v>24.05193532234583</v>
      </c>
      <c r="Z42" s="235"/>
      <c r="AB42" s="378">
        <f>+IF(AB41&gt;$I$13+$I$14,XX,AB41+1)</f>
        <v>2023</v>
      </c>
      <c r="AC42" s="117"/>
      <c r="AD42" s="151">
        <f t="shared" si="4"/>
        <v>105142.09411764707</v>
      </c>
      <c r="AF42" s="154">
        <f t="shared" si="20"/>
        <v>108.71472116614163</v>
      </c>
      <c r="AH42" s="154">
        <f t="shared" si="21"/>
        <v>21.776030971810659</v>
      </c>
      <c r="AJ42" s="154">
        <f t="shared" si="22"/>
        <v>2.2222879175140227</v>
      </c>
      <c r="AL42" s="153">
        <f t="shared" si="15"/>
        <v>3185.3016347597841</v>
      </c>
      <c r="AN42" s="154">
        <f>INDEX('(2.2)_Forward_Price_Curve'!$K:$K,MATCH($AB42,'(2.2)_Forward_Price_Curve'!$C:$C,0),1)</f>
        <v>3.4771000000000001</v>
      </c>
      <c r="AP42" s="154">
        <f t="shared" si="5"/>
        <v>25.264682768779807</v>
      </c>
      <c r="AR42" s="154">
        <f t="shared" si="19"/>
        <v>2.5077328607472791</v>
      </c>
      <c r="AS42" s="154"/>
      <c r="AT42" s="153">
        <f t="shared" si="6"/>
        <v>1836.4716486381851</v>
      </c>
      <c r="AV42" s="153">
        <f t="shared" si="7"/>
        <v>2920.0499379941489</v>
      </c>
      <c r="AW42" s="273"/>
      <c r="AX42" s="155">
        <f t="shared" si="8"/>
        <v>4756.5215866323342</v>
      </c>
      <c r="AZ42" s="384">
        <f>+IF(AZ41&gt;$I$13+$I$14,XX,AZ41+1)</f>
        <v>2023</v>
      </c>
      <c r="BA42" s="117"/>
      <c r="BB42" s="154">
        <f t="shared" si="16"/>
        <v>51.76115609524259</v>
      </c>
      <c r="BD42" s="154">
        <f t="shared" si="17"/>
        <v>7.8699316082638733</v>
      </c>
      <c r="BF42" s="153">
        <f t="shared" si="9"/>
        <v>1348.8299861215989</v>
      </c>
      <c r="BH42" s="157"/>
    </row>
    <row r="43" spans="2:60" ht="12">
      <c r="B43" s="2"/>
      <c r="C43" s="354">
        <f>+IF(C42&gt;$I$13+$I$14,XX,C42+1)</f>
        <v>2024</v>
      </c>
      <c r="E43" s="356">
        <f>'(2.2)_Forward_Price_Curve'!S37</f>
        <v>2.3E-2</v>
      </c>
      <c r="G43" s="470">
        <v>105139.09411764707</v>
      </c>
      <c r="I43" s="360">
        <v>295.96379935083297</v>
      </c>
      <c r="K43" s="471">
        <v>26.57990262418086</v>
      </c>
      <c r="M43" s="28">
        <f t="shared" si="11"/>
        <v>0</v>
      </c>
      <c r="O43" s="471">
        <v>0.69</v>
      </c>
      <c r="Q43" s="471">
        <v>-35.802845663214569</v>
      </c>
      <c r="S43" s="18">
        <f t="shared" si="0"/>
        <v>7537.8223802172533</v>
      </c>
      <c r="U43" s="18">
        <f t="shared" si="1"/>
        <v>5168.893342919002</v>
      </c>
      <c r="W43" s="18">
        <f t="shared" si="2"/>
        <v>2368.9290372982514</v>
      </c>
      <c r="Y43" s="271">
        <f t="shared" si="3"/>
        <v>22.53138147307509</v>
      </c>
      <c r="Z43" s="235"/>
      <c r="AB43" s="378">
        <f>+IF(AB42&gt;$I$13+$I$14,XX,AB42+1)</f>
        <v>2024</v>
      </c>
      <c r="AC43" s="117"/>
      <c r="AD43" s="151">
        <f t="shared" si="4"/>
        <v>105139.09411764707</v>
      </c>
      <c r="AF43" s="154">
        <f t="shared" si="20"/>
        <v>111.21515975296288</v>
      </c>
      <c r="AH43" s="154">
        <f t="shared" si="21"/>
        <v>22.276879684162303</v>
      </c>
      <c r="AJ43" s="154">
        <f t="shared" si="22"/>
        <v>2.2734005396168451</v>
      </c>
      <c r="AL43" s="153">
        <f t="shared" si="15"/>
        <v>3258.5567521576404</v>
      </c>
      <c r="AN43" s="154">
        <f>INDEX('(2.2)_Forward_Price_Curve'!$K:$K,MATCH($AB43,'(2.2)_Forward_Price_Curve'!$C:$C,0),1)</f>
        <v>3.9537833333333325</v>
      </c>
      <c r="AP43" s="154">
        <f t="shared" si="5"/>
        <v>28.728274036741947</v>
      </c>
      <c r="AR43" s="154">
        <f t="shared" si="19"/>
        <v>2.5654107165444664</v>
      </c>
      <c r="AS43" s="154"/>
      <c r="AT43" s="153">
        <f t="shared" si="6"/>
        <v>1878.7036763552446</v>
      </c>
      <c r="AV43" s="153">
        <f t="shared" si="7"/>
        <v>3290.1896665637573</v>
      </c>
      <c r="AW43" s="273"/>
      <c r="AX43" s="155">
        <f t="shared" si="8"/>
        <v>5168.893342919002</v>
      </c>
      <c r="AZ43" s="384">
        <f>+IF(AZ42&gt;$I$13+$I$14,XX,AZ42+1)</f>
        <v>2024</v>
      </c>
      <c r="BA43" s="117"/>
      <c r="BB43" s="154">
        <f t="shared" si="16"/>
        <v>52.951662685433163</v>
      </c>
      <c r="BD43" s="154">
        <f t="shared" si="17"/>
        <v>8.0509400352539409</v>
      </c>
      <c r="BF43" s="153">
        <f t="shared" si="9"/>
        <v>1379.8530758023958</v>
      </c>
      <c r="BH43" s="157"/>
    </row>
    <row r="44" spans="2:60" ht="12">
      <c r="B44" s="2"/>
      <c r="C44" s="354">
        <f>+IF(C43&gt;$I$13+$I$14,XX,C43+1)</f>
        <v>2025</v>
      </c>
      <c r="E44" s="356">
        <f>'(2.2)_Forward_Price_Curve'!S38</f>
        <v>2.3E-2</v>
      </c>
      <c r="G44" s="470">
        <v>105142.09411764707</v>
      </c>
      <c r="I44" s="360">
        <v>302.41846911292305</v>
      </c>
      <c r="K44" s="471">
        <v>27.090440098082464</v>
      </c>
      <c r="M44" s="28">
        <f t="shared" si="11"/>
        <v>0</v>
      </c>
      <c r="O44" s="471">
        <v>0.69999999999999984</v>
      </c>
      <c r="Q44" s="471">
        <v>-37.12887698407436</v>
      </c>
      <c r="S44" s="18">
        <f t="shared" si="0"/>
        <v>7637.0635597396413</v>
      </c>
      <c r="U44" s="18">
        <f t="shared" si="1"/>
        <v>5336.7368189164463</v>
      </c>
      <c r="W44" s="18">
        <f t="shared" si="2"/>
        <v>2300.326740823195</v>
      </c>
      <c r="Y44" s="271">
        <f t="shared" si="3"/>
        <v>21.878266360657427</v>
      </c>
      <c r="Z44" s="235"/>
      <c r="AB44" s="378">
        <f>+IF(AB43&gt;$I$13+$I$14,XX,AB43+1)</f>
        <v>2025</v>
      </c>
      <c r="AC44" s="117"/>
      <c r="AD44" s="151">
        <f t="shared" si="4"/>
        <v>105142.09411764707</v>
      </c>
      <c r="AF44" s="154">
        <f t="shared" si="20"/>
        <v>113.77310842728102</v>
      </c>
      <c r="AH44" s="154">
        <f t="shared" si="21"/>
        <v>22.789247916898034</v>
      </c>
      <c r="AJ44" s="154">
        <f t="shared" si="22"/>
        <v>2.3256887520280323</v>
      </c>
      <c r="AL44" s="153">
        <f t="shared" si="15"/>
        <v>3333.5105345235215</v>
      </c>
      <c r="AN44" s="154">
        <f>INDEX('(2.2)_Forward_Price_Curve'!$K:$K,MATCH($AB44,'(2.2)_Forward_Price_Curve'!$C:$C,0),1)</f>
        <v>4.1086708333333339</v>
      </c>
      <c r="AP44" s="154">
        <f t="shared" si="5"/>
        <v>29.853689915591971</v>
      </c>
      <c r="AR44" s="154">
        <f t="shared" si="19"/>
        <v>2.624415163024989</v>
      </c>
      <c r="AS44" s="154"/>
      <c r="AT44" s="153">
        <f t="shared" si="6"/>
        <v>1921.920837977671</v>
      </c>
      <c r="AV44" s="153">
        <f t="shared" si="7"/>
        <v>3414.8159809387757</v>
      </c>
      <c r="AW44" s="273"/>
      <c r="AX44" s="155">
        <f t="shared" si="8"/>
        <v>5336.7368189164463</v>
      </c>
      <c r="AZ44" s="384">
        <f>+IF(AZ43&gt;$I$13+$I$14,XX,AZ43+1)</f>
        <v>2025</v>
      </c>
      <c r="BA44" s="117"/>
      <c r="BB44" s="154">
        <f t="shared" si="16"/>
        <v>54.169550927198124</v>
      </c>
      <c r="BD44" s="154">
        <f t="shared" si="17"/>
        <v>8.2361116560647805</v>
      </c>
      <c r="BF44" s="153">
        <f t="shared" si="9"/>
        <v>1411.5896965458505</v>
      </c>
      <c r="BH44" s="157"/>
    </row>
    <row r="45" spans="2:60" ht="12">
      <c r="B45" s="2"/>
      <c r="C45" s="354">
        <f>+IF(C44&gt;$I$13+$I$14,XX,C44+1)</f>
        <v>2026</v>
      </c>
      <c r="E45" s="356">
        <f>'(2.2)_Forward_Price_Curve'!S39</f>
        <v>2.3E-2</v>
      </c>
      <c r="G45" s="470">
        <v>105142.09411764707</v>
      </c>
      <c r="I45" s="360">
        <v>309.01489882470457</v>
      </c>
      <c r="K45" s="471">
        <v>27.686429780240278</v>
      </c>
      <c r="M45" s="28">
        <f t="shared" si="11"/>
        <v>0</v>
      </c>
      <c r="O45" s="471">
        <v>0.72</v>
      </c>
      <c r="Q45" s="471">
        <v>-38.454908304934172</v>
      </c>
      <c r="S45" s="18">
        <f t="shared" si="0"/>
        <v>7750.4065417215597</v>
      </c>
      <c r="U45" s="18">
        <f t="shared" si="1"/>
        <v>5446.7462736850066</v>
      </c>
      <c r="W45" s="18">
        <f t="shared" si="2"/>
        <v>2303.6602680365531</v>
      </c>
      <c r="Y45" s="271">
        <f t="shared" si="3"/>
        <v>21.909971333259818</v>
      </c>
      <c r="Z45" s="235"/>
      <c r="AB45" s="378">
        <f>+IF(AB44&gt;$I$13+$I$14,XX,AB44+1)</f>
        <v>2026</v>
      </c>
      <c r="AC45" s="117"/>
      <c r="AD45" s="151">
        <f t="shared" si="4"/>
        <v>105142.09411764707</v>
      </c>
      <c r="AF45" s="154">
        <f t="shared" si="20"/>
        <v>116.38988992110846</v>
      </c>
      <c r="AH45" s="154">
        <f t="shared" si="21"/>
        <v>23.313400618986687</v>
      </c>
      <c r="AJ45" s="154">
        <f t="shared" si="22"/>
        <v>2.3791795933246767</v>
      </c>
      <c r="AL45" s="153">
        <f t="shared" si="15"/>
        <v>3410.1812768175619</v>
      </c>
      <c r="AN45" s="154">
        <f>INDEX('(2.2)_Forward_Price_Curve'!$K:$K,MATCH($AB45,'(2.2)_Forward_Price_Curve'!$C:$C,0),1)</f>
        <v>4.1864999999999997</v>
      </c>
      <c r="AP45" s="154">
        <f t="shared" si="5"/>
        <v>30.419198300738156</v>
      </c>
      <c r="AR45" s="154">
        <f t="shared" si="19"/>
        <v>2.6847767117745636</v>
      </c>
      <c r="AS45" s="154"/>
      <c r="AT45" s="153">
        <f t="shared" si="6"/>
        <v>1966.1250172511568</v>
      </c>
      <c r="AV45" s="153">
        <f t="shared" si="7"/>
        <v>3480.6212564338493</v>
      </c>
      <c r="AW45" s="273"/>
      <c r="AX45" s="155">
        <f t="shared" si="8"/>
        <v>5446.7462736850066</v>
      </c>
      <c r="AZ45" s="384">
        <f>+IF(AZ44&gt;$I$13+$I$14,XX,AZ44+1)</f>
        <v>2026</v>
      </c>
      <c r="BA45" s="117"/>
      <c r="BB45" s="154">
        <f t="shared" si="16"/>
        <v>55.415450598523677</v>
      </c>
      <c r="BD45" s="154">
        <f t="shared" si="17"/>
        <v>8.4255422241542703</v>
      </c>
      <c r="BF45" s="153">
        <f t="shared" si="9"/>
        <v>1444.0562595664051</v>
      </c>
      <c r="BH45" s="157"/>
    </row>
    <row r="46" spans="2:60" ht="12">
      <c r="B46" s="2"/>
      <c r="C46" s="354">
        <f>+IF(C45&gt;$I$13+$I$14,XX,C45+1)</f>
        <v>2027</v>
      </c>
      <c r="E46" s="356">
        <f>'(2.2)_Forward_Price_Curve'!S40</f>
        <v>2.1999999999999999E-2</v>
      </c>
      <c r="G46" s="470">
        <v>105142.09411764707</v>
      </c>
      <c r="I46" s="360">
        <v>315.75622171337864</v>
      </c>
      <c r="K46" s="471">
        <v>28.295531235405566</v>
      </c>
      <c r="M46" s="28">
        <f t="shared" si="11"/>
        <v>0</v>
      </c>
      <c r="O46" s="471">
        <v>0.74</v>
      </c>
      <c r="Q46" s="471">
        <v>-38.454908304934172</v>
      </c>
      <c r="S46" s="18">
        <f t="shared" si="0"/>
        <v>8008.6792884573078</v>
      </c>
      <c r="U46" s="18">
        <f t="shared" si="1"/>
        <v>5703.1024410118425</v>
      </c>
      <c r="W46" s="18">
        <f t="shared" si="2"/>
        <v>2305.5768474454653</v>
      </c>
      <c r="Y46" s="271">
        <f t="shared" si="3"/>
        <v>21.928199802313969</v>
      </c>
      <c r="Z46" s="235"/>
      <c r="AB46" s="378">
        <f>+IF(AB45&gt;$I$13+$I$14,XX,AB45+1)</f>
        <v>2027</v>
      </c>
      <c r="AC46" s="117"/>
      <c r="AD46" s="151">
        <f t="shared" si="4"/>
        <v>105142.09411764707</v>
      </c>
      <c r="AF46" s="154">
        <f t="shared" si="20"/>
        <v>118.95046749937285</v>
      </c>
      <c r="AH46" s="154">
        <f t="shared" si="21"/>
        <v>23.826295432604393</v>
      </c>
      <c r="AJ46" s="154">
        <f t="shared" si="22"/>
        <v>2.4315215443778198</v>
      </c>
      <c r="AL46" s="153">
        <f t="shared" si="15"/>
        <v>3485.2052649075481</v>
      </c>
      <c r="AN46" s="154">
        <f>INDEX('(2.2)_Forward_Price_Curve'!$K:$K,MATCH($AB46,'(2.2)_Forward_Price_Curve'!$C:$C,0),1)</f>
        <v>4.4573125000000005</v>
      </c>
      <c r="AP46" s="154">
        <f t="shared" si="5"/>
        <v>32.386927702343002</v>
      </c>
      <c r="AR46" s="154">
        <f t="shared" si="19"/>
        <v>2.743841799433604</v>
      </c>
      <c r="AS46" s="154"/>
      <c r="AT46" s="153">
        <f t="shared" si="6"/>
        <v>2009.379767630682</v>
      </c>
      <c r="AV46" s="153">
        <f t="shared" si="7"/>
        <v>3693.7226733811608</v>
      </c>
      <c r="AW46" s="273"/>
      <c r="AX46" s="155">
        <f t="shared" si="8"/>
        <v>5703.1024410118425</v>
      </c>
      <c r="AZ46" s="384">
        <f>+IF(AZ45&gt;$I$13+$I$14,XX,AZ45+1)</f>
        <v>2027</v>
      </c>
      <c r="BA46" s="117"/>
      <c r="BB46" s="154">
        <f t="shared" si="16"/>
        <v>56.634590511691201</v>
      </c>
      <c r="BD46" s="154">
        <f t="shared" si="17"/>
        <v>8.6109041530856647</v>
      </c>
      <c r="BF46" s="153">
        <f t="shared" si="9"/>
        <v>1475.8254972768661</v>
      </c>
      <c r="BH46" s="157"/>
    </row>
    <row r="47" spans="2:60" ht="12">
      <c r="B47" s="2"/>
      <c r="C47" s="354">
        <f>+IF(C46&gt;$I$13+$I$14,XX,C46+1)</f>
        <v>2028</v>
      </c>
      <c r="E47" s="356">
        <f>'(2.2)_Forward_Price_Curve'!S41</f>
        <v>2.1999999999999999E-2</v>
      </c>
      <c r="G47" s="470">
        <v>105139.09411764707</v>
      </c>
      <c r="I47" s="360">
        <v>322.42312797092609</v>
      </c>
      <c r="K47" s="471">
        <v>28.997260410043626</v>
      </c>
      <c r="M47" s="28">
        <f t="shared" si="11"/>
        <v>0</v>
      </c>
      <c r="O47" s="471">
        <v>0.75000000000000011</v>
      </c>
      <c r="Q47" s="471">
        <v>-39.78093962579397</v>
      </c>
      <c r="S47" s="18">
        <f t="shared" si="0"/>
        <v>8134.1272037603412</v>
      </c>
      <c r="U47" s="18">
        <f t="shared" si="1"/>
        <v>5872.9405286165256</v>
      </c>
      <c r="W47" s="18">
        <f t="shared" si="2"/>
        <v>2261.1866751438156</v>
      </c>
      <c r="Y47" s="271">
        <f t="shared" si="3"/>
        <v>21.506621244174166</v>
      </c>
      <c r="Z47" s="235"/>
      <c r="AB47" s="378">
        <f>+IF(AB46&gt;$I$13+$I$14,XX,AB46+1)</f>
        <v>2028</v>
      </c>
      <c r="AC47" s="117"/>
      <c r="AD47" s="151">
        <f t="shared" si="4"/>
        <v>105139.09411764707</v>
      </c>
      <c r="AF47" s="154">
        <f t="shared" si="20"/>
        <v>121.56737778435905</v>
      </c>
      <c r="AH47" s="154">
        <f t="shared" si="21"/>
        <v>24.350473932121691</v>
      </c>
      <c r="AJ47" s="154">
        <f t="shared" si="22"/>
        <v>2.4850150183541317</v>
      </c>
      <c r="AL47" s="153">
        <f t="shared" si="15"/>
        <v>3561.87232569046</v>
      </c>
      <c r="AN47" s="154">
        <f>INDEX('(2.2)_Forward_Price_Curve'!$K:$K,MATCH($AB47,'(2.2)_Forward_Price_Curve'!$C:$C,0),1)</f>
        <v>4.6136041666666676</v>
      </c>
      <c r="AP47" s="154">
        <f t="shared" si="5"/>
        <v>33.522546286144795</v>
      </c>
      <c r="AR47" s="154">
        <f t="shared" si="19"/>
        <v>2.8042063190211435</v>
      </c>
      <c r="AS47" s="154"/>
      <c r="AT47" s="153">
        <f t="shared" si="6"/>
        <v>2053.5786674735027</v>
      </c>
      <c r="AV47" s="153">
        <f t="shared" si="7"/>
        <v>3819.3618611430225</v>
      </c>
      <c r="AW47" s="273"/>
      <c r="AX47" s="155">
        <f t="shared" si="8"/>
        <v>5872.9405286165256</v>
      </c>
      <c r="AZ47" s="384">
        <f>+IF(AZ46&gt;$I$13+$I$14,XX,AZ46+1)</f>
        <v>2028</v>
      </c>
      <c r="BA47" s="117"/>
      <c r="BB47" s="154">
        <f t="shared" si="16"/>
        <v>57.880551502948407</v>
      </c>
      <c r="BD47" s="154">
        <f t="shared" si="17"/>
        <v>8.8003440444535492</v>
      </c>
      <c r="BF47" s="153">
        <f t="shared" si="9"/>
        <v>1508.2936582169573</v>
      </c>
      <c r="BH47" s="157"/>
    </row>
    <row r="48" spans="2:60" ht="12">
      <c r="B48" s="2"/>
      <c r="C48" s="354">
        <f>+IF(C47&gt;$I$13+$I$14,XX,C47+1)</f>
        <v>2029</v>
      </c>
      <c r="E48" s="356">
        <f>'(2.2)_Forward_Price_Curve'!S42</f>
        <v>2.1999999999999999E-2</v>
      </c>
      <c r="G48" s="470">
        <v>105142.09411764707</v>
      </c>
      <c r="I48" s="360">
        <v>329.23139128435696</v>
      </c>
      <c r="K48" s="471">
        <v>29.52531161395876</v>
      </c>
      <c r="M48" s="28">
        <f t="shared" si="11"/>
        <v>0</v>
      </c>
      <c r="O48" s="471">
        <v>0.76999999999999991</v>
      </c>
      <c r="Q48" s="471">
        <v>-39.78093962579397</v>
      </c>
      <c r="S48" s="18">
        <f t="shared" si="0"/>
        <v>8385.7558584188064</v>
      </c>
      <c r="U48" s="18">
        <f t="shared" si="1"/>
        <v>6032.1071293066307</v>
      </c>
      <c r="W48" s="18">
        <f t="shared" si="2"/>
        <v>2353.6487291121757</v>
      </c>
      <c r="Y48" s="271">
        <f t="shared" si="3"/>
        <v>22.38540851657946</v>
      </c>
      <c r="Z48" s="235"/>
      <c r="AB48" s="378">
        <f>+IF(AB47&gt;$I$13+$I$14,XX,AB47+1)</f>
        <v>2029</v>
      </c>
      <c r="AC48" s="117"/>
      <c r="AD48" s="151">
        <f t="shared" si="4"/>
        <v>105142.09411764707</v>
      </c>
      <c r="AF48" s="154">
        <f t="shared" si="20"/>
        <v>124.24186009561495</v>
      </c>
      <c r="AH48" s="154">
        <f t="shared" si="21"/>
        <v>24.88618435862837</v>
      </c>
      <c r="AJ48" s="154">
        <f t="shared" si="22"/>
        <v>2.5396853487579225</v>
      </c>
      <c r="AL48" s="153">
        <f t="shared" si="15"/>
        <v>3640.241135911695</v>
      </c>
      <c r="AN48" s="154">
        <f>INDEX('(2.2)_Forward_Price_Curve'!$K:$K,MATCH($AB48,'(2.2)_Forward_Price_Curve'!$C:$C,0),1)</f>
        <v>4.7541666666666673</v>
      </c>
      <c r="AP48" s="154">
        <f t="shared" si="5"/>
        <v>34.543876409433338</v>
      </c>
      <c r="AR48" s="154">
        <f t="shared" si="19"/>
        <v>2.8658988580396088</v>
      </c>
      <c r="AS48" s="154"/>
      <c r="AT48" s="153">
        <f t="shared" si="6"/>
        <v>2098.7650172139647</v>
      </c>
      <c r="AV48" s="153">
        <f t="shared" si="7"/>
        <v>3933.342112092666</v>
      </c>
      <c r="AW48" s="273"/>
      <c r="AX48" s="155">
        <f t="shared" si="8"/>
        <v>6032.1071293066307</v>
      </c>
      <c r="AZ48" s="384">
        <f>+IF(AZ47&gt;$I$13+$I$14,XX,AZ47+1)</f>
        <v>2029</v>
      </c>
      <c r="BA48" s="117"/>
      <c r="BB48" s="154">
        <f t="shared" si="16"/>
        <v>59.153923636013275</v>
      </c>
      <c r="BD48" s="154">
        <f t="shared" si="17"/>
        <v>8.9939516134315269</v>
      </c>
      <c r="BF48" s="153">
        <f t="shared" si="9"/>
        <v>1541.4761186977305</v>
      </c>
      <c r="BH48" s="157"/>
    </row>
    <row r="49" spans="2:60" ht="12">
      <c r="B49" s="2"/>
      <c r="C49" s="354">
        <f>+IF(C48&gt;$I$13+$I$14,XX,C48+1)</f>
        <v>2030</v>
      </c>
      <c r="E49" s="356">
        <f>'(2.2)_Forward_Price_Curve'!S43</f>
        <v>2.1999999999999999E-2</v>
      </c>
      <c r="G49" s="470">
        <v>105142.09411764707</v>
      </c>
      <c r="I49" s="360">
        <v>336.18402052614653</v>
      </c>
      <c r="K49" s="471">
        <v>30.174868469465856</v>
      </c>
      <c r="M49" s="28">
        <f t="shared" si="11"/>
        <v>0</v>
      </c>
      <c r="O49" s="471">
        <v>0.78</v>
      </c>
      <c r="Q49" s="471">
        <v>0</v>
      </c>
      <c r="S49" s="18">
        <f t="shared" si="0"/>
        <v>12835.904279011142</v>
      </c>
      <c r="U49" s="18">
        <f t="shared" si="1"/>
        <v>6312.8475624377679</v>
      </c>
      <c r="W49" s="18">
        <f t="shared" si="2"/>
        <v>6523.0567165733737</v>
      </c>
      <c r="Y49" s="271">
        <f t="shared" si="3"/>
        <v>62.040391827030795</v>
      </c>
      <c r="Z49" s="235"/>
      <c r="AB49" s="378">
        <f>+IF(AB48&gt;$I$13+$I$14,XX,AB48+1)</f>
        <v>2030</v>
      </c>
      <c r="AC49" s="117"/>
      <c r="AD49" s="151">
        <f t="shared" si="4"/>
        <v>105142.09411764707</v>
      </c>
      <c r="AF49" s="154">
        <f t="shared" si="20"/>
        <v>126.97518101771848</v>
      </c>
      <c r="AH49" s="154">
        <f t="shared" si="21"/>
        <v>25.433680414518193</v>
      </c>
      <c r="AJ49" s="154">
        <f t="shared" si="22"/>
        <v>2.5955584264305966</v>
      </c>
      <c r="AL49" s="153">
        <f t="shared" si="15"/>
        <v>3720.3264409017534</v>
      </c>
      <c r="AN49" s="154">
        <f>INDEX('(2.2)_Forward_Price_Curve'!$K:$K,MATCH($AB49,'(2.2)_Forward_Price_Curve'!$C:$C,0),1)</f>
        <v>5.052529166666667</v>
      </c>
      <c r="AP49" s="154">
        <f t="shared" si="5"/>
        <v>36.711784698697393</v>
      </c>
      <c r="AR49" s="154">
        <f t="shared" si="19"/>
        <v>2.9289486329164802</v>
      </c>
      <c r="AS49" s="154"/>
      <c r="AT49" s="153">
        <f t="shared" si="6"/>
        <v>2144.9378475926728</v>
      </c>
      <c r="AV49" s="153">
        <f t="shared" si="7"/>
        <v>4167.9097148450946</v>
      </c>
      <c r="AW49" s="273"/>
      <c r="AX49" s="155">
        <f t="shared" si="8"/>
        <v>6312.8475624377679</v>
      </c>
      <c r="AZ49" s="384">
        <f>+IF(AZ48&gt;$I$13+$I$14,XX,AZ48+1)</f>
        <v>2030</v>
      </c>
      <c r="BA49" s="117"/>
      <c r="BB49" s="154">
        <f t="shared" si="16"/>
        <v>60.455309956005571</v>
      </c>
      <c r="BD49" s="154">
        <f t="shared" si="17"/>
        <v>9.1918185489270208</v>
      </c>
      <c r="BF49" s="153">
        <f t="shared" si="9"/>
        <v>1575.3885933090805</v>
      </c>
      <c r="BH49" s="157"/>
    </row>
    <row r="50" spans="2:60" ht="12">
      <c r="B50" s="2"/>
      <c r="C50" s="354">
        <f>+IF(C49&gt;$I$13+$I$14,XX,C49+1)</f>
        <v>2031</v>
      </c>
      <c r="E50" s="356">
        <f>'(2.2)_Forward_Price_Curve'!S44</f>
        <v>2.1999999999999999E-2</v>
      </c>
      <c r="G50" s="470">
        <v>105142.09411764707</v>
      </c>
      <c r="I50" s="360">
        <v>343.28408884529262</v>
      </c>
      <c r="K50" s="471">
        <v>30.838715575794104</v>
      </c>
      <c r="M50" s="28">
        <f t="shared" si="11"/>
        <v>0</v>
      </c>
      <c r="O50" s="471">
        <v>0.8</v>
      </c>
      <c r="Q50" s="471">
        <v>0</v>
      </c>
      <c r="S50" s="18">
        <f t="shared" si="0"/>
        <v>13110.15734292245</v>
      </c>
      <c r="U50" s="18">
        <f t="shared" si="1"/>
        <v>6471.7417738807371</v>
      </c>
      <c r="W50" s="18">
        <f t="shared" si="2"/>
        <v>6638.4155690417128</v>
      </c>
      <c r="Y50" s="271">
        <f t="shared" si="3"/>
        <v>63.137562788256474</v>
      </c>
      <c r="Z50" s="235"/>
      <c r="AB50" s="378">
        <f>+IF(AB49&gt;$I$13+$I$14,XX,AB49+1)</f>
        <v>2031</v>
      </c>
      <c r="AC50" s="117"/>
      <c r="AD50" s="151">
        <f t="shared" si="4"/>
        <v>105142.09411764707</v>
      </c>
      <c r="AF50" s="154">
        <f t="shared" si="20"/>
        <v>129.7686350001083</v>
      </c>
      <c r="AH50" s="154">
        <f t="shared" si="21"/>
        <v>25.993221383637593</v>
      </c>
      <c r="AJ50" s="154">
        <f t="shared" si="22"/>
        <v>2.6526607118120697</v>
      </c>
      <c r="AL50" s="153">
        <f t="shared" si="15"/>
        <v>3802.1736226015923</v>
      </c>
      <c r="AN50" s="154">
        <f>INDEX('(2.2)_Forward_Price_Curve'!$K:$K,MATCH($AB50,'(2.2)_Forward_Price_Curve'!$C:$C,0),1)</f>
        <v>5.1898791666666666</v>
      </c>
      <c r="AP50" s="154">
        <f t="shared" si="5"/>
        <v>37.709772728461253</v>
      </c>
      <c r="AR50" s="154">
        <f t="shared" si="19"/>
        <v>2.9933855028406429</v>
      </c>
      <c r="AS50" s="154"/>
      <c r="AT50" s="153">
        <f t="shared" si="6"/>
        <v>2192.1264802397118</v>
      </c>
      <c r="AV50" s="153">
        <f t="shared" si="7"/>
        <v>4279.6152936410253</v>
      </c>
      <c r="AW50" s="273"/>
      <c r="AX50" s="155">
        <f t="shared" si="8"/>
        <v>6471.7417738807371</v>
      </c>
      <c r="AZ50" s="384">
        <f>+IF(AZ49&gt;$I$13+$I$14,XX,AZ49+1)</f>
        <v>2031</v>
      </c>
      <c r="BA50" s="117"/>
      <c r="BB50" s="154">
        <f t="shared" si="16"/>
        <v>61.785326775037696</v>
      </c>
      <c r="BD50" s="154">
        <f t="shared" si="17"/>
        <v>9.3940385570034159</v>
      </c>
      <c r="BF50" s="153">
        <f t="shared" si="9"/>
        <v>1610.0471423618803</v>
      </c>
      <c r="BH50" s="157"/>
    </row>
    <row r="51" spans="2:60" ht="12">
      <c r="B51" s="2"/>
      <c r="C51" s="354">
        <f>+IF(C50&gt;$I$13+$I$14,XX,C50+1)</f>
        <v>2032</v>
      </c>
      <c r="E51" s="356">
        <f>'(2.2)_Forward_Price_Curve'!S45</f>
        <v>2.1999999999999999E-2</v>
      </c>
      <c r="G51" s="470">
        <v>105139.09411764707</v>
      </c>
      <c r="I51" s="360">
        <v>350.53473504494383</v>
      </c>
      <c r="K51" s="471">
        <v>31.603515722073809</v>
      </c>
      <c r="M51" s="28">
        <f t="shared" si="11"/>
        <v>0</v>
      </c>
      <c r="O51" s="471">
        <v>0.82</v>
      </c>
      <c r="Q51" s="471">
        <v>0</v>
      </c>
      <c r="S51" s="18">
        <f t="shared" si="0"/>
        <v>13399.219019909027</v>
      </c>
      <c r="U51" s="18">
        <f t="shared" si="1"/>
        <v>6635.8596067844974</v>
      </c>
      <c r="W51" s="18">
        <f t="shared" si="2"/>
        <v>6763.35941312453</v>
      </c>
      <c r="Y51" s="271">
        <f t="shared" si="3"/>
        <v>64.327731467388915</v>
      </c>
      <c r="Z51" s="235"/>
      <c r="AB51" s="378">
        <f>+IF(AB50&gt;$I$13+$I$14,XX,AB50+1)</f>
        <v>2032</v>
      </c>
      <c r="AC51" s="117"/>
      <c r="AD51" s="151">
        <f t="shared" si="4"/>
        <v>105139.09411764707</v>
      </c>
      <c r="AF51" s="154">
        <f t="shared" si="20"/>
        <v>132.62354497011069</v>
      </c>
      <c r="AH51" s="154">
        <f t="shared" si="21"/>
        <v>26.56507225407762</v>
      </c>
      <c r="AJ51" s="154">
        <f t="shared" si="22"/>
        <v>2.7110192474719352</v>
      </c>
      <c r="AL51" s="153">
        <f t="shared" si="15"/>
        <v>3885.8133092410844</v>
      </c>
      <c r="AN51" s="154">
        <f>INDEX('(2.2)_Forward_Price_Curve'!$K:$K,MATCH($AB51,'(2.2)_Forward_Price_Curve'!$C:$C,0),1)</f>
        <v>5.3326874999999996</v>
      </c>
      <c r="AP51" s="154">
        <f t="shared" si="5"/>
        <v>38.747421124654863</v>
      </c>
      <c r="AR51" s="154">
        <f t="shared" si="19"/>
        <v>3.059239983903137</v>
      </c>
      <c r="AS51" s="154"/>
      <c r="AT51" s="153">
        <f t="shared" si="6"/>
        <v>2240.3451297472429</v>
      </c>
      <c r="AV51" s="153">
        <f t="shared" si="7"/>
        <v>4395.5144770372544</v>
      </c>
      <c r="AW51" s="273"/>
      <c r="AX51" s="155">
        <f t="shared" si="8"/>
        <v>6635.8596067844974</v>
      </c>
      <c r="AZ51" s="384">
        <f>+IF(AZ50&gt;$I$13+$I$14,XX,AZ50+1)</f>
        <v>2032</v>
      </c>
      <c r="BA51" s="117"/>
      <c r="BB51" s="154">
        <f t="shared" si="16"/>
        <v>63.144603964088525</v>
      </c>
      <c r="BD51" s="154">
        <f t="shared" si="17"/>
        <v>9.6007074052574914</v>
      </c>
      <c r="BF51" s="153">
        <f t="shared" si="9"/>
        <v>1645.4681794938415</v>
      </c>
      <c r="BH51" s="157"/>
    </row>
    <row r="52" spans="2:60" ht="12">
      <c r="B52" s="2"/>
      <c r="C52" s="354">
        <f>+IF(C51&gt;$I$13+$I$14,XX,C51+1)</f>
        <v>2033</v>
      </c>
      <c r="E52" s="356">
        <f>'(2.2)_Forward_Price_Curve'!S46</f>
        <v>2.1999999999999999E-2</v>
      </c>
      <c r="G52" s="470">
        <v>105142.09411764707</v>
      </c>
      <c r="I52" s="360">
        <v>357.93916498964336</v>
      </c>
      <c r="K52" s="471">
        <v>32.210544999467736</v>
      </c>
      <c r="M52" s="28">
        <f t="shared" si="11"/>
        <v>0</v>
      </c>
      <c r="O52" s="471">
        <v>0.84000000000000008</v>
      </c>
      <c r="Q52" s="471">
        <v>0</v>
      </c>
      <c r="S52" s="18">
        <f t="shared" si="0"/>
        <v>13676.2697151784</v>
      </c>
      <c r="U52" s="18">
        <f t="shared" si="1"/>
        <v>6833.0446218050129</v>
      </c>
      <c r="W52" s="18">
        <f t="shared" si="2"/>
        <v>6843.2250933733867</v>
      </c>
      <c r="Y52" s="271">
        <f t="shared" si="3"/>
        <v>65.085493596087872</v>
      </c>
      <c r="Z52" s="235"/>
      <c r="AB52" s="378">
        <f>+IF(AB51&gt;$I$13+$I$14,XX,AB51+1)</f>
        <v>2033</v>
      </c>
      <c r="AC52" s="117"/>
      <c r="AD52" s="151">
        <f t="shared" si="4"/>
        <v>105142.09411764707</v>
      </c>
      <c r="AF52" s="154">
        <f t="shared" si="20"/>
        <v>135.54126295945312</v>
      </c>
      <c r="AH52" s="154">
        <f t="shared" si="21"/>
        <v>27.149503843667329</v>
      </c>
      <c r="AJ52" s="154">
        <f t="shared" si="22"/>
        <v>2.7706616709163177</v>
      </c>
      <c r="AL52" s="153">
        <f t="shared" si="15"/>
        <v>3971.3095140294013</v>
      </c>
      <c r="AN52" s="154">
        <f>INDEX('(2.2)_Forward_Price_Curve'!$K:$K,MATCH($AB52,'(2.2)_Forward_Price_Curve'!$C:$C,0),1)</f>
        <v>5.5168416666666671</v>
      </c>
      <c r="AP52" s="154">
        <f t="shared" si="5"/>
        <v>40.085489227781714</v>
      </c>
      <c r="AR52" s="154">
        <f t="shared" si="19"/>
        <v>3.126543263549006</v>
      </c>
      <c r="AS52" s="154"/>
      <c r="AT52" s="153">
        <f t="shared" si="6"/>
        <v>2289.6410345866952</v>
      </c>
      <c r="AV52" s="153">
        <f t="shared" si="7"/>
        <v>4543.4035872183176</v>
      </c>
      <c r="AW52" s="273"/>
      <c r="AX52" s="155">
        <f t="shared" si="8"/>
        <v>6833.0446218050129</v>
      </c>
      <c r="AZ52" s="384">
        <f>+IF(AZ51&gt;$I$13+$I$14,XX,AZ51+1)</f>
        <v>2033</v>
      </c>
      <c r="BA52" s="117"/>
      <c r="BB52" s="154">
        <f t="shared" si="16"/>
        <v>64.533785251298468</v>
      </c>
      <c r="BD52" s="154">
        <f t="shared" si="17"/>
        <v>9.8119229681731568</v>
      </c>
      <c r="BF52" s="153">
        <f t="shared" si="9"/>
        <v>1681.6684794427058</v>
      </c>
      <c r="BH52" s="157"/>
    </row>
    <row r="53" spans="2:60" ht="12">
      <c r="B53" s="2"/>
      <c r="C53" s="354">
        <f>+IF(C52&gt;$I$13+$I$14,XX,C52+1)</f>
        <v>2034</v>
      </c>
      <c r="E53" s="356">
        <f>'(2.2)_Forward_Price_Curve'!S47</f>
        <v>2.1999999999999999E-2</v>
      </c>
      <c r="G53" s="470">
        <v>105142.09411764707</v>
      </c>
      <c r="I53" s="360">
        <v>106.37462484796859</v>
      </c>
      <c r="K53" s="471">
        <v>32.919176989456034</v>
      </c>
      <c r="M53" s="28">
        <f t="shared" si="11"/>
        <v>0</v>
      </c>
      <c r="O53" s="471">
        <v>0.85999999999999988</v>
      </c>
      <c r="Q53" s="471">
        <v>0</v>
      </c>
      <c r="S53" s="18">
        <f t="shared" si="0"/>
        <v>6583.2902144091486</v>
      </c>
      <c r="U53" s="18">
        <f t="shared" si="1"/>
        <v>7021.6337440621282</v>
      </c>
      <c r="W53" s="18">
        <f t="shared" si="2"/>
        <v>-438.34352965297967</v>
      </c>
      <c r="Y53" s="271">
        <f t="shared" si="3"/>
        <v>-4.169058390281843</v>
      </c>
      <c r="Z53" s="235"/>
      <c r="AB53" s="378">
        <f>+IF(AB52&gt;$I$13+$I$14,XX,AB52+1)</f>
        <v>2034</v>
      </c>
      <c r="AC53" s="117"/>
      <c r="AD53" s="151">
        <f t="shared" si="4"/>
        <v>105142.09411764707</v>
      </c>
      <c r="AF53" s="154">
        <f t="shared" si="20"/>
        <v>138.5231707445611</v>
      </c>
      <c r="AH53" s="154">
        <f t="shared" si="21"/>
        <v>27.746792928228011</v>
      </c>
      <c r="AJ53" s="154">
        <f t="shared" si="22"/>
        <v>2.8316162276764767</v>
      </c>
      <c r="AL53" s="153">
        <f t="shared" si="15"/>
        <v>4058.6783233380484</v>
      </c>
      <c r="AN53" s="154">
        <f>INDEX('(2.2)_Forward_Price_Curve'!$K:$K,MATCH($AB53,'(2.2)_Forward_Price_Curve'!$C:$C,0),1)</f>
        <v>5.688295833333334</v>
      </c>
      <c r="AP53" s="154">
        <f t="shared" si="5"/>
        <v>41.331278860009391</v>
      </c>
      <c r="AR53" s="154">
        <f t="shared" si="19"/>
        <v>3.1953272153470844</v>
      </c>
      <c r="AS53" s="154"/>
      <c r="AT53" s="153">
        <f t="shared" si="6"/>
        <v>2340.0131373476024</v>
      </c>
      <c r="AV53" s="153">
        <f t="shared" si="7"/>
        <v>4681.6206067145258</v>
      </c>
      <c r="AW53" s="273"/>
      <c r="AX53" s="155">
        <f t="shared" si="8"/>
        <v>7021.6337440621282</v>
      </c>
      <c r="AZ53" s="384">
        <f>+IF(AZ52&gt;$I$13+$I$14,XX,AZ52+1)</f>
        <v>2034</v>
      </c>
      <c r="BA53" s="117"/>
      <c r="BB53" s="154">
        <f t="shared" si="16"/>
        <v>65.953528526827043</v>
      </c>
      <c r="BD53" s="154">
        <f t="shared" si="17"/>
        <v>10.027785273472967</v>
      </c>
      <c r="BF53" s="153">
        <f t="shared" si="9"/>
        <v>1718.6651859904459</v>
      </c>
      <c r="BH53" s="157"/>
    </row>
    <row r="54" spans="2:60" ht="12">
      <c r="B54" s="2"/>
      <c r="C54" s="354">
        <f>+IF(C53&gt;$I$13+$I$14,XX,C53+1)</f>
        <v>2035</v>
      </c>
      <c r="E54" s="356">
        <f>'(2.2)_Forward_Price_Curve'!S48</f>
        <v>2.1999999999999999E-2</v>
      </c>
      <c r="G54" s="470">
        <v>105142.09411764707</v>
      </c>
      <c r="I54" s="360">
        <v>108.39574272008001</v>
      </c>
      <c r="K54" s="471">
        <v>33.643398883224059</v>
      </c>
      <c r="M54" s="28">
        <f t="shared" si="11"/>
        <v>0</v>
      </c>
      <c r="O54" s="471">
        <v>0.86999999999999988</v>
      </c>
      <c r="Q54" s="471">
        <v>0</v>
      </c>
      <c r="S54" s="18">
        <f t="shared" si="0"/>
        <v>6718.0897012221185</v>
      </c>
      <c r="U54" s="18">
        <f t="shared" si="1"/>
        <v>7200.9856439262758</v>
      </c>
      <c r="W54" s="18">
        <f t="shared" si="2"/>
        <v>-482.89594270415728</v>
      </c>
      <c r="Y54" s="271">
        <f t="shared" si="3"/>
        <v>-4.592793654688184</v>
      </c>
      <c r="Z54" s="235"/>
      <c r="AB54" s="378">
        <f>+IF(AB53&gt;$I$13+$I$14,XX,AB53+1)</f>
        <v>2035</v>
      </c>
      <c r="AC54" s="117"/>
      <c r="AD54" s="151">
        <f t="shared" si="4"/>
        <v>105142.09411764707</v>
      </c>
      <c r="AF54" s="154">
        <f t="shared" si="20"/>
        <v>141.57068050094145</v>
      </c>
      <c r="AH54" s="154">
        <f t="shared" si="21"/>
        <v>28.357222372649026</v>
      </c>
      <c r="AJ54" s="154">
        <f t="shared" si="22"/>
        <v>2.893911784685359</v>
      </c>
      <c r="AL54" s="153">
        <f t="shared" si="15"/>
        <v>4147.9692464514856</v>
      </c>
      <c r="AN54" s="154">
        <f>INDEX('(2.2)_Forward_Price_Curve'!$K:$K,MATCH($AB54,'(2.2)_Forward_Price_Curve'!$C:$C,0),1)</f>
        <v>5.846000000000001</v>
      </c>
      <c r="AP54" s="154">
        <f t="shared" si="5"/>
        <v>42.477160698940715</v>
      </c>
      <c r="AR54" s="154">
        <f t="shared" si="19"/>
        <v>3.2656244140847202</v>
      </c>
      <c r="AS54" s="154"/>
      <c r="AT54" s="153">
        <f t="shared" si="6"/>
        <v>2391.4934263692503</v>
      </c>
      <c r="AV54" s="153">
        <f t="shared" si="7"/>
        <v>4809.4922175570255</v>
      </c>
      <c r="AW54" s="273"/>
      <c r="AX54" s="155">
        <f t="shared" si="8"/>
        <v>7200.9856439262758</v>
      </c>
      <c r="AZ54" s="384">
        <f>+IF(AZ53&gt;$I$13+$I$14,XX,AZ53+1)</f>
        <v>2035</v>
      </c>
      <c r="BA54" s="117"/>
      <c r="BB54" s="154">
        <f t="shared" si="16"/>
        <v>67.404506154417234</v>
      </c>
      <c r="BD54" s="154">
        <f t="shared" si="17"/>
        <v>10.248396549489373</v>
      </c>
      <c r="BF54" s="153">
        <f t="shared" si="9"/>
        <v>1756.4758200822355</v>
      </c>
      <c r="BH54" s="157"/>
    </row>
    <row r="55" spans="2:60" ht="12">
      <c r="B55" s="2"/>
      <c r="C55" s="354">
        <f>+IF(C54&gt;$I$13+$I$14,XX,C54+1)</f>
        <v>2036</v>
      </c>
      <c r="E55" s="356">
        <f>'(2.2)_Forward_Price_Curve'!S49</f>
        <v>2.1999999999999999E-2</v>
      </c>
      <c r="G55" s="470">
        <v>105139.09411764707</v>
      </c>
      <c r="I55" s="360">
        <v>110.4552618317615</v>
      </c>
      <c r="K55" s="471">
        <v>34.477755175528017</v>
      </c>
      <c r="M55" s="28">
        <f t="shared" si="11"/>
        <v>0</v>
      </c>
      <c r="O55" s="471">
        <v>0.89000000000000024</v>
      </c>
      <c r="Q55" s="471">
        <v>0</v>
      </c>
      <c r="S55" s="18">
        <f t="shared" si="0"/>
        <v>6866.5087023349424</v>
      </c>
      <c r="U55" s="18">
        <f t="shared" si="1"/>
        <v>7433.4692765483624</v>
      </c>
      <c r="W55" s="18">
        <f t="shared" si="2"/>
        <v>-566.96057421341993</v>
      </c>
      <c r="Y55" s="271">
        <f t="shared" si="3"/>
        <v>-5.3924810649310935</v>
      </c>
      <c r="Z55" s="235"/>
      <c r="AB55" s="378">
        <f>+IF(AB54&gt;$I$13+$I$14,XX,AB54+1)</f>
        <v>2036</v>
      </c>
      <c r="AC55" s="117"/>
      <c r="AD55" s="151">
        <f t="shared" si="4"/>
        <v>105139.09411764707</v>
      </c>
      <c r="AF55" s="154">
        <f t="shared" si="20"/>
        <v>144.68523547196216</v>
      </c>
      <c r="AH55" s="154">
        <f t="shared" si="21"/>
        <v>28.981081264847305</v>
      </c>
      <c r="AJ55" s="154">
        <f t="shared" si="22"/>
        <v>2.957577843948437</v>
      </c>
      <c r="AL55" s="153">
        <f t="shared" si="15"/>
        <v>4239.2156971398863</v>
      </c>
      <c r="AN55" s="154">
        <f>INDEX('(2.2)_Forward_Price_Curve'!$K:$K,MATCH($AB55,'(2.2)_Forward_Price_Curve'!$C:$C,0),1)</f>
        <v>6.0717541666666675</v>
      </c>
      <c r="AP55" s="154">
        <f t="shared" si="5"/>
        <v>44.117495289422315</v>
      </c>
      <c r="AR55" s="154">
        <f t="shared" si="19"/>
        <v>3.3374681511945838</v>
      </c>
      <c r="AS55" s="154"/>
      <c r="AT55" s="153">
        <f t="shared" si="6"/>
        <v>2444.0974090158415</v>
      </c>
      <c r="AV55" s="153">
        <f t="shared" si="7"/>
        <v>4989.3718675325208</v>
      </c>
      <c r="AW55" s="273"/>
      <c r="AX55" s="155">
        <f t="shared" si="8"/>
        <v>7433.4692765483624</v>
      </c>
      <c r="AZ55" s="384">
        <f>+IF(AZ54&gt;$I$13+$I$14,XX,AZ54+1)</f>
        <v>2036</v>
      </c>
      <c r="BA55" s="117"/>
      <c r="BB55" s="154">
        <f t="shared" si="16"/>
        <v>68.88740528981441</v>
      </c>
      <c r="BD55" s="154">
        <f t="shared" si="17"/>
        <v>10.473861273578139</v>
      </c>
      <c r="BF55" s="153">
        <f t="shared" si="9"/>
        <v>1795.1182881240445</v>
      </c>
      <c r="BH55" s="157"/>
    </row>
    <row r="56" spans="2:60" ht="12">
      <c r="B56" s="2"/>
      <c r="C56" s="354">
        <f>+IF(C55&gt;$I$13+$I$14,XX,C55+1)</f>
        <v>2037</v>
      </c>
      <c r="E56" s="356">
        <f>'(2.2)_Forward_Price_Curve'!S50</f>
        <v>2.1999999999999999E-2</v>
      </c>
      <c r="G56" s="470">
        <v>105139.09411764707</v>
      </c>
      <c r="I56" s="360">
        <v>112.55391180656497</v>
      </c>
      <c r="K56" s="471">
        <v>35.139991839145388</v>
      </c>
      <c r="M56" s="28">
        <f t="shared" si="11"/>
        <v>0</v>
      </c>
      <c r="O56" s="471">
        <v>0.91000000000000025</v>
      </c>
      <c r="Q56" s="471">
        <v>0</v>
      </c>
      <c r="S56" s="18">
        <f t="shared" si="0"/>
        <v>6998.0499714034177</v>
      </c>
      <c r="U56" s="18">
        <f t="shared" si="1"/>
        <v>7623.5307740255412</v>
      </c>
      <c r="W56" s="18">
        <f t="shared" si="2"/>
        <v>-625.48080262212352</v>
      </c>
      <c r="Y56" s="271">
        <f t="shared" si="3"/>
        <v>-5.9490792447025633</v>
      </c>
      <c r="Z56" s="235"/>
      <c r="AB56" s="378">
        <f>+IF(AB55&gt;$I$13+$I$14,XX,AB55+1)</f>
        <v>2037</v>
      </c>
      <c r="AC56" s="117"/>
      <c r="AD56" s="151">
        <f t="shared" si="4"/>
        <v>105139.09411764707</v>
      </c>
      <c r="AF56" s="154">
        <f t="shared" si="20"/>
        <v>147.86831065234534</v>
      </c>
      <c r="AH56" s="154">
        <f t="shared" si="21"/>
        <v>29.618665052673947</v>
      </c>
      <c r="AJ56" s="154">
        <f t="shared" si="22"/>
        <v>3.0226445565153028</v>
      </c>
      <c r="AL56" s="153">
        <f t="shared" si="15"/>
        <v>4332.4784424769641</v>
      </c>
      <c r="AN56" s="154">
        <f>INDEX('(2.2)_Forward_Price_Curve'!$K:$K,MATCH($AB56,'(2.2)_Forward_Price_Curve'!$C:$C,0),1)</f>
        <v>6.240054166666666</v>
      </c>
      <c r="AP56" s="154">
        <f t="shared" si="5"/>
        <v>45.340366679369573</v>
      </c>
      <c r="AR56" s="154">
        <f t="shared" si="19"/>
        <v>3.4108924505208646</v>
      </c>
      <c r="AS56" s="154"/>
      <c r="AT56" s="153">
        <f t="shared" si="6"/>
        <v>2497.8675520141906</v>
      </c>
      <c r="AV56" s="153">
        <f t="shared" si="7"/>
        <v>5125.6632220113506</v>
      </c>
      <c r="AW56" s="273"/>
      <c r="AX56" s="155">
        <f t="shared" si="8"/>
        <v>7623.5307740255412</v>
      </c>
      <c r="AZ56" s="384">
        <f>+IF(AZ55&gt;$I$13+$I$14,XX,AZ55+1)</f>
        <v>2037</v>
      </c>
      <c r="BA56" s="117"/>
      <c r="BB56" s="154">
        <f t="shared" si="16"/>
        <v>70.402928206190325</v>
      </c>
      <c r="BD56" s="154">
        <f t="shared" si="17"/>
        <v>10.704286221596858</v>
      </c>
      <c r="BF56" s="153">
        <f t="shared" si="9"/>
        <v>1834.6108904627736</v>
      </c>
      <c r="BH56" s="157"/>
    </row>
    <row r="57" spans="2:60" ht="12">
      <c r="B57" s="2"/>
      <c r="C57" s="354">
        <f>+IF(C56&gt;$I$13+$I$14,XX,C56+1)</f>
        <v>2038</v>
      </c>
      <c r="E57" s="356">
        <f>'(2.2)_Forward_Price_Curve'!S51</f>
        <v>2.1999999999999999E-2</v>
      </c>
      <c r="G57" s="470">
        <v>105139.09411764707</v>
      </c>
      <c r="I57" s="360">
        <v>114.6924361308897</v>
      </c>
      <c r="K57" s="471">
        <v>35.948211651445732</v>
      </c>
      <c r="M57" s="28">
        <f t="shared" si="11"/>
        <v>0</v>
      </c>
      <c r="O57" s="471">
        <v>0.92999999999999994</v>
      </c>
      <c r="Q57" s="471">
        <v>0</v>
      </c>
      <c r="S57" s="18">
        <f t="shared" si="0"/>
        <v>7146.0761954422187</v>
      </c>
      <c r="U57" s="18">
        <f t="shared" si="1"/>
        <v>7931.1025674912835</v>
      </c>
      <c r="W57" s="18">
        <f t="shared" si="2"/>
        <v>-785.02637204906478</v>
      </c>
      <c r="Y57" s="271">
        <f t="shared" si="3"/>
        <v>-7.4665506549889704</v>
      </c>
      <c r="Z57" s="235"/>
      <c r="AB57" s="378">
        <f>+IF(AB56&gt;$I$13+$I$14,XX,AB56+1)</f>
        <v>2038</v>
      </c>
      <c r="AC57" s="117"/>
      <c r="AD57" s="151">
        <f t="shared" si="4"/>
        <v>105139.09411764707</v>
      </c>
      <c r="AF57" s="154">
        <f t="shared" si="20"/>
        <v>151.12141348669695</v>
      </c>
      <c r="AH57" s="154">
        <f t="shared" si="21"/>
        <v>30.270275683832775</v>
      </c>
      <c r="AJ57" s="154">
        <f t="shared" si="22"/>
        <v>3.0891427367586397</v>
      </c>
      <c r="AL57" s="153">
        <f t="shared" si="15"/>
        <v>4427.7929682114582</v>
      </c>
      <c r="AN57" s="154">
        <f>INDEX('(2.2)_Forward_Price_Curve'!$K:$K,MATCH($AB57,'(2.2)_Forward_Price_Curve'!$C:$C,0),1)</f>
        <v>6.5604041666666673</v>
      </c>
      <c r="AP57" s="154">
        <f t="shared" si="5"/>
        <v>47.66803661264116</v>
      </c>
      <c r="AR57" s="154">
        <f t="shared" si="19"/>
        <v>3.4859320844323238</v>
      </c>
      <c r="AS57" s="154"/>
      <c r="AT57" s="153">
        <f t="shared" si="6"/>
        <v>2552.8206381585032</v>
      </c>
      <c r="AV57" s="153">
        <f t="shared" si="7"/>
        <v>5378.2819293327802</v>
      </c>
      <c r="AW57" s="273"/>
      <c r="AX57" s="155">
        <f t="shared" si="8"/>
        <v>7931.1025674912835</v>
      </c>
      <c r="AZ57" s="384">
        <f>+IF(AZ56&gt;$I$13+$I$14,XX,AZ56+1)</f>
        <v>2038</v>
      </c>
      <c r="BA57" s="117"/>
      <c r="BB57" s="154">
        <f t="shared" si="16"/>
        <v>71.951792626726515</v>
      </c>
      <c r="BD57" s="154">
        <f t="shared" si="17"/>
        <v>10.93978051847199</v>
      </c>
      <c r="BF57" s="153">
        <f t="shared" si="9"/>
        <v>1874.9723300529547</v>
      </c>
      <c r="BH57" s="157"/>
    </row>
    <row r="58" spans="2:60" ht="12">
      <c r="B58" s="2"/>
      <c r="C58" s="354">
        <f>+IF(C57&gt;$I$13+$I$14,XX,C57+1)</f>
        <v>2039</v>
      </c>
      <c r="E58" s="356">
        <f>'(2.2)_Forward_Price_Curve'!S52</f>
        <v>2.1999999999999999E-2</v>
      </c>
      <c r="G58" s="470">
        <v>105139.09411764707</v>
      </c>
      <c r="I58" s="360">
        <v>116.87159241737659</v>
      </c>
      <c r="K58" s="471">
        <v>36.775020519428978</v>
      </c>
      <c r="M58" s="28">
        <f t="shared" si="11"/>
        <v>0</v>
      </c>
      <c r="O58" s="471">
        <v>0.95999999999999985</v>
      </c>
      <c r="Q58" s="471">
        <v>0</v>
      </c>
      <c r="S58" s="18">
        <f t="shared" si="0"/>
        <v>7298.2662578188201</v>
      </c>
      <c r="U58" s="18">
        <f t="shared" si="1"/>
        <v>8157.1659122287392</v>
      </c>
      <c r="W58" s="18">
        <f t="shared" si="2"/>
        <v>-858.89965440991909</v>
      </c>
      <c r="Y58" s="271">
        <f t="shared" si="3"/>
        <v>-8.1691749545496322</v>
      </c>
      <c r="Z58" s="235"/>
      <c r="AB58" s="378">
        <f>+IF(AB57&gt;$I$13+$I$14,XX,AB57+1)</f>
        <v>2039</v>
      </c>
      <c r="AC58" s="117"/>
      <c r="AD58" s="151">
        <f t="shared" si="4"/>
        <v>105139.09411764707</v>
      </c>
      <c r="AF58" s="154">
        <f t="shared" si="20"/>
        <v>154.44608458340429</v>
      </c>
      <c r="AH58" s="154">
        <f t="shared" si="21"/>
        <v>30.936221748877095</v>
      </c>
      <c r="AJ58" s="154">
        <f t="shared" si="22"/>
        <v>3.1571038769673296</v>
      </c>
      <c r="AL58" s="153">
        <f t="shared" si="15"/>
        <v>4525.2044135121096</v>
      </c>
      <c r="AN58" s="154">
        <f>INDEX('(2.2)_Forward_Price_Curve'!$K:$K,MATCH($AB58,'(2.2)_Forward_Price_Curve'!$C:$C,0),1)</f>
        <v>6.7722499999999988</v>
      </c>
      <c r="AP58" s="154">
        <f t="shared" si="5"/>
        <v>49.207312956449051</v>
      </c>
      <c r="AR58" s="154">
        <f t="shared" si="19"/>
        <v>3.562622590289835</v>
      </c>
      <c r="AS58" s="154"/>
      <c r="AT58" s="153">
        <f t="shared" si="6"/>
        <v>2608.9826921979902</v>
      </c>
      <c r="AV58" s="153">
        <f t="shared" si="7"/>
        <v>5548.183220030749</v>
      </c>
      <c r="AW58" s="273"/>
      <c r="AX58" s="155">
        <f t="shared" si="8"/>
        <v>8157.1659122287392</v>
      </c>
      <c r="AZ58" s="384">
        <f>+IF(AZ57&gt;$I$13+$I$14,XX,AZ57+1)</f>
        <v>2039</v>
      </c>
      <c r="BA58" s="117"/>
      <c r="BB58" s="154">
        <f t="shared" si="16"/>
        <v>73.5347320645145</v>
      </c>
      <c r="BD58" s="154">
        <f t="shared" si="17"/>
        <v>11.180455689878373</v>
      </c>
      <c r="BF58" s="153">
        <f t="shared" si="9"/>
        <v>1916.2217213141196</v>
      </c>
      <c r="BH58" s="157"/>
    </row>
    <row r="59" spans="2:60" ht="12">
      <c r="B59" s="2"/>
      <c r="C59" s="354">
        <f>+IF(C58&gt;$I$13+$I$14,XX,C58+1)</f>
        <v>2040</v>
      </c>
      <c r="E59" s="356">
        <f>'(2.2)_Forward_Price_Curve'!S53</f>
        <v>2.1999999999999999E-2</v>
      </c>
      <c r="G59" s="470">
        <v>105139.09411764707</v>
      </c>
      <c r="I59" s="360">
        <v>119.09215267330676</v>
      </c>
      <c r="K59" s="471">
        <v>37.723916802311123</v>
      </c>
      <c r="M59" s="28">
        <f t="shared" si="11"/>
        <v>0</v>
      </c>
      <c r="O59" s="471">
        <v>0.9800000000000002</v>
      </c>
      <c r="Q59" s="471">
        <v>0</v>
      </c>
      <c r="S59" s="18">
        <f t="shared" si="0"/>
        <v>7463.4211025890127</v>
      </c>
      <c r="U59" s="18">
        <f t="shared" si="1"/>
        <v>8454.6830435001066</v>
      </c>
      <c r="W59" s="18">
        <f t="shared" si="2"/>
        <v>-991.26194091109392</v>
      </c>
      <c r="Y59" s="271">
        <f t="shared" si="3"/>
        <v>-9.4281004533090762</v>
      </c>
      <c r="Z59" s="235"/>
      <c r="AB59" s="378">
        <f>+IF(AB58&gt;$I$13+$I$14,XX,AB58+1)</f>
        <v>2040</v>
      </c>
      <c r="AC59" s="117"/>
      <c r="AD59" s="151">
        <f t="shared" si="4"/>
        <v>105139.09411764707</v>
      </c>
      <c r="AF59" s="154">
        <f t="shared" si="20"/>
        <v>157.84389844423919</v>
      </c>
      <c r="AH59" s="154">
        <f t="shared" si="21"/>
        <v>31.616818627352391</v>
      </c>
      <c r="AJ59" s="154">
        <f t="shared" si="22"/>
        <v>3.2265601622606108</v>
      </c>
      <c r="AL59" s="153">
        <f t="shared" si="15"/>
        <v>4624.7589106093756</v>
      </c>
      <c r="AN59" s="154">
        <f>INDEX('(2.2)_Forward_Price_Curve'!$K:$K,MATCH($AB59,'(2.2)_Forward_Price_Curve'!$C:$C,0),1)</f>
        <v>7.075779166666667</v>
      </c>
      <c r="AP59" s="154">
        <f t="shared" si="5"/>
        <v>51.412762355921451</v>
      </c>
      <c r="AR59" s="154">
        <f t="shared" si="19"/>
        <v>3.6410002872762113</v>
      </c>
      <c r="AS59" s="154"/>
      <c r="AT59" s="153">
        <f t="shared" si="6"/>
        <v>2666.3803114263451</v>
      </c>
      <c r="AV59" s="153">
        <f t="shared" si="7"/>
        <v>5788.3027320737619</v>
      </c>
      <c r="AW59" s="273"/>
      <c r="AX59" s="155">
        <f t="shared" si="8"/>
        <v>8454.6830435001066</v>
      </c>
      <c r="AZ59" s="384">
        <f>+IF(AZ58&gt;$I$13+$I$14,XX,AZ58+1)</f>
        <v>2040</v>
      </c>
      <c r="BA59" s="117"/>
      <c r="BB59" s="154">
        <f t="shared" si="16"/>
        <v>75.152496169933826</v>
      </c>
      <c r="BD59" s="154">
        <f t="shared" si="17"/>
        <v>11.426425715055698</v>
      </c>
      <c r="BF59" s="153">
        <f t="shared" si="9"/>
        <v>1958.3785991830305</v>
      </c>
      <c r="BH59" s="157"/>
    </row>
    <row r="60" spans="2:60" ht="12">
      <c r="B60" s="2"/>
      <c r="C60" s="354">
        <f>+IF(C59&gt;$I$13+$I$14,XX,C59+1)</f>
        <v>2041</v>
      </c>
      <c r="E60" s="356">
        <f>'(2.2)_Forward_Price_Curve'!S54</f>
        <v>2.1999999999999999E-2</v>
      </c>
      <c r="G60" s="470">
        <v>105139.09411764707</v>
      </c>
      <c r="I60" s="360">
        <v>121.35490357409958</v>
      </c>
      <c r="K60" s="471">
        <v>38.486125449177486</v>
      </c>
      <c r="M60" s="28">
        <f t="shared" si="11"/>
        <v>0</v>
      </c>
      <c r="O60" s="471">
        <v>1</v>
      </c>
      <c r="Q60" s="471">
        <v>0</v>
      </c>
      <c r="S60" s="18">
        <f t="shared" si="0"/>
        <v>7610.150211804129</v>
      </c>
      <c r="U60" s="18">
        <f t="shared" si="1"/>
        <v>8646.0969697964138</v>
      </c>
      <c r="W60" s="18">
        <f t="shared" si="2"/>
        <v>-1035.9467579922848</v>
      </c>
      <c r="Y60" s="271">
        <f t="shared" si="3"/>
        <v>-9.853107130950697</v>
      </c>
      <c r="Z60" s="235"/>
      <c r="AB60" s="378">
        <f>+IF(AB59&gt;$I$13+$I$14,XX,AB59+1)</f>
        <v>2041</v>
      </c>
      <c r="AC60" s="117"/>
      <c r="AD60" s="151">
        <f t="shared" si="4"/>
        <v>105139.09411764707</v>
      </c>
      <c r="AF60" s="154">
        <f t="shared" si="20"/>
        <v>161.31646421001244</v>
      </c>
      <c r="AH60" s="154">
        <f t="shared" si="21"/>
        <v>32.312388637154143</v>
      </c>
      <c r="AJ60" s="154">
        <f t="shared" si="22"/>
        <v>3.2975444858303442</v>
      </c>
      <c r="AL60" s="153">
        <f t="shared" si="15"/>
        <v>4726.503606642782</v>
      </c>
      <c r="AN60" s="154">
        <f>INDEX('(2.2)_Forward_Price_Curve'!$K:$K,MATCH($AB60,'(2.2)_Forward_Price_Curve'!$C:$C,0),1)</f>
        <v>7.2385291666666687</v>
      </c>
      <c r="AP60" s="154">
        <f t="shared" si="5"/>
        <v>52.59530732748366</v>
      </c>
      <c r="AR60" s="154">
        <f t="shared" si="19"/>
        <v>3.7211022935962879</v>
      </c>
      <c r="AS60" s="154"/>
      <c r="AT60" s="153">
        <f t="shared" si="6"/>
        <v>2725.0406782777245</v>
      </c>
      <c r="AV60" s="153">
        <f t="shared" si="7"/>
        <v>5921.0562915186892</v>
      </c>
      <c r="AW60" s="273"/>
      <c r="AX60" s="155">
        <f t="shared" si="8"/>
        <v>8646.0969697964138</v>
      </c>
      <c r="AZ60" s="384">
        <f>+IF(AZ59&gt;$I$13+$I$14,XX,AZ59+1)</f>
        <v>2041</v>
      </c>
      <c r="BA60" s="117"/>
      <c r="BB60" s="154">
        <f t="shared" si="16"/>
        <v>76.805851085672373</v>
      </c>
      <c r="BD60" s="154">
        <f t="shared" si="17"/>
        <v>11.677807080786923</v>
      </c>
      <c r="BF60" s="153">
        <f t="shared" si="9"/>
        <v>2001.4629283650572</v>
      </c>
      <c r="BH60" s="157"/>
    </row>
    <row r="61" spans="2:60" ht="12">
      <c r="B61" s="2"/>
      <c r="C61" s="354">
        <f>+IF(C60&gt;$I$13+$I$14,XX,C60+1)</f>
        <v>2042</v>
      </c>
      <c r="E61" s="356">
        <f>'(2.2)_Forward_Price_Curve'!S55</f>
        <v>2.1999999999999999E-2</v>
      </c>
      <c r="G61" s="470">
        <v>105139.09411764707</v>
      </c>
      <c r="I61" s="360">
        <v>123.66064674200747</v>
      </c>
      <c r="K61" s="471">
        <v>39.371306334508574</v>
      </c>
      <c r="M61" s="28">
        <f t="shared" si="11"/>
        <v>0</v>
      </c>
      <c r="O61" s="471">
        <v>1.0199999999999998</v>
      </c>
      <c r="Q61" s="471">
        <v>0</v>
      </c>
      <c r="S61" s="18">
        <f t="shared" si="0"/>
        <v>7771.0337903858235</v>
      </c>
      <c r="U61" s="18">
        <f t="shared" si="1"/>
        <v>8841.8292091249477</v>
      </c>
      <c r="W61" s="18">
        <f t="shared" si="2"/>
        <v>-1070.7954187391242</v>
      </c>
      <c r="Y61" s="271">
        <f t="shared" si="3"/>
        <v>-10.184560060418065</v>
      </c>
      <c r="Z61" s="235"/>
      <c r="AB61" s="378">
        <f>+IF(AB60&gt;$I$13+$I$14,XX,AB60+1)</f>
        <v>2042</v>
      </c>
      <c r="AC61" s="117"/>
      <c r="AD61" s="151">
        <f t="shared" si="4"/>
        <v>105139.09411764707</v>
      </c>
      <c r="AF61" s="154">
        <f t="shared" si="20"/>
        <v>164.86542642263271</v>
      </c>
      <c r="AH61" s="154">
        <f t="shared" si="21"/>
        <v>33.023261187171535</v>
      </c>
      <c r="AJ61" s="154">
        <f t="shared" si="22"/>
        <v>3.3700904645186118</v>
      </c>
      <c r="AL61" s="153">
        <f t="shared" si="15"/>
        <v>4830.4866859889235</v>
      </c>
      <c r="AN61" s="154">
        <f>INDEX('(2.2)_Forward_Price_Curve'!$K:$K,MATCH($AB61,'(2.2)_Forward_Price_Curve'!$C:$C,0),1)</f>
        <v>7.4050000000000002</v>
      </c>
      <c r="AP61" s="154">
        <f t="shared" si="5"/>
        <v>53.804887953413605</v>
      </c>
      <c r="AR61" s="154">
        <f t="shared" si="19"/>
        <v>3.8029665440554061</v>
      </c>
      <c r="AS61" s="154"/>
      <c r="AT61" s="153">
        <f t="shared" si="6"/>
        <v>2784.9915731998349</v>
      </c>
      <c r="AV61" s="153">
        <f t="shared" si="7"/>
        <v>6056.8376359251124</v>
      </c>
      <c r="AW61" s="273"/>
      <c r="AX61" s="155">
        <f t="shared" si="8"/>
        <v>8841.8292091249477</v>
      </c>
      <c r="AZ61" s="384">
        <f>+IF(AZ60&gt;$I$13+$I$14,XX,AZ60+1)</f>
        <v>2042</v>
      </c>
      <c r="BA61" s="117"/>
      <c r="BB61" s="154">
        <f t="shared" si="16"/>
        <v>78.495579809557171</v>
      </c>
      <c r="BD61" s="154">
        <f t="shared" si="17"/>
        <v>11.934718836564237</v>
      </c>
      <c r="BF61" s="153">
        <f t="shared" si="9"/>
        <v>2045.4951127890886</v>
      </c>
      <c r="BH61" s="157"/>
    </row>
    <row r="62" spans="2:60" ht="12">
      <c r="B62" s="2"/>
      <c r="C62" s="354">
        <f>+IF(C61&gt;$I$13+$I$14,XX,C61+1)</f>
        <v>2043</v>
      </c>
      <c r="E62" s="356">
        <f>'(2.2)_Forward_Price_Curve'!S56</f>
        <v>2.1999999999999999E-2</v>
      </c>
      <c r="G62" s="470">
        <v>105139.09411764707</v>
      </c>
      <c r="I62" s="360">
        <v>126.0101990301056</v>
      </c>
      <c r="K62" s="471">
        <v>40.276846380202265</v>
      </c>
      <c r="M62" s="28">
        <f t="shared" si="11"/>
        <v>0</v>
      </c>
      <c r="O62" s="471">
        <v>1.05</v>
      </c>
      <c r="Q62" s="471">
        <v>0</v>
      </c>
      <c r="S62" s="18">
        <f t="shared" si="0"/>
        <v>7936.3578635116364</v>
      </c>
      <c r="U62" s="18">
        <f t="shared" si="1"/>
        <v>9036.349451725695</v>
      </c>
      <c r="W62" s="18">
        <f t="shared" si="2"/>
        <v>-1099.9915882140585</v>
      </c>
      <c r="Y62" s="271">
        <f t="shared" si="3"/>
        <v>-10.462250958555961</v>
      </c>
      <c r="Z62" s="235"/>
      <c r="AB62" s="378">
        <f>+IF(AB61&gt;$I$13+$I$14,XX,AB61+1)</f>
        <v>2043</v>
      </c>
      <c r="AC62" s="117"/>
      <c r="AD62" s="151">
        <f t="shared" si="4"/>
        <v>105139.09411764707</v>
      </c>
      <c r="AF62" s="154">
        <f t="shared" si="20"/>
        <v>168.49246580393063</v>
      </c>
      <c r="AH62" s="154">
        <f t="shared" si="21"/>
        <v>33.749772933289307</v>
      </c>
      <c r="AJ62" s="154">
        <f t="shared" si="22"/>
        <v>3.4442324547380214</v>
      </c>
      <c r="AL62" s="153">
        <f t="shared" si="15"/>
        <v>4936.7573930806793</v>
      </c>
      <c r="AN62" s="154">
        <f>INDEX('(2.2)_Forward_Price_Curve'!$K:$K,MATCH($AB62,'(2.2)_Forward_Price_Curve'!$C:$C,0),1)</f>
        <v>7.5679100000000004</v>
      </c>
      <c r="AP62" s="154">
        <f t="shared" si="5"/>
        <v>54.988595488388711</v>
      </c>
      <c r="AR62" s="154">
        <f t="shared" si="19"/>
        <v>3.8866318080246249</v>
      </c>
      <c r="AS62" s="154"/>
      <c r="AT62" s="153">
        <f t="shared" si="6"/>
        <v>2846.2613878102306</v>
      </c>
      <c r="AV62" s="153">
        <f t="shared" si="7"/>
        <v>6190.0880639154648</v>
      </c>
      <c r="AW62" s="273"/>
      <c r="AX62" s="155">
        <f t="shared" si="8"/>
        <v>9036.349451725695</v>
      </c>
      <c r="AZ62" s="384">
        <f>+IF(AZ61&gt;$I$13+$I$14,XX,AZ61+1)</f>
        <v>2043</v>
      </c>
      <c r="BA62" s="117"/>
      <c r="BB62" s="154">
        <f t="shared" si="16"/>
        <v>80.222482565367429</v>
      </c>
      <c r="BD62" s="154">
        <f t="shared" si="17"/>
        <v>12.197282650968651</v>
      </c>
      <c r="BF62" s="153">
        <f t="shared" si="9"/>
        <v>2090.4960052704487</v>
      </c>
      <c r="BH62" s="157"/>
    </row>
    <row r="63" spans="2:60" ht="12">
      <c r="B63" s="2"/>
      <c r="C63" s="354">
        <f>+IF(C62&gt;$I$13+$I$14,XX,C62+1)</f>
        <v>2044</v>
      </c>
      <c r="E63" s="356">
        <f>'(2.2)_Forward_Price_Curve'!S57</f>
        <v>2.3E-2</v>
      </c>
      <c r="G63" s="470">
        <v>105139.09411764707</v>
      </c>
      <c r="I63" s="360">
        <v>128.40439281167761</v>
      </c>
      <c r="K63" s="471">
        <v>41.316099364335813</v>
      </c>
      <c r="M63" s="28">
        <f t="shared" si="11"/>
        <v>0</v>
      </c>
      <c r="O63" s="471">
        <v>1.0700000000000003</v>
      </c>
      <c r="Q63" s="471">
        <v>0</v>
      </c>
      <c r="S63" s="18">
        <f t="shared" si="0"/>
        <v>8115.9612854796551</v>
      </c>
      <c r="U63" s="18">
        <f t="shared" si="1"/>
        <v>9238.4040379989365</v>
      </c>
      <c r="W63" s="18">
        <f t="shared" si="2"/>
        <v>-1122.4427525192814</v>
      </c>
      <c r="Y63" s="271">
        <f t="shared" si="3"/>
        <v>-10.675788696289375</v>
      </c>
      <c r="Z63" s="235"/>
      <c r="AB63" s="378">
        <f>+IF(AB62&gt;$I$13+$I$14,XX,AB62+1)</f>
        <v>2044</v>
      </c>
      <c r="AC63" s="117"/>
      <c r="AD63" s="151">
        <f t="shared" si="4"/>
        <v>105139.09411764707</v>
      </c>
      <c r="AF63" s="154">
        <f t="shared" si="20"/>
        <v>172.36779251742101</v>
      </c>
      <c r="AH63" s="154">
        <f t="shared" si="21"/>
        <v>34.526017710754957</v>
      </c>
      <c r="AJ63" s="154">
        <f t="shared" si="22"/>
        <v>3.5234498011969957</v>
      </c>
      <c r="AL63" s="153">
        <f t="shared" si="15"/>
        <v>5050.3028131215351</v>
      </c>
      <c r="AN63" s="154">
        <f>INDEX('(2.2)_Forward_Price_Curve'!$K:$K,MATCH($AB63,'(2.2)_Forward_Price_Curve'!$C:$C,0),1)</f>
        <v>7.7344040200000004</v>
      </c>
      <c r="AP63" s="154">
        <f t="shared" si="5"/>
        <v>56.198344589133256</v>
      </c>
      <c r="AR63" s="154">
        <f t="shared" si="19"/>
        <v>3.9760243396091908</v>
      </c>
      <c r="AS63" s="154"/>
      <c r="AT63" s="153">
        <f t="shared" si="6"/>
        <v>2911.7253997298662</v>
      </c>
      <c r="AV63" s="153">
        <f t="shared" si="7"/>
        <v>6326.6786382690698</v>
      </c>
      <c r="AW63" s="273"/>
      <c r="AX63" s="155">
        <f t="shared" si="8"/>
        <v>9238.4040379989365</v>
      </c>
      <c r="AZ63" s="384">
        <f>+IF(AZ62&gt;$I$13+$I$14,XX,AZ62+1)</f>
        <v>2044</v>
      </c>
      <c r="BA63" s="117"/>
      <c r="BB63" s="154">
        <f t="shared" si="16"/>
        <v>82.067599664370874</v>
      </c>
      <c r="BD63" s="154">
        <f t="shared" si="17"/>
        <v>12.477820151940929</v>
      </c>
      <c r="BF63" s="153">
        <f t="shared" si="9"/>
        <v>2138.5774133916689</v>
      </c>
      <c r="BH63" s="157"/>
    </row>
    <row r="64" spans="2:60" ht="12">
      <c r="B64" s="2"/>
      <c r="C64" s="354">
        <f>+IF(C63&gt;$I$13+$I$14,XX,C63+1)</f>
        <v>2045</v>
      </c>
      <c r="E64" s="356">
        <f>'(2.2)_Forward_Price_Curve'!S58</f>
        <v>2.3E-2</v>
      </c>
      <c r="G64" s="470">
        <v>105139.09411764707</v>
      </c>
      <c r="I64" s="360">
        <v>130.8440762750995</v>
      </c>
      <c r="K64" s="471">
        <v>42.150887765426695</v>
      </c>
      <c r="M64" s="28">
        <f t="shared" si="11"/>
        <v>0</v>
      </c>
      <c r="O64" s="471">
        <v>1.1000000000000001</v>
      </c>
      <c r="Q64" s="471">
        <v>0</v>
      </c>
      <c r="S64" s="18">
        <f t="shared" si="0"/>
        <v>8276.4153332813239</v>
      </c>
      <c r="U64" s="18">
        <f t="shared" si="1"/>
        <v>9444.9786878318992</v>
      </c>
      <c r="W64" s="18">
        <f t="shared" si="2"/>
        <v>-1168.5633545505752</v>
      </c>
      <c r="Y64" s="271">
        <f t="shared" si="3"/>
        <v>-11.114451426060343</v>
      </c>
      <c r="Z64" s="235"/>
      <c r="AB64" s="378">
        <f>+IF(AB63&gt;$I$13+$I$14,XX,AB63+1)</f>
        <v>2045</v>
      </c>
      <c r="AC64" s="117"/>
      <c r="AD64" s="151">
        <f t="shared" si="4"/>
        <v>105139.09411764707</v>
      </c>
      <c r="AF64" s="154">
        <f t="shared" si="20"/>
        <v>176.33225174532168</v>
      </c>
      <c r="AH64" s="154">
        <f t="shared" si="21"/>
        <v>35.32011611810232</v>
      </c>
      <c r="AJ64" s="154">
        <f t="shared" si="22"/>
        <v>3.6044891466245264</v>
      </c>
      <c r="AL64" s="153">
        <f t="shared" si="15"/>
        <v>5166.4597778233301</v>
      </c>
      <c r="AN64" s="154">
        <f>INDEX('(2.2)_Forward_Price_Curve'!$K:$K,MATCH($AB64,'(2.2)_Forward_Price_Curve'!$C:$C,0),1)</f>
        <v>7.9045609084400006</v>
      </c>
      <c r="AP64" s="154">
        <f t="shared" si="5"/>
        <v>57.43470817009419</v>
      </c>
      <c r="AR64" s="154">
        <f t="shared" si="19"/>
        <v>4.0674728994202018</v>
      </c>
      <c r="AS64" s="154"/>
      <c r="AT64" s="153">
        <f t="shared" si="6"/>
        <v>2978.6950839236529</v>
      </c>
      <c r="AV64" s="153">
        <f t="shared" si="7"/>
        <v>6466.2836039082458</v>
      </c>
      <c r="AW64" s="273"/>
      <c r="AX64" s="155">
        <f t="shared" si="8"/>
        <v>9444.9786878318992</v>
      </c>
      <c r="AZ64" s="384">
        <f>+IF(AZ63&gt;$I$13+$I$14,XX,AZ63+1)</f>
        <v>2045</v>
      </c>
      <c r="BA64" s="117"/>
      <c r="BB64" s="154">
        <f t="shared" si="16"/>
        <v>83.9551544566514</v>
      </c>
      <c r="BD64" s="154">
        <f t="shared" si="17"/>
        <v>12.764810015435568</v>
      </c>
      <c r="BF64" s="153">
        <f t="shared" si="9"/>
        <v>2187.7646938996772</v>
      </c>
      <c r="BH64" s="157"/>
    </row>
    <row r="65" spans="2:60" ht="12">
      <c r="B65" s="2"/>
      <c r="C65" s="354">
        <f>+IF(C64&gt;$I$13+$I$14,XX,C64+1)</f>
        <v>2046</v>
      </c>
      <c r="E65" s="356">
        <f>'(2.2)_Forward_Price_Curve'!S59</f>
        <v>2.3E-2</v>
      </c>
      <c r="G65" s="470">
        <v>105139.09411764707</v>
      </c>
      <c r="I65" s="360">
        <v>133.33011372432634</v>
      </c>
      <c r="K65" s="471">
        <v>43.120358184031495</v>
      </c>
      <c r="M65" s="28">
        <f t="shared" si="11"/>
        <v>0</v>
      </c>
      <c r="O65" s="471">
        <v>1.1200000000000001</v>
      </c>
      <c r="Q65" s="471">
        <v>0</v>
      </c>
      <c r="S65" s="18">
        <f t="shared" si="0"/>
        <v>8451.2994240526059</v>
      </c>
      <c r="U65" s="18">
        <f t="shared" si="1"/>
        <v>9656.174564464116</v>
      </c>
      <c r="W65" s="18">
        <f t="shared" si="2"/>
        <v>-1204.8751404115101</v>
      </c>
      <c r="Y65" s="271">
        <f t="shared" si="3"/>
        <v>-11.459820445697353</v>
      </c>
      <c r="Z65" s="235"/>
      <c r="AB65" s="378">
        <f>+IF(AB64&gt;$I$13+$I$14,XX,AB64+1)</f>
        <v>2046</v>
      </c>
      <c r="AC65" s="117"/>
      <c r="AD65" s="151">
        <f t="shared" si="4"/>
        <v>105139.09411764707</v>
      </c>
      <c r="AF65" s="154">
        <f t="shared" si="20"/>
        <v>180.38789353546406</v>
      </c>
      <c r="AH65" s="154">
        <f t="shared" si="21"/>
        <v>36.132478788818666</v>
      </c>
      <c r="AJ65" s="154">
        <f t="shared" si="22"/>
        <v>3.68739239699689</v>
      </c>
      <c r="AL65" s="153">
        <f t="shared" si="15"/>
        <v>5285.2883527132653</v>
      </c>
      <c r="AN65" s="154">
        <f>INDEX('(2.2)_Forward_Price_Curve'!$K:$K,MATCH($AB65,'(2.2)_Forward_Price_Curve'!$C:$C,0),1)</f>
        <v>8.0784612484256808</v>
      </c>
      <c r="AP65" s="154">
        <f t="shared" si="5"/>
        <v>58.698271749836266</v>
      </c>
      <c r="AR65" s="154">
        <f t="shared" si="19"/>
        <v>4.1610247761068662</v>
      </c>
      <c r="AS65" s="154"/>
      <c r="AT65" s="153">
        <f t="shared" si="6"/>
        <v>3047.2050708538959</v>
      </c>
      <c r="AV65" s="153">
        <f t="shared" si="7"/>
        <v>6608.9694936102196</v>
      </c>
      <c r="AW65" s="273"/>
      <c r="AX65" s="155">
        <f t="shared" si="8"/>
        <v>9656.174564464116</v>
      </c>
      <c r="AZ65" s="384">
        <f>+IF(AZ64&gt;$I$13+$I$14,XX,AZ64+1)</f>
        <v>2046</v>
      </c>
      <c r="BA65" s="117"/>
      <c r="BB65" s="154">
        <f t="shared" si="16"/>
        <v>85.886123009154375</v>
      </c>
      <c r="BD65" s="154">
        <f t="shared" si="17"/>
        <v>13.058400645790584</v>
      </c>
      <c r="BF65" s="153">
        <f t="shared" si="9"/>
        <v>2238.0832818593694</v>
      </c>
      <c r="BH65" s="157"/>
    </row>
    <row r="66" spans="2:60" ht="12">
      <c r="B66" s="2"/>
      <c r="C66" s="354">
        <f>+IF(C65&gt;$I$13+$I$14,XX,C65+1)</f>
        <v>2047</v>
      </c>
      <c r="E66" s="356">
        <f>'(2.2)_Forward_Price_Curve'!S60</f>
        <v>2.3E-2</v>
      </c>
      <c r="G66" s="470">
        <v>105139.09411764707</v>
      </c>
      <c r="I66" s="360">
        <v>135.86338588508852</v>
      </c>
      <c r="K66" s="471">
        <v>44.112126422264218</v>
      </c>
      <c r="M66" s="28">
        <f t="shared" si="11"/>
        <v>0</v>
      </c>
      <c r="O66" s="471">
        <v>1.1499999999999997</v>
      </c>
      <c r="Q66" s="471">
        <v>0</v>
      </c>
      <c r="S66" s="18">
        <f t="shared" si="0"/>
        <v>8630.9254676003002</v>
      </c>
      <c r="U66" s="18">
        <f t="shared" si="1"/>
        <v>9872.0950963287414</v>
      </c>
      <c r="W66" s="18">
        <f t="shared" si="2"/>
        <v>-1241.1696287284412</v>
      </c>
      <c r="Y66" s="271">
        <f t="shared" si="3"/>
        <v>-11.80502494476141</v>
      </c>
      <c r="Z66" s="235"/>
      <c r="AB66" s="378">
        <f>+IF(AB65&gt;$I$13+$I$14,XX,AB65+1)</f>
        <v>2047</v>
      </c>
      <c r="AC66" s="117"/>
      <c r="AD66" s="151">
        <f t="shared" si="4"/>
        <v>105139.09411764707</v>
      </c>
      <c r="AF66" s="154">
        <f t="shared" si="20"/>
        <v>184.53681508677971</v>
      </c>
      <c r="AH66" s="154">
        <f t="shared" si="21"/>
        <v>36.963525800961492</v>
      </c>
      <c r="AJ66" s="154">
        <f t="shared" si="22"/>
        <v>3.7722024221278181</v>
      </c>
      <c r="AL66" s="153">
        <f t="shared" si="15"/>
        <v>5406.8499848256706</v>
      </c>
      <c r="AN66" s="154">
        <f>INDEX('(2.2)_Forward_Price_Curve'!$K:$K,MATCH($AB66,'(2.2)_Forward_Price_Curve'!$C:$C,0),1)</f>
        <v>8.2561873958910468</v>
      </c>
      <c r="AP66" s="154">
        <f t="shared" si="5"/>
        <v>59.98963372833267</v>
      </c>
      <c r="AR66" s="154">
        <f t="shared" si="19"/>
        <v>4.256728345957324</v>
      </c>
      <c r="AS66" s="154"/>
      <c r="AT66" s="153">
        <f t="shared" si="6"/>
        <v>3117.290787483536</v>
      </c>
      <c r="AV66" s="153">
        <f t="shared" si="7"/>
        <v>6754.8043088452059</v>
      </c>
      <c r="AW66" s="273"/>
      <c r="AX66" s="155">
        <f t="shared" si="8"/>
        <v>9872.0950963287414</v>
      </c>
      <c r="AZ66" s="384">
        <f>+IF(AZ65&gt;$I$13+$I$14,XX,AZ65+1)</f>
        <v>2047</v>
      </c>
      <c r="BA66" s="117"/>
      <c r="BB66" s="154">
        <f t="shared" si="16"/>
        <v>87.861503838364911</v>
      </c>
      <c r="BD66" s="154">
        <f t="shared" si="17"/>
        <v>13.358743860643767</v>
      </c>
      <c r="BF66" s="153">
        <f t="shared" si="9"/>
        <v>2289.5591973421347</v>
      </c>
      <c r="BH66" s="157"/>
    </row>
    <row r="67" spans="2:60" ht="12">
      <c r="B67" s="2"/>
      <c r="C67" s="354">
        <f>+IF(C66&gt;$I$13+$I$14,XX,C66+1)</f>
        <v>2048</v>
      </c>
      <c r="E67" s="356">
        <f>'(2.2)_Forward_Price_Curve'!S61</f>
        <v>2.1999999999999999E-2</v>
      </c>
      <c r="G67" s="470">
        <v>105139.09411764707</v>
      </c>
      <c r="I67" s="360">
        <v>138.44479021690523</v>
      </c>
      <c r="K67" s="471">
        <v>45.250340139099521</v>
      </c>
      <c r="M67" s="28">
        <f t="shared" si="11"/>
        <v>0</v>
      </c>
      <c r="O67" s="471">
        <v>1.17</v>
      </c>
      <c r="Q67" s="471">
        <v>0</v>
      </c>
      <c r="S67" s="18">
        <f t="shared" si="0"/>
        <v>8826.2690320397724</v>
      </c>
      <c r="U67" s="18">
        <f t="shared" si="1"/>
        <v>10089.281188447974</v>
      </c>
      <c r="W67" s="18">
        <f t="shared" si="2"/>
        <v>-1263.0121564082019</v>
      </c>
      <c r="Y67" s="271">
        <f t="shared" si="3"/>
        <v>-12.012773811755828</v>
      </c>
      <c r="Z67" s="235"/>
      <c r="AB67" s="378">
        <f>+IF(AB66&gt;$I$13+$I$14,XX,AB66+1)</f>
        <v>2048</v>
      </c>
      <c r="AC67" s="117"/>
      <c r="AD67" s="151">
        <f t="shared" si="4"/>
        <v>105139.09411764707</v>
      </c>
      <c r="AF67" s="154">
        <f t="shared" si="20"/>
        <v>188.59662501868885</v>
      </c>
      <c r="AH67" s="154">
        <f t="shared" si="21"/>
        <v>37.776723368582644</v>
      </c>
      <c r="AJ67" s="154">
        <f t="shared" si="22"/>
        <v>3.85519087541463</v>
      </c>
      <c r="AL67" s="153">
        <f>((AF67+AH67)*$AF$11*1000+AJ67*AD67)/1000</f>
        <v>5525.8006844918355</v>
      </c>
      <c r="AN67" s="154">
        <f>INDEX('(2.2)_Forward_Price_Curve'!$K:$K,MATCH($AB67,'(2.2)_Forward_Price_Curve'!$C:$C,0),1)</f>
        <v>8.4378235186006503</v>
      </c>
      <c r="AP67" s="154">
        <f t="shared" si="5"/>
        <v>61.309405670356</v>
      </c>
      <c r="AR67" s="154">
        <f t="shared" si="19"/>
        <v>4.3503763695683855</v>
      </c>
      <c r="AS67" s="154"/>
      <c r="AT67" s="153">
        <f t="shared" si="6"/>
        <v>3185.8711848081739</v>
      </c>
      <c r="AV67" s="153">
        <f t="shared" si="7"/>
        <v>6903.4100036398013</v>
      </c>
      <c r="AW67" s="273"/>
      <c r="AX67" s="155">
        <f t="shared" si="8"/>
        <v>10089.281188447974</v>
      </c>
      <c r="AZ67" s="384">
        <f>+IF(AZ66&gt;$I$13+$I$14,XX,AZ66+1)</f>
        <v>2048</v>
      </c>
      <c r="BA67" s="117"/>
      <c r="BB67" s="154">
        <f t="shared" si="16"/>
        <v>89.794456922808934</v>
      </c>
      <c r="BD67" s="154">
        <f t="shared" si="17"/>
        <v>13.652636225577929</v>
      </c>
      <c r="BF67" s="153">
        <f t="shared" si="9"/>
        <v>2339.9294996836616</v>
      </c>
      <c r="BH67" s="157"/>
    </row>
    <row r="68" spans="2:60" ht="12">
      <c r="B68" s="2"/>
      <c r="C68" s="354">
        <f>+IF(C67&gt;$I$13+$I$14,XX,C67+1)</f>
        <v>2049</v>
      </c>
      <c r="E68" s="356">
        <f>'(2.2)_Forward_Price_Curve'!S62</f>
        <v>2.1999999999999999E-2</v>
      </c>
      <c r="G68" s="470">
        <v>87376.524027643827</v>
      </c>
      <c r="I68" s="360">
        <v>117.56270102585535</v>
      </c>
      <c r="K68" s="471">
        <v>38.470516293804785</v>
      </c>
      <c r="M68" s="28">
        <f t="shared" si="11"/>
        <v>0</v>
      </c>
      <c r="O68" s="471">
        <v>1.2000000000000002</v>
      </c>
      <c r="Q68" s="471">
        <v>0</v>
      </c>
      <c r="S68" s="18">
        <f t="shared" si="0"/>
        <v>6816.808799371548</v>
      </c>
      <c r="U68" s="18">
        <f t="shared" si="1"/>
        <v>7462.0411581234748</v>
      </c>
      <c r="W68" s="18">
        <f t="shared" si="2"/>
        <v>-645.23235875192677</v>
      </c>
      <c r="Y68" s="271">
        <f t="shared" si="3"/>
        <v>-7.3845047732476843</v>
      </c>
      <c r="Z68" s="235"/>
      <c r="AB68" s="378">
        <f>+IF(AB67&gt;$I$13+$I$14,XX,AB67+1)</f>
        <v>2049</v>
      </c>
      <c r="AC68" s="117"/>
      <c r="AD68" s="151">
        <f t="shared" si="4"/>
        <v>87376.524027643827</v>
      </c>
      <c r="AF68" s="154">
        <f t="shared" si="20"/>
        <v>192.7457507691</v>
      </c>
      <c r="AH68" s="154">
        <f t="shared" si="21"/>
        <v>38.607811282691465</v>
      </c>
      <c r="AJ68" s="154">
        <f t="shared" si="22"/>
        <v>3.9400050746737518</v>
      </c>
      <c r="AL68" s="153">
        <f>((AF68+AH68)*$AR$11*1000+AJ68*AD68)/1000</f>
        <v>3990.1088662315187</v>
      </c>
      <c r="AN68" s="154">
        <f>INDEX('(2.2)_Forward_Price_Curve'!$K:$K,MATCH($AB68,'(2.2)_Forward_Price_Curve'!$C:$C,0),1)</f>
        <v>8.6234556360098651</v>
      </c>
      <c r="AP68" s="154">
        <f t="shared" si="5"/>
        <v>62.658212595103834</v>
      </c>
      <c r="AR68" s="154">
        <f t="shared" si="19"/>
        <v>4.4460846496988902</v>
      </c>
      <c r="AS68" s="154"/>
      <c r="AT68" s="153">
        <f t="shared" si="6"/>
        <v>1598.7009175548169</v>
      </c>
      <c r="AV68" s="153">
        <f t="shared" si="7"/>
        <v>5863.3402405686584</v>
      </c>
      <c r="AW68" s="273"/>
      <c r="AX68" s="155">
        <f t="shared" si="8"/>
        <v>7462.0411581234748</v>
      </c>
      <c r="AZ68" s="384">
        <f>+IF(AZ67&gt;$I$13+$I$14,XX,AZ67+1)</f>
        <v>2049</v>
      </c>
      <c r="BA68" s="117"/>
      <c r="BB68" s="154">
        <f t="shared" si="16"/>
        <v>91.769934975110729</v>
      </c>
      <c r="BD68" s="154">
        <f t="shared" si="17"/>
        <v>13.952994222540644</v>
      </c>
      <c r="BF68" s="153">
        <f t="shared" si="9"/>
        <v>2391.4079486767018</v>
      </c>
      <c r="BH68" s="157"/>
    </row>
    <row r="69" spans="2:60">
      <c r="B69" s="2"/>
      <c r="E69" s="169"/>
      <c r="G69" s="267"/>
      <c r="H69" s="267"/>
      <c r="I69" s="267"/>
      <c r="K69" s="267"/>
      <c r="M69" s="267"/>
      <c r="O69" s="267"/>
      <c r="Q69" s="267"/>
      <c r="S69" s="267"/>
      <c r="U69" s="267"/>
      <c r="W69" s="267"/>
      <c r="Y69" s="267"/>
      <c r="Z69" s="235"/>
      <c r="AB69" s="2"/>
      <c r="AF69" s="274"/>
      <c r="AH69" s="274"/>
      <c r="AJ69" s="274"/>
      <c r="AL69" s="273"/>
      <c r="AN69" s="274"/>
      <c r="AP69" s="274"/>
      <c r="AR69" s="274"/>
      <c r="AS69" s="274"/>
      <c r="AT69" s="274"/>
      <c r="AV69" s="273"/>
      <c r="AW69" s="273"/>
      <c r="AX69" s="275"/>
      <c r="AZ69" s="2"/>
      <c r="BB69" s="274"/>
      <c r="BF69" s="273"/>
      <c r="BH69" s="235"/>
    </row>
    <row r="70" spans="2:60" ht="12">
      <c r="B70" s="2"/>
      <c r="C70" s="4" t="s">
        <v>342</v>
      </c>
      <c r="E70" s="169"/>
      <c r="G70" s="466">
        <f>+-PMT($I$18,41,NPV($I$18,G28:G68))</f>
        <v>95641.123762694464</v>
      </c>
      <c r="I70" s="466">
        <f>+-PMT($I$18,41,NPV($I$18,I28:I68))</f>
        <v>207.85765888197153</v>
      </c>
      <c r="J70" s="28"/>
      <c r="K70" s="466">
        <f>+-PMT($I$18,41,NPV($I$18,K28:K68))</f>
        <v>18.401078629716146</v>
      </c>
      <c r="M70" s="28">
        <f>+-PMT($G$18,$G$14,NPV($G$18,M28:M51))</f>
        <v>0</v>
      </c>
      <c r="O70" s="466">
        <f>+-PMT($I$18,41,NPV($I$18,O28:O68))</f>
        <v>3.4222699312433287</v>
      </c>
      <c r="Q70" s="466">
        <f>+-PMT($I$18,41,NPV($I$18,Q28:Q68))</f>
        <v>-28.450025798203445</v>
      </c>
      <c r="S70" s="466">
        <f>+-PMT($I$18,41,NPV($I$18,S28:S68))</f>
        <v>5432.0693520449195</v>
      </c>
      <c r="U70" s="466">
        <f>+-PMT($I$18,41,NPV($I$18,U28:U68))</f>
        <v>6037.0661372824388</v>
      </c>
      <c r="W70" s="285">
        <f>+-PMT($I$18,41,NPV($I$18,W28:W68))</f>
        <v>-604.99678523752084</v>
      </c>
      <c r="Y70" s="466">
        <f>+-PMT($I$18,41,NPV($I$18,Y28:Y68))</f>
        <v>-8.5890776126560624</v>
      </c>
      <c r="Z70" s="235"/>
      <c r="AB70" s="2"/>
      <c r="AD70" s="466">
        <f>+-PMT($I$18,41,NPV($I$18,AD28:AD68))</f>
        <v>95641.123762694464</v>
      </c>
      <c r="AF70" s="466">
        <f>+-PMT($I$18,41,NPV($I$18,AF28:AF68))</f>
        <v>94.182078616446063</v>
      </c>
      <c r="AH70" s="466">
        <f>+-PMT($I$18,41,NPV($I$18,AH28:AH68))</f>
        <v>16.973878524490814</v>
      </c>
      <c r="AJ70" s="466">
        <f>+-PMT($I$18,41,NPV($I$18,AJ28:AJ68))</f>
        <v>2.5370140171159856</v>
      </c>
      <c r="AL70" s="467">
        <f>+-PMT($I$18,41,NPV($I$18,AL28:AL68))</f>
        <v>2749.0751116685083</v>
      </c>
      <c r="AN70" s="466">
        <f>+-PMT($I$18,41,NPV($I$18,AN28:AN68))</f>
        <v>6.3870502564255052</v>
      </c>
      <c r="AP70" s="466">
        <f>+-PMT($I$18,41,NPV($I$18,AP28:AP68))</f>
        <v>46.408443403078429</v>
      </c>
      <c r="AR70" s="466">
        <f>+-PMT($I$18,41,NPV($I$18,AR28:AR68))</f>
        <v>2.7449700625634819</v>
      </c>
      <c r="AS70" s="154"/>
      <c r="AT70" s="467">
        <f>+-PMT($I$18,41,NPV($I$18,AT28:AT68))</f>
        <v>1416.3035334144329</v>
      </c>
      <c r="AV70" s="467">
        <f>+-PMT($I$18,41,NPV($I$18,AV28:AV68))</f>
        <v>4620.7626038680073</v>
      </c>
      <c r="AW70" s="273"/>
      <c r="AX70" s="467">
        <f>+-PMT($I$18,41,NPV($I$18,AX28:AX68))</f>
        <v>6037.0661372824388</v>
      </c>
      <c r="AY70" s="311"/>
      <c r="AZ70" s="2"/>
      <c r="BB70" s="466">
        <f>+-PMT($I$18,41,NPV($I$18,BB28:BB68))</f>
        <v>51.144917010388028</v>
      </c>
      <c r="BD70" s="466">
        <f>+-PMT($I$18,41,NPV($I$18,BD28:BD68))</f>
        <v>7.7762366482204612</v>
      </c>
      <c r="BF70" s="467">
        <f>+-PMT($I$18,41,NPV($I$18,BF28:BF68))</f>
        <v>1332.7715782540752</v>
      </c>
      <c r="BH70" s="157"/>
    </row>
    <row r="71" spans="2:60" ht="12">
      <c r="B71" s="2"/>
      <c r="E71" s="169"/>
      <c r="G71" s="466"/>
      <c r="I71" s="466"/>
      <c r="J71" s="28"/>
      <c r="K71" s="466"/>
      <c r="M71" s="28"/>
      <c r="O71" s="28"/>
      <c r="Q71" s="466"/>
      <c r="S71" s="18"/>
      <c r="U71" s="18"/>
      <c r="W71" s="18"/>
      <c r="Y71" s="271"/>
      <c r="Z71" s="235"/>
      <c r="AB71" s="2"/>
      <c r="AD71" s="151"/>
      <c r="AF71" s="154"/>
      <c r="AH71" s="154"/>
      <c r="AJ71" s="154"/>
      <c r="AL71" s="153"/>
      <c r="AN71" s="154"/>
      <c r="AP71" s="154"/>
      <c r="AR71" s="154"/>
      <c r="AS71" s="154"/>
      <c r="AT71" s="153"/>
      <c r="AV71" s="153"/>
      <c r="AW71" s="273"/>
      <c r="AX71" s="155"/>
      <c r="AZ71" s="2"/>
      <c r="BB71" s="154"/>
      <c r="BD71" s="154"/>
      <c r="BF71" s="153"/>
      <c r="BH71" s="157"/>
    </row>
    <row r="72" spans="2:60" ht="12">
      <c r="B72" s="2"/>
      <c r="E72" s="169"/>
      <c r="I72" s="466"/>
      <c r="W72" s="18"/>
      <c r="Y72" s="271"/>
      <c r="Z72" s="235"/>
      <c r="AB72" s="2"/>
      <c r="AX72" s="235"/>
      <c r="AZ72" s="2"/>
      <c r="BH72" s="235"/>
    </row>
    <row r="73" spans="2:60">
      <c r="B73" s="238"/>
      <c r="C73" s="277"/>
      <c r="D73" s="277"/>
      <c r="E73" s="278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39"/>
      <c r="AB73" s="238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39"/>
      <c r="AZ73" s="238"/>
      <c r="BA73" s="277"/>
      <c r="BB73" s="277"/>
      <c r="BC73" s="277"/>
      <c r="BD73" s="277"/>
      <c r="BE73" s="277"/>
      <c r="BF73" s="277"/>
      <c r="BG73" s="277"/>
      <c r="BH73" s="239"/>
    </row>
    <row r="74" spans="2:60">
      <c r="E74" s="169"/>
    </row>
    <row r="75" spans="2:60">
      <c r="E75" s="169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</sheetData>
  <pageMargins left="0.25" right="0.25" top="0.25" bottom="0.75" header="0.3" footer="0.3"/>
  <pageSetup paperSize="5" scale="48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7D3E-90C1-4960-AE87-F0E42240F16A}">
  <sheetPr codeName="Sheet14">
    <tabColor theme="0" tint="-0.249977111117893"/>
    <pageSetUpPr fitToPage="1"/>
  </sheetPr>
  <dimension ref="A1:BH87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0" max="40" width="13" bestFit="1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">
        <v>0</v>
      </c>
    </row>
    <row r="2" spans="1:57" s="231" customFormat="1">
      <c r="A2" s="231" t="str">
        <f>'Workpaper Index'!$C$4</f>
        <v xml:space="preserve">WASHINGTON JUNE, 1 2024 RENEWABLES REPORT </v>
      </c>
    </row>
    <row r="3" spans="1:57" s="231" customFormat="1">
      <c r="A3" s="231" t="s">
        <v>1</v>
      </c>
    </row>
    <row r="4" spans="1:57" s="231" customFormat="1"/>
    <row r="5" spans="1:57" s="231" customFormat="1"/>
    <row r="7" spans="1:57">
      <c r="AB7" t="s">
        <v>306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304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N10" s="253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51">
        <v>60.9</v>
      </c>
      <c r="H11" s="252"/>
      <c r="AB11" s="122" t="s">
        <v>99</v>
      </c>
      <c r="AC11" s="123"/>
      <c r="AD11" s="123"/>
      <c r="AE11" s="123"/>
      <c r="AF11" s="134">
        <f>+G11*(G12/AJ16)</f>
        <v>37.319083691653873</v>
      </c>
      <c r="AG11" s="127"/>
      <c r="AH11" s="123" t="s">
        <v>100</v>
      </c>
      <c r="AI11" s="124"/>
      <c r="AJ11" s="129">
        <v>7.9126910299003335</v>
      </c>
      <c r="AK11" s="235"/>
      <c r="AN11" s="253"/>
      <c r="AZ11" s="122" t="s">
        <v>99</v>
      </c>
      <c r="BA11" s="123"/>
      <c r="BB11" s="123"/>
      <c r="BC11" s="123"/>
      <c r="BD11" s="134">
        <f>(AF11*AF13-G11*G19)</f>
        <v>34.477083691653874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54">
        <v>0.29837514283798355</v>
      </c>
      <c r="H12" s="252"/>
      <c r="AB12" s="122" t="s">
        <v>32</v>
      </c>
      <c r="AC12" s="123"/>
      <c r="AD12" s="123"/>
      <c r="AE12" s="123"/>
      <c r="AF12" s="131">
        <f>+AD61/8760/AF11</f>
        <v>0.49124544038953594</v>
      </c>
      <c r="AG12" s="127"/>
      <c r="AH12" s="117" t="s">
        <v>101</v>
      </c>
      <c r="AI12" s="118"/>
      <c r="AJ12" s="117">
        <v>2006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2008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25</v>
      </c>
      <c r="H14" s="252"/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Z14" s="122" t="s">
        <v>105</v>
      </c>
      <c r="BA14" s="123"/>
      <c r="BB14" s="123"/>
      <c r="BC14" s="123"/>
      <c r="BD14" s="135">
        <v>454</v>
      </c>
      <c r="BE14" s="132"/>
    </row>
    <row r="15" spans="1:57" ht="12">
      <c r="A15" t="s">
        <v>106</v>
      </c>
      <c r="B15" s="250"/>
      <c r="C15" s="231" t="s">
        <v>107</v>
      </c>
      <c r="D15" s="231"/>
      <c r="E15" s="231"/>
      <c r="F15" s="231"/>
      <c r="G15" s="255"/>
      <c r="H15" s="252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Z15" s="122" t="s">
        <v>108</v>
      </c>
      <c r="BA15" s="123"/>
      <c r="BB15" s="123"/>
      <c r="BC15" s="123"/>
      <c r="BD15" s="136">
        <v>8.3299999999999999E-2</v>
      </c>
      <c r="BE15" s="132"/>
    </row>
    <row r="16" spans="1:57" ht="12">
      <c r="A16" t="s">
        <v>106</v>
      </c>
      <c r="B16" s="250"/>
      <c r="C16" s="231" t="s">
        <v>109</v>
      </c>
      <c r="D16" s="231"/>
      <c r="E16" s="231"/>
      <c r="F16" s="231"/>
      <c r="G16" s="255"/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Z16" s="122" t="s">
        <v>100</v>
      </c>
      <c r="BA16" s="124"/>
      <c r="BB16" s="129">
        <v>5.75</v>
      </c>
      <c r="BE16" s="130"/>
    </row>
    <row r="17" spans="1:60" ht="12">
      <c r="A17" t="s">
        <v>106</v>
      </c>
      <c r="B17" s="250"/>
      <c r="C17" s="231" t="s">
        <v>111</v>
      </c>
      <c r="D17" s="231"/>
      <c r="E17" s="231"/>
      <c r="F17" s="231"/>
      <c r="G17" s="255"/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2006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54">
        <f>'(2.2)_Forward_Price_Curve'!AA4</f>
        <v>7.1999999999999995E-2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t="s">
        <v>113</v>
      </c>
    </row>
    <row r="20" spans="1:60" ht="12.75">
      <c r="B20" s="231"/>
      <c r="C20" s="231"/>
      <c r="D20" s="231"/>
      <c r="E20" s="231"/>
      <c r="F20" s="231"/>
      <c r="G20" s="231"/>
      <c r="H20" s="231"/>
      <c r="AH20" s="213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2008</v>
      </c>
      <c r="E28" s="169">
        <v>1.7000000000000001E-2</v>
      </c>
      <c r="G28" s="18">
        <v>137948.39946197998</v>
      </c>
      <c r="I28" s="268">
        <f>$G$15*(1+$E28)</f>
        <v>0</v>
      </c>
      <c r="J28" s="268"/>
      <c r="K28" s="268">
        <v>53.055805502366717</v>
      </c>
      <c r="L28" s="269"/>
      <c r="M28" s="268">
        <f>$G$17*(1+$E28)</f>
        <v>0</v>
      </c>
      <c r="O28" s="270">
        <f>'(2.2)_Forward_Price_Curve'!Y22</f>
        <v>5.1866999999999992</v>
      </c>
      <c r="Q28" s="28"/>
      <c r="S28" s="18">
        <f>(I28*$G$11*1000+(K28+M28+O28+Q28)*G28)/1000</f>
        <v>8034.4604147070504</v>
      </c>
      <c r="U28" s="18">
        <f t="shared" ref="U28:U52" si="0">AX28</f>
        <v>9556.4369819201547</v>
      </c>
      <c r="W28" s="18">
        <f>S28-U28</f>
        <v>-1521.9765672131043</v>
      </c>
      <c r="Y28" s="271">
        <f>+W28*1000/G28</f>
        <v>-11.032941108045092</v>
      </c>
      <c r="Z28" s="235"/>
      <c r="AB28" s="146">
        <f>$C$28</f>
        <v>2008</v>
      </c>
      <c r="AC28" s="117"/>
      <c r="AD28" s="151">
        <f t="shared" ref="AD28:AD52" si="1">G28</f>
        <v>137948.39946197998</v>
      </c>
      <c r="AF28" s="152">
        <v>58.163412158772744</v>
      </c>
      <c r="AG28" s="272"/>
      <c r="AH28" s="152">
        <v>8.2001037061794015</v>
      </c>
      <c r="AI28" s="272"/>
      <c r="AJ28" s="152">
        <v>2.3050946065283835</v>
      </c>
      <c r="AK28" s="272"/>
      <c r="AL28" s="153">
        <f>((AF28+AH28)*$AF$11*1000+AJ28*AD28)/1000</f>
        <v>2794.6097142155818</v>
      </c>
      <c r="AN28" s="154">
        <f>INDEX('(2.2)_Forward_Price_Curve'!$I:$I,MATCH($AB28,'(2.2)_Forward_Price_Curve'!$C:$C,0),1)</f>
        <v>7.9707205782722266</v>
      </c>
      <c r="AO28" s="272"/>
      <c r="AP28" s="154">
        <f>AN28*$AF$14/1000</f>
        <v>57.915425742323464</v>
      </c>
      <c r="AQ28" s="272"/>
      <c r="AR28" s="152">
        <v>2.3860545125109165</v>
      </c>
      <c r="AS28" s="152"/>
      <c r="AT28" s="153">
        <f t="shared" ref="AT28:AT52" si="2">AL28-BF28</f>
        <v>1237.9442955775628</v>
      </c>
      <c r="AU28" s="272"/>
      <c r="AV28" s="153">
        <f t="shared" ref="AV28:AV52" si="3">(AP28+AR28)*AD28/1000</f>
        <v>8318.4926863425917</v>
      </c>
      <c r="AW28" s="273"/>
      <c r="AX28" s="155">
        <f>AT28+AV28</f>
        <v>9556.4369819201547</v>
      </c>
      <c r="AZ28" s="146">
        <f>$C$28</f>
        <v>2008</v>
      </c>
      <c r="BA28" s="117"/>
      <c r="BB28" s="152">
        <v>39.191870478599988</v>
      </c>
      <c r="BD28" s="152">
        <v>5.9588572499999986</v>
      </c>
      <c r="BE28" s="272"/>
      <c r="BF28" s="153">
        <f>(BB28+BD28)*$BD$11</f>
        <v>1556.665418638019</v>
      </c>
      <c r="BG28" s="272"/>
      <c r="BH28" s="156"/>
    </row>
    <row r="29" spans="1:60" ht="12">
      <c r="B29" s="2"/>
      <c r="C29">
        <f>+IF(C28&gt;$G$13+$G$14,XX,C28+1)</f>
        <v>2009</v>
      </c>
      <c r="E29" s="169">
        <v>1.7000000000000001E-2</v>
      </c>
      <c r="G29" s="18">
        <v>162459</v>
      </c>
      <c r="I29" s="28">
        <f>I28*(1+$E29)</f>
        <v>0</v>
      </c>
      <c r="K29" s="28">
        <v>56.042993679320091</v>
      </c>
      <c r="M29" s="28">
        <f>M28*(1+$E29)</f>
        <v>0</v>
      </c>
      <c r="O29" s="270">
        <f>'(2.2)_Forward_Price_Curve'!Y23</f>
        <v>5.2748738999999985</v>
      </c>
      <c r="Q29" s="28"/>
      <c r="S29" s="18">
        <f t="shared" ref="S29:S52" si="4">(I29*$G$11*1000+(K29+M29+O29+Q29)*G29)/1000</f>
        <v>9961.6394490687617</v>
      </c>
      <c r="U29" s="18">
        <f t="shared" si="0"/>
        <v>10889.49951804099</v>
      </c>
      <c r="W29" s="18">
        <f t="shared" ref="W29:W52" si="5">S29-U29</f>
        <v>-927.86006897222796</v>
      </c>
      <c r="Y29" s="271">
        <f t="shared" ref="Y29:Y52" si="6">+W29*1000/G29</f>
        <v>-5.7113491340721536</v>
      </c>
      <c r="Z29" s="235"/>
      <c r="AB29" s="146">
        <f>+IF(AB28&gt;$G$13+$G$14,XX,AB28+1)</f>
        <v>2009</v>
      </c>
      <c r="AC29" s="117"/>
      <c r="AD29" s="151">
        <f t="shared" si="1"/>
        <v>162459</v>
      </c>
      <c r="AF29" s="154">
        <f>AF28*(1+$E29)</f>
        <v>59.152190165471872</v>
      </c>
      <c r="AH29" s="154">
        <f>AH28*(1+$E29)</f>
        <v>8.3395054691844503</v>
      </c>
      <c r="AJ29" s="154">
        <f>AJ28*(1+$E29)</f>
        <v>2.3442812148393659</v>
      </c>
      <c r="AL29" s="153">
        <f t="shared" ref="AL29:AL52" si="7">((AF29+AH29)*$AF$11*1000+AJ29*AD29)/1000</f>
        <v>2899.5778197629584</v>
      </c>
      <c r="AN29" s="154">
        <f>INDEX('(2.2)_Forward_Price_Curve'!$I:$I,MATCH($AB29,'(2.2)_Forward_Price_Curve'!$C:$C,0),1)</f>
        <v>7.7758276535043622</v>
      </c>
      <c r="AP29" s="154">
        <f t="shared" ref="AP29:AP52" si="8">AN29*$AF$14/1000</f>
        <v>56.499329593768707</v>
      </c>
      <c r="AR29" s="154">
        <f>AR28*(1+$E29)</f>
        <v>2.4266174392236017</v>
      </c>
      <c r="AS29" s="154"/>
      <c r="AT29" s="153">
        <f t="shared" si="2"/>
        <v>1316.4490890080933</v>
      </c>
      <c r="AV29" s="153">
        <f t="shared" si="3"/>
        <v>9573.0504290328972</v>
      </c>
      <c r="AW29" s="273"/>
      <c r="AX29" s="155">
        <f t="shared" ref="AX29:AX52" si="9">AT29+AV29</f>
        <v>10889.49951804099</v>
      </c>
      <c r="AZ29" s="146">
        <f>+IF(AZ28&gt;$G$13+$G$14,XX,AZ28+1)</f>
        <v>2009</v>
      </c>
      <c r="BA29" s="117"/>
      <c r="BB29" s="154">
        <f>BB28*(1+$E29)</f>
        <v>39.858132276736185</v>
      </c>
      <c r="BD29" s="154">
        <f>BD28*(1+$E29)</f>
        <v>6.0601578232499982</v>
      </c>
      <c r="BF29" s="153">
        <f t="shared" ref="BF29:BF52" si="10">(BB29+BD29)*$BD$11</f>
        <v>1583.128730754865</v>
      </c>
      <c r="BH29" s="157"/>
    </row>
    <row r="30" spans="1:60" ht="12">
      <c r="B30" s="2"/>
      <c r="C30">
        <f>+IF(C29&gt;$G$13+$G$14,XX,C29+1)</f>
        <v>2010</v>
      </c>
      <c r="E30" s="169">
        <v>1.9E-2</v>
      </c>
      <c r="G30" s="18">
        <v>162459</v>
      </c>
      <c r="I30" s="28">
        <f t="shared" ref="I30:I52" si="11">I29*(1+$E30)</f>
        <v>0</v>
      </c>
      <c r="K30" s="28">
        <v>56.042993679320091</v>
      </c>
      <c r="M30" s="28">
        <f t="shared" ref="M30:M52" si="12">M29*(1+$E30)</f>
        <v>0</v>
      </c>
      <c r="O30" s="270">
        <f>'(2.2)_Forward_Price_Curve'!Y24</f>
        <v>5.3750965040999983</v>
      </c>
      <c r="Q30" s="28"/>
      <c r="S30" s="18">
        <f t="shared" si="4"/>
        <v>9977.9215131082437</v>
      </c>
      <c r="U30" s="18">
        <f t="shared" si="0"/>
        <v>10569.783228000695</v>
      </c>
      <c r="W30" s="18">
        <f t="shared" si="5"/>
        <v>-591.86171489245135</v>
      </c>
      <c r="Y30" s="271">
        <f t="shared" si="6"/>
        <v>-3.643145131340531</v>
      </c>
      <c r="Z30" s="235"/>
      <c r="AB30" s="146">
        <f>+IF(AB29&gt;$G$13+$G$14,XX,AB29+1)</f>
        <v>2010</v>
      </c>
      <c r="AC30" s="117"/>
      <c r="AD30" s="151">
        <f t="shared" si="1"/>
        <v>162459</v>
      </c>
      <c r="AF30" s="154">
        <f t="shared" ref="AF30:AF52" si="13">AF29*(1+$E30)</f>
        <v>60.276081778615833</v>
      </c>
      <c r="AH30" s="154">
        <f t="shared" ref="AH30:AH52" si="14">AH29*(1+$E30)</f>
        <v>8.4979560730989547</v>
      </c>
      <c r="AJ30" s="154">
        <f t="shared" ref="AJ30:AJ52" si="15">AJ29*(1+$E30)</f>
        <v>2.3888225579213138</v>
      </c>
      <c r="AL30" s="153">
        <f t="shared" si="7"/>
        <v>2954.6697983384538</v>
      </c>
      <c r="AN30" s="154">
        <f>INDEX('(2.2)_Forward_Price_Curve'!$I:$I,MATCH($AB30,'(2.2)_Forward_Price_Curve'!$C:$C,0),1)</f>
        <v>7.4774457529777205</v>
      </c>
      <c r="AP30" s="154">
        <f t="shared" si="8"/>
        <v>54.331280339864243</v>
      </c>
      <c r="AR30" s="154">
        <f t="shared" ref="AR30:AR52" si="16">AR29*(1+$E30)</f>
        <v>2.4727231705688499</v>
      </c>
      <c r="AS30" s="154"/>
      <c r="AT30" s="153">
        <f t="shared" si="2"/>
        <v>1341.4616216992463</v>
      </c>
      <c r="AV30" s="153">
        <f t="shared" si="3"/>
        <v>9228.3216063014497</v>
      </c>
      <c r="AW30" s="273"/>
      <c r="AX30" s="155">
        <f t="shared" si="9"/>
        <v>10569.783228000695</v>
      </c>
      <c r="AZ30" s="146">
        <f>+IF(AZ29&gt;$G$13+$G$14,XX,AZ29+1)</f>
        <v>2010</v>
      </c>
      <c r="BA30" s="117"/>
      <c r="BB30" s="154">
        <f t="shared" ref="BB30:BB52" si="17">BB29*(1+$E30)</f>
        <v>40.61543678999417</v>
      </c>
      <c r="BD30" s="154">
        <f t="shared" ref="BD30:BD52" si="18">BD29*(1+$E30)</f>
        <v>6.1753008218917476</v>
      </c>
      <c r="BF30" s="153">
        <f t="shared" si="10"/>
        <v>1613.2081766392075</v>
      </c>
      <c r="BH30" s="157"/>
    </row>
    <row r="31" spans="1:60" ht="12">
      <c r="B31" s="2"/>
      <c r="C31">
        <f>+IF(C30&gt;$G$13+$G$14,XX,C30+1)</f>
        <v>2011</v>
      </c>
      <c r="E31" s="169">
        <v>1.9E-2</v>
      </c>
      <c r="G31" s="18">
        <v>162459</v>
      </c>
      <c r="I31" s="28">
        <f t="shared" si="11"/>
        <v>0</v>
      </c>
      <c r="K31" s="28">
        <v>56.042993679320091</v>
      </c>
      <c r="M31" s="28">
        <f t="shared" si="12"/>
        <v>0</v>
      </c>
      <c r="O31" s="270">
        <f>'(2.2)_Forward_Price_Curve'!Y25</f>
        <v>5.4772233376778976</v>
      </c>
      <c r="Q31" s="28"/>
      <c r="S31" s="18">
        <f t="shared" si="4"/>
        <v>9994.5129363644755</v>
      </c>
      <c r="U31" s="18">
        <f t="shared" si="0"/>
        <v>10136.276891326093</v>
      </c>
      <c r="W31" s="18">
        <f t="shared" si="5"/>
        <v>-141.76395496161786</v>
      </c>
      <c r="Y31" s="271">
        <f t="shared" si="6"/>
        <v>-0.87261373615261606</v>
      </c>
      <c r="Z31" s="235"/>
      <c r="AB31" s="146">
        <f>+IF(AB30&gt;$G$13+$G$14,XX,AB30+1)</f>
        <v>2011</v>
      </c>
      <c r="AC31" s="117"/>
      <c r="AD31" s="151">
        <f t="shared" si="1"/>
        <v>162459</v>
      </c>
      <c r="AF31" s="154">
        <f t="shared" si="13"/>
        <v>61.421327332409525</v>
      </c>
      <c r="AH31" s="154">
        <f t="shared" si="14"/>
        <v>8.6594172384878334</v>
      </c>
      <c r="AJ31" s="154">
        <f t="shared" si="15"/>
        <v>2.4342101865218186</v>
      </c>
      <c r="AL31" s="153">
        <f t="shared" si="7"/>
        <v>3010.8085245068846</v>
      </c>
      <c r="AN31" s="154">
        <f>INDEX('(2.2)_Forward_Price_Curve'!$I:$I,MATCH($AB31,'(2.2)_Forward_Price_Curve'!$C:$C,0),1)</f>
        <v>7.0821436233211914</v>
      </c>
      <c r="AP31" s="154">
        <f t="shared" si="8"/>
        <v>51.459006633731178</v>
      </c>
      <c r="AR31" s="154">
        <f t="shared" si="16"/>
        <v>2.5197049108096579</v>
      </c>
      <c r="AS31" s="154"/>
      <c r="AT31" s="153">
        <f t="shared" si="2"/>
        <v>1366.9493925115326</v>
      </c>
      <c r="AV31" s="153">
        <f t="shared" si="3"/>
        <v>8769.3274988145604</v>
      </c>
      <c r="AW31" s="273"/>
      <c r="AX31" s="155">
        <f t="shared" si="9"/>
        <v>10136.276891326093</v>
      </c>
      <c r="AZ31" s="146">
        <f>+IF(AZ30&gt;$G$13+$G$14,XX,AZ30+1)</f>
        <v>2011</v>
      </c>
      <c r="BA31" s="117"/>
      <c r="BB31" s="154">
        <f t="shared" si="17"/>
        <v>41.387130089004053</v>
      </c>
      <c r="BD31" s="154">
        <f t="shared" si="18"/>
        <v>6.29263153750769</v>
      </c>
      <c r="BF31" s="153">
        <f t="shared" si="10"/>
        <v>1643.8591319953521</v>
      </c>
      <c r="BH31" s="157"/>
    </row>
    <row r="32" spans="1:60" ht="12">
      <c r="B32" s="2"/>
      <c r="C32">
        <f>+IF(C31&gt;$G$13+$G$14,XX,C31+1)</f>
        <v>2012</v>
      </c>
      <c r="E32" s="169">
        <v>0.02</v>
      </c>
      <c r="G32" s="18">
        <v>163109</v>
      </c>
      <c r="I32" s="28">
        <f t="shared" si="11"/>
        <v>0</v>
      </c>
      <c r="K32" s="28">
        <v>56.042993679320091</v>
      </c>
      <c r="M32" s="28">
        <f t="shared" si="12"/>
        <v>0</v>
      </c>
      <c r="O32" s="270">
        <f>'(2.2)_Forward_Price_Curve'!Y26</f>
        <v>5.5867678044314557</v>
      </c>
      <c r="Q32" s="28"/>
      <c r="S32" s="18">
        <f t="shared" si="4"/>
        <v>10052.368765853231</v>
      </c>
      <c r="U32" s="18">
        <f t="shared" si="0"/>
        <v>9758.5640265987222</v>
      </c>
      <c r="W32" s="18">
        <f t="shared" si="5"/>
        <v>293.8047392545086</v>
      </c>
      <c r="Y32" s="271">
        <f t="shared" si="6"/>
        <v>1.8012785269636171</v>
      </c>
      <c r="Z32" s="235"/>
      <c r="AB32" s="146">
        <f>+IF(AB31&gt;$G$13+$G$14,XX,AB31+1)</f>
        <v>2012</v>
      </c>
      <c r="AC32" s="117"/>
      <c r="AD32" s="151">
        <f t="shared" si="1"/>
        <v>163109</v>
      </c>
      <c r="AF32" s="154">
        <f t="shared" si="13"/>
        <v>62.64975387905772</v>
      </c>
      <c r="AH32" s="154">
        <f t="shared" si="14"/>
        <v>8.8326055832575907</v>
      </c>
      <c r="AJ32" s="154">
        <f t="shared" si="15"/>
        <v>2.4828943902522549</v>
      </c>
      <c r="AL32" s="153">
        <f t="shared" si="7"/>
        <v>3072.6385763506864</v>
      </c>
      <c r="AN32" s="154">
        <f>INDEX('(2.2)_Forward_Price_Curve'!$I:$I,MATCH($AB32,'(2.2)_Forward_Price_Curve'!$C:$C,0),1)</f>
        <v>6.7024699037828679</v>
      </c>
      <c r="AP32" s="154">
        <f t="shared" si="8"/>
        <v>48.700289288881038</v>
      </c>
      <c r="AR32" s="154">
        <f t="shared" si="16"/>
        <v>2.5700990090258511</v>
      </c>
      <c r="AS32" s="154"/>
      <c r="AT32" s="153">
        <f t="shared" si="2"/>
        <v>1395.9022617154274</v>
      </c>
      <c r="AV32" s="153">
        <f t="shared" si="3"/>
        <v>8362.6617648832944</v>
      </c>
      <c r="AW32" s="273"/>
      <c r="AX32" s="155">
        <f t="shared" si="9"/>
        <v>9758.5640265987222</v>
      </c>
      <c r="AZ32" s="146">
        <f>+IF(AZ31&gt;$G$13+$G$14,XX,AZ31+1)</f>
        <v>2012</v>
      </c>
      <c r="BA32" s="117"/>
      <c r="BB32" s="154">
        <f t="shared" si="17"/>
        <v>42.214872690784134</v>
      </c>
      <c r="BD32" s="154">
        <f t="shared" si="18"/>
        <v>6.4184841682578435</v>
      </c>
      <c r="BF32" s="153">
        <f t="shared" si="10"/>
        <v>1676.7363146352591</v>
      </c>
      <c r="BH32" s="157"/>
    </row>
    <row r="33" spans="2:60" ht="12">
      <c r="B33" s="2"/>
      <c r="C33">
        <f>+IF(C32&gt;$G$13+$G$14,XX,C32+1)</f>
        <v>2013</v>
      </c>
      <c r="E33" s="169">
        <v>1.9E-2</v>
      </c>
      <c r="G33" s="18">
        <v>162459</v>
      </c>
      <c r="I33" s="28">
        <f t="shared" si="11"/>
        <v>0</v>
      </c>
      <c r="K33" s="28">
        <v>56.042993679320091</v>
      </c>
      <c r="M33" s="28">
        <f t="shared" si="12"/>
        <v>0</v>
      </c>
      <c r="O33" s="270">
        <f>'(2.2)_Forward_Price_Curve'!Y27</f>
        <v>5.6929163927156532</v>
      </c>
      <c r="Q33" s="28"/>
      <c r="S33" s="18">
        <f t="shared" si="4"/>
        <v>10029.554214392854</v>
      </c>
      <c r="U33" s="18">
        <f t="shared" si="0"/>
        <v>9754.5372424506368</v>
      </c>
      <c r="W33" s="18">
        <f t="shared" si="5"/>
        <v>275.01697194221742</v>
      </c>
      <c r="Y33" s="271">
        <f t="shared" si="6"/>
        <v>1.6928392513939976</v>
      </c>
      <c r="Z33" s="235"/>
      <c r="AB33" s="146">
        <f>+IF(AB32&gt;$G$13+$G$14,XX,AB32+1)</f>
        <v>2013</v>
      </c>
      <c r="AC33" s="117"/>
      <c r="AD33" s="151">
        <f t="shared" si="1"/>
        <v>162459</v>
      </c>
      <c r="AF33" s="154">
        <f t="shared" si="13"/>
        <v>63.840099202759809</v>
      </c>
      <c r="AH33" s="154">
        <f t="shared" si="14"/>
        <v>9.0004250893394833</v>
      </c>
      <c r="AJ33" s="154">
        <f t="shared" si="15"/>
        <v>2.5300693836670476</v>
      </c>
      <c r="AL33" s="153">
        <f t="shared" si="7"/>
        <v>3129.3741642019654</v>
      </c>
      <c r="AN33" s="154">
        <f>INDEX('(2.2)_Forward_Price_Curve'!$I:$I,MATCH($AB33,'(2.2)_Forward_Price_Curve'!$C:$C,0),1)</f>
        <v>6.6994948806584134</v>
      </c>
      <c r="AP33" s="154">
        <f t="shared" si="8"/>
        <v>48.678672707399592</v>
      </c>
      <c r="AR33" s="154">
        <f t="shared" si="16"/>
        <v>2.6189308901973418</v>
      </c>
      <c r="AS33" s="154"/>
      <c r="AT33" s="153">
        <f t="shared" si="2"/>
        <v>1420.7798595886366</v>
      </c>
      <c r="AV33" s="153">
        <f t="shared" si="3"/>
        <v>8333.7573828620007</v>
      </c>
      <c r="AW33" s="273"/>
      <c r="AX33" s="155">
        <f t="shared" si="9"/>
        <v>9754.5372424506368</v>
      </c>
      <c r="AZ33" s="146">
        <f>+IF(AZ32&gt;$G$13+$G$14,XX,AZ32+1)</f>
        <v>2013</v>
      </c>
      <c r="BA33" s="117"/>
      <c r="BB33" s="154">
        <f t="shared" si="17"/>
        <v>43.016955271909026</v>
      </c>
      <c r="BD33" s="154">
        <f t="shared" si="18"/>
        <v>6.5404353674547417</v>
      </c>
      <c r="BF33" s="153">
        <f t="shared" si="10"/>
        <v>1708.5943046133289</v>
      </c>
      <c r="BH33" s="157"/>
    </row>
    <row r="34" spans="2:60" ht="12">
      <c r="B34" s="2"/>
      <c r="C34">
        <f>+IF(C33&gt;$G$13+$G$14,XX,C33+1)</f>
        <v>2014</v>
      </c>
      <c r="E34" s="169">
        <v>1.7999999999999999E-2</v>
      </c>
      <c r="G34" s="18">
        <v>162459</v>
      </c>
      <c r="I34" s="28">
        <f t="shared" si="11"/>
        <v>0</v>
      </c>
      <c r="K34" s="28">
        <v>56.042993679320091</v>
      </c>
      <c r="M34" s="28">
        <f t="shared" si="12"/>
        <v>0</v>
      </c>
      <c r="O34" s="270">
        <f>'(2.2)_Forward_Price_Curve'!Y28</f>
        <v>5.7953888877845348</v>
      </c>
      <c r="Q34" s="28"/>
      <c r="S34" s="18">
        <f t="shared" si="4"/>
        <v>10046.20179346925</v>
      </c>
      <c r="U34" s="18">
        <f t="shared" si="0"/>
        <v>10040.98824752254</v>
      </c>
      <c r="W34" s="18">
        <f t="shared" si="5"/>
        <v>5.2135459467099281</v>
      </c>
      <c r="Y34" s="271">
        <f t="shared" si="6"/>
        <v>3.2091456593416973E-2</v>
      </c>
      <c r="Z34" s="235"/>
      <c r="AB34" s="146">
        <f>+IF(AB33&gt;$G$13+$G$14,XX,AB33+1)</f>
        <v>2014</v>
      </c>
      <c r="AC34" s="117"/>
      <c r="AD34" s="151">
        <f t="shared" si="1"/>
        <v>162459</v>
      </c>
      <c r="AF34" s="154">
        <f t="shared" si="13"/>
        <v>64.989220988409485</v>
      </c>
      <c r="AH34" s="154">
        <f t="shared" si="14"/>
        <v>9.1624327409475939</v>
      </c>
      <c r="AJ34" s="154">
        <f t="shared" si="15"/>
        <v>2.5756106325730546</v>
      </c>
      <c r="AL34" s="153">
        <f t="shared" si="7"/>
        <v>3185.7028991576008</v>
      </c>
      <c r="AN34" s="154">
        <f>INDEX('(2.2)_Forward_Price_Curve'!$I:$I,MATCH($AB34,'(2.2)_Forward_Price_Curve'!$C:$C,0),1)</f>
        <v>6.9140085811973453</v>
      </c>
      <c r="AP34" s="154">
        <f t="shared" si="8"/>
        <v>50.2373338312307</v>
      </c>
      <c r="AR34" s="154">
        <f t="shared" si="16"/>
        <v>2.6660716462208942</v>
      </c>
      <c r="AS34" s="154"/>
      <c r="AT34" s="153">
        <f t="shared" si="2"/>
        <v>1446.3538970612319</v>
      </c>
      <c r="AV34" s="153">
        <f t="shared" si="3"/>
        <v>8594.6343504613087</v>
      </c>
      <c r="AW34" s="273"/>
      <c r="AX34" s="155">
        <f t="shared" si="9"/>
        <v>10040.98824752254</v>
      </c>
      <c r="AZ34" s="146">
        <f>+IF(AZ33&gt;$G$13+$G$14,XX,AZ33+1)</f>
        <v>2014</v>
      </c>
      <c r="BA34" s="117"/>
      <c r="BB34" s="154">
        <f t="shared" si="17"/>
        <v>43.791260466803386</v>
      </c>
      <c r="BD34" s="154">
        <f t="shared" si="18"/>
        <v>6.6581632040689271</v>
      </c>
      <c r="BF34" s="153">
        <f t="shared" si="10"/>
        <v>1739.3490020963688</v>
      </c>
      <c r="BH34" s="157"/>
    </row>
    <row r="35" spans="2:60" ht="12">
      <c r="B35" s="2"/>
      <c r="C35">
        <f>+IF(C34&gt;$G$13+$G$14,XX,C34+1)</f>
        <v>2015</v>
      </c>
      <c r="E35" s="169">
        <v>1.7999999999999999E-2</v>
      </c>
      <c r="G35" s="18">
        <v>162459</v>
      </c>
      <c r="I35" s="28">
        <f t="shared" si="11"/>
        <v>0</v>
      </c>
      <c r="K35" s="28">
        <v>56.042993679320091</v>
      </c>
      <c r="M35" s="28">
        <f t="shared" si="12"/>
        <v>0</v>
      </c>
      <c r="O35" s="270">
        <f>'(2.2)_Forward_Price_Curve'!Y29</f>
        <v>5.8997058877646564</v>
      </c>
      <c r="Q35" s="28"/>
      <c r="S35" s="18">
        <f t="shared" si="4"/>
        <v>10063.149028969019</v>
      </c>
      <c r="U35" s="18">
        <f t="shared" si="0"/>
        <v>10549.8154370925</v>
      </c>
      <c r="W35" s="18">
        <f t="shared" si="5"/>
        <v>-486.66640812348123</v>
      </c>
      <c r="Y35" s="271">
        <f t="shared" si="6"/>
        <v>-2.9956260233257694</v>
      </c>
      <c r="Z35" s="235"/>
      <c r="AB35" s="146">
        <f>+IF(AB34&gt;$G$13+$G$14,XX,AB34+1)</f>
        <v>2015</v>
      </c>
      <c r="AC35" s="117"/>
      <c r="AD35" s="151">
        <f t="shared" si="1"/>
        <v>162459</v>
      </c>
      <c r="AF35" s="154">
        <f t="shared" si="13"/>
        <v>66.159026966200855</v>
      </c>
      <c r="AH35" s="154">
        <f t="shared" si="14"/>
        <v>9.3273565302846499</v>
      </c>
      <c r="AJ35" s="154">
        <f t="shared" si="15"/>
        <v>2.6219716239593698</v>
      </c>
      <c r="AL35" s="153">
        <f t="shared" si="7"/>
        <v>3243.0455513424372</v>
      </c>
      <c r="AN35" s="154">
        <f>INDEX('(2.2)_Forward_Price_Curve'!$I:$I,MATCH($AB35,'(2.2)_Forward_Price_Curve'!$C:$C,0),1)</f>
        <v>7.3164011858738007</v>
      </c>
      <c r="AP35" s="154">
        <f t="shared" si="8"/>
        <v>53.161127080102943</v>
      </c>
      <c r="AR35" s="154">
        <f t="shared" si="16"/>
        <v>2.7140609358528702</v>
      </c>
      <c r="AS35" s="154"/>
      <c r="AT35" s="153">
        <f t="shared" si="2"/>
        <v>1472.3882672083339</v>
      </c>
      <c r="AV35" s="153">
        <f t="shared" si="3"/>
        <v>9077.4271698841658</v>
      </c>
      <c r="AW35" s="273"/>
      <c r="AX35" s="155">
        <f t="shared" si="9"/>
        <v>10549.8154370925</v>
      </c>
      <c r="AZ35" s="146">
        <f>+IF(AZ34&gt;$G$13+$G$14,XX,AZ34+1)</f>
        <v>2015</v>
      </c>
      <c r="BA35" s="117"/>
      <c r="BB35" s="154">
        <f t="shared" si="17"/>
        <v>44.579503155205849</v>
      </c>
      <c r="BD35" s="154">
        <f t="shared" si="18"/>
        <v>6.7780101417421683</v>
      </c>
      <c r="BF35" s="153">
        <f t="shared" si="10"/>
        <v>1770.6572841341033</v>
      </c>
      <c r="BH35" s="157"/>
    </row>
    <row r="36" spans="2:60" ht="12">
      <c r="B36" s="2"/>
      <c r="C36">
        <f>+IF(C35&gt;$G$13+$G$14,XX,C35+1)</f>
        <v>2016</v>
      </c>
      <c r="E36" s="169">
        <v>1.7999999999999999E-2</v>
      </c>
      <c r="G36" s="18">
        <v>163109</v>
      </c>
      <c r="I36" s="28">
        <f t="shared" si="11"/>
        <v>0</v>
      </c>
      <c r="K36" s="28">
        <v>56.042993679320091</v>
      </c>
      <c r="M36" s="28">
        <f t="shared" si="12"/>
        <v>0</v>
      </c>
      <c r="O36" s="270">
        <f>'(2.2)_Forward_Price_Curve'!Y30</f>
        <v>6.0059005937444203</v>
      </c>
      <c r="Q36" s="28"/>
      <c r="S36" s="18">
        <f t="shared" si="4"/>
        <v>10120.733095985281</v>
      </c>
      <c r="U36" s="18">
        <f t="shared" si="0"/>
        <v>11339.099716461529</v>
      </c>
      <c r="W36" s="18">
        <f t="shared" si="5"/>
        <v>-1218.3666204762485</v>
      </c>
      <c r="Y36" s="271">
        <f t="shared" si="6"/>
        <v>-7.4696468035255466</v>
      </c>
      <c r="Z36" s="235"/>
      <c r="AB36" s="146">
        <f>+IF(AB35&gt;$G$13+$G$14,XX,AB35+1)</f>
        <v>2016</v>
      </c>
      <c r="AC36" s="117"/>
      <c r="AD36" s="151">
        <f t="shared" si="1"/>
        <v>163109</v>
      </c>
      <c r="AF36" s="154">
        <f t="shared" si="13"/>
        <v>67.349889451592475</v>
      </c>
      <c r="AH36" s="154">
        <f t="shared" si="14"/>
        <v>9.4952489478297739</v>
      </c>
      <c r="AJ36" s="154">
        <f t="shared" si="15"/>
        <v>2.6691671131906385</v>
      </c>
      <c r="AL36" s="153">
        <f t="shared" si="7"/>
        <v>3303.1553298901758</v>
      </c>
      <c r="AN36" s="154">
        <f>INDEX('(2.2)_Forward_Price_Curve'!$I:$I,MATCH($AB36,'(2.2)_Forward_Price_Curve'!$C:$C,0),1)</f>
        <v>7.9211828417083421</v>
      </c>
      <c r="AP36" s="154">
        <f t="shared" si="8"/>
        <v>57.555483491778489</v>
      </c>
      <c r="AR36" s="154">
        <f t="shared" si="16"/>
        <v>2.7629140326982218</v>
      </c>
      <c r="AS36" s="154"/>
      <c r="AT36" s="153">
        <f t="shared" si="2"/>
        <v>1500.6262146416584</v>
      </c>
      <c r="AV36" s="153">
        <f t="shared" si="3"/>
        <v>9838.4735018198717</v>
      </c>
      <c r="AW36" s="273"/>
      <c r="AX36" s="155">
        <f t="shared" si="9"/>
        <v>11339.099716461529</v>
      </c>
      <c r="AZ36" s="146">
        <f>+IF(AZ35&gt;$G$13+$G$14,XX,AZ35+1)</f>
        <v>2016</v>
      </c>
      <c r="BA36" s="117"/>
      <c r="BB36" s="154">
        <f t="shared" si="17"/>
        <v>45.381934211999557</v>
      </c>
      <c r="BD36" s="154">
        <f t="shared" si="18"/>
        <v>6.9000143242935277</v>
      </c>
      <c r="BF36" s="153">
        <f t="shared" si="10"/>
        <v>1802.5291152485174</v>
      </c>
      <c r="BH36" s="157"/>
    </row>
    <row r="37" spans="2:60" ht="12">
      <c r="B37" s="2"/>
      <c r="C37">
        <f>+IF(C36&gt;$G$13+$G$14,XX,C36+1)</f>
        <v>2017</v>
      </c>
      <c r="E37" s="169">
        <v>1.7999999999999999E-2</v>
      </c>
      <c r="G37" s="18">
        <v>162459</v>
      </c>
      <c r="I37" s="28">
        <f t="shared" si="11"/>
        <v>0</v>
      </c>
      <c r="K37" s="28">
        <v>56.042993679320091</v>
      </c>
      <c r="M37" s="28">
        <f t="shared" si="12"/>
        <v>0</v>
      </c>
      <c r="O37" s="270">
        <f>'(2.2)_Forward_Price_Curve'!Y31</f>
        <v>6.1140068044318197</v>
      </c>
      <c r="Q37" s="28"/>
      <c r="S37" s="18">
        <f t="shared" si="4"/>
        <v>10097.964141589851</v>
      </c>
      <c r="U37" s="18">
        <f t="shared" si="0"/>
        <v>12071.66130504242</v>
      </c>
      <c r="W37" s="18">
        <f t="shared" si="5"/>
        <v>-1973.6971634525689</v>
      </c>
      <c r="Y37" s="271">
        <f t="shared" si="6"/>
        <v>-12.14889395756818</v>
      </c>
      <c r="Z37" s="235"/>
      <c r="AB37" s="146">
        <f>+IF(AB36&gt;$G$13+$G$14,XX,AB36+1)</f>
        <v>2017</v>
      </c>
      <c r="AC37" s="117"/>
      <c r="AD37" s="151">
        <f t="shared" si="1"/>
        <v>162459</v>
      </c>
      <c r="AF37" s="154">
        <f t="shared" si="13"/>
        <v>68.562187461721138</v>
      </c>
      <c r="AH37" s="154">
        <f t="shared" si="14"/>
        <v>9.6661634288907106</v>
      </c>
      <c r="AJ37" s="154">
        <f t="shared" si="15"/>
        <v>2.7172121212280702</v>
      </c>
      <c r="AL37" s="153">
        <f t="shared" si="7"/>
        <v>3360.8459379494006</v>
      </c>
      <c r="AN37" s="154">
        <f>INDEX('(2.2)_Forward_Price_Curve'!$I:$I,MATCH($AB37,'(2.2)_Forward_Price_Curve'!$C:$C,0),1)</f>
        <v>8.5467545643478058</v>
      </c>
      <c r="AP37" s="154">
        <f t="shared" si="8"/>
        <v>62.100900972324112</v>
      </c>
      <c r="AR37" s="154">
        <f t="shared" si="16"/>
        <v>2.8126464852867898</v>
      </c>
      <c r="AS37" s="154"/>
      <c r="AT37" s="153">
        <f t="shared" si="2"/>
        <v>1525.87129862641</v>
      </c>
      <c r="AV37" s="153">
        <f t="shared" si="3"/>
        <v>10545.790006416009</v>
      </c>
      <c r="AW37" s="273"/>
      <c r="AX37" s="155">
        <f t="shared" si="9"/>
        <v>12071.66130504242</v>
      </c>
      <c r="AZ37" s="146">
        <f>+IF(AZ36&gt;$G$13+$G$14,XX,AZ36+1)</f>
        <v>2017</v>
      </c>
      <c r="BA37" s="117"/>
      <c r="BB37" s="154">
        <f t="shared" si="17"/>
        <v>46.19880902781555</v>
      </c>
      <c r="BD37" s="154">
        <f t="shared" si="18"/>
        <v>7.0242145821308108</v>
      </c>
      <c r="BF37" s="153">
        <f t="shared" si="10"/>
        <v>1834.9746393229907</v>
      </c>
      <c r="BH37" s="157"/>
    </row>
    <row r="38" spans="2:60" ht="12">
      <c r="B38" s="2"/>
      <c r="C38">
        <f>+IF(C37&gt;$G$13+$G$14,XX,C37+1)</f>
        <v>2018</v>
      </c>
      <c r="E38" s="169">
        <v>1.7999999999999999E-2</v>
      </c>
      <c r="G38" s="18">
        <v>162459</v>
      </c>
      <c r="I38" s="28">
        <f t="shared" si="11"/>
        <v>0</v>
      </c>
      <c r="K38" s="28">
        <v>56.042993679320091</v>
      </c>
      <c r="M38" s="28">
        <f t="shared" si="12"/>
        <v>0</v>
      </c>
      <c r="O38" s="270">
        <f>'(2.2)_Forward_Price_Curve'!Y32</f>
        <v>6.2240589269115922</v>
      </c>
      <c r="Q38" s="28"/>
      <c r="S38" s="18">
        <f t="shared" si="4"/>
        <v>10115.843099355794</v>
      </c>
      <c r="U38" s="18">
        <f t="shared" si="0"/>
        <v>12768.858429077145</v>
      </c>
      <c r="W38" s="18">
        <f t="shared" si="5"/>
        <v>-2653.015329721351</v>
      </c>
      <c r="Y38" s="271">
        <f t="shared" si="6"/>
        <v>-16.33036846048142</v>
      </c>
      <c r="Z38" s="235"/>
      <c r="AB38" s="146">
        <f>+IF(AB37&gt;$G$13+$G$14,XX,AB37+1)</f>
        <v>2018</v>
      </c>
      <c r="AC38" s="117"/>
      <c r="AD38" s="151">
        <f t="shared" si="1"/>
        <v>162459</v>
      </c>
      <c r="AF38" s="154">
        <f t="shared" si="13"/>
        <v>69.796306836032116</v>
      </c>
      <c r="AH38" s="154">
        <f t="shared" si="14"/>
        <v>9.8401543706107439</v>
      </c>
      <c r="AJ38" s="154">
        <f t="shared" si="15"/>
        <v>2.7661219394101755</v>
      </c>
      <c r="AL38" s="153">
        <f t="shared" si="7"/>
        <v>3421.34116483249</v>
      </c>
      <c r="AN38" s="154">
        <f>INDEX('(2.2)_Forward_Price_Curve'!$I:$I,MATCH($AB38,'(2.2)_Forward_Price_Curve'!$C:$C,0),1)</f>
        <v>9.1071488375904099</v>
      </c>
      <c r="AP38" s="154">
        <f t="shared" si="8"/>
        <v>66.172737715275218</v>
      </c>
      <c r="AR38" s="154">
        <f t="shared" si="16"/>
        <v>2.8632741220219522</v>
      </c>
      <c r="AS38" s="154"/>
      <c r="AT38" s="153">
        <f t="shared" si="2"/>
        <v>1553.3369820016856</v>
      </c>
      <c r="AV38" s="153">
        <f t="shared" si="3"/>
        <v>11215.52144707546</v>
      </c>
      <c r="AW38" s="273"/>
      <c r="AX38" s="155">
        <f t="shared" si="9"/>
        <v>12768.858429077145</v>
      </c>
      <c r="AZ38" s="146">
        <f>+IF(AZ37&gt;$G$13+$G$14,XX,AZ37+1)</f>
        <v>2018</v>
      </c>
      <c r="BA38" s="117"/>
      <c r="BB38" s="154">
        <f t="shared" si="17"/>
        <v>47.030387590316231</v>
      </c>
      <c r="BD38" s="154">
        <f t="shared" si="18"/>
        <v>7.1506504446091652</v>
      </c>
      <c r="BF38" s="153">
        <f t="shared" si="10"/>
        <v>1868.0041828308044</v>
      </c>
      <c r="BH38" s="157"/>
    </row>
    <row r="39" spans="2:60" ht="12">
      <c r="B39" s="2"/>
      <c r="C39">
        <f>+IF(C38&gt;$G$13+$G$14,XX,C38+1)</f>
        <v>2019</v>
      </c>
      <c r="E39" s="169">
        <v>1.7999999999999999E-2</v>
      </c>
      <c r="G39" s="18">
        <v>162459</v>
      </c>
      <c r="I39" s="28">
        <f t="shared" si="11"/>
        <v>0</v>
      </c>
      <c r="K39" s="28">
        <v>56.042993679320091</v>
      </c>
      <c r="M39" s="28">
        <f t="shared" si="12"/>
        <v>0</v>
      </c>
      <c r="O39" s="270">
        <f>'(2.2)_Forward_Price_Curve'!Y33</f>
        <v>6.3360919875960011</v>
      </c>
      <c r="Q39" s="28"/>
      <c r="S39" s="18">
        <f t="shared" si="4"/>
        <v>10134.043878361521</v>
      </c>
      <c r="U39" s="18">
        <f t="shared" si="0"/>
        <v>13539.196065496766</v>
      </c>
      <c r="W39" s="18">
        <f t="shared" si="5"/>
        <v>-3405.1521871352452</v>
      </c>
      <c r="Y39" s="271">
        <f t="shared" si="6"/>
        <v>-20.960071077227148</v>
      </c>
      <c r="Z39" s="235"/>
      <c r="AB39" s="146">
        <f>+IF(AB38&gt;$G$13+$G$14,XX,AB38+1)</f>
        <v>2019</v>
      </c>
      <c r="AC39" s="117"/>
      <c r="AD39" s="151">
        <f t="shared" si="1"/>
        <v>162459</v>
      </c>
      <c r="AF39" s="154">
        <f t="shared" si="13"/>
        <v>71.052640359080698</v>
      </c>
      <c r="AH39" s="154">
        <f t="shared" si="14"/>
        <v>10.017277149281737</v>
      </c>
      <c r="AJ39" s="154">
        <f t="shared" si="15"/>
        <v>2.8159121343195586</v>
      </c>
      <c r="AL39" s="153">
        <f t="shared" si="7"/>
        <v>3482.9253057994747</v>
      </c>
      <c r="AN39" s="154">
        <f>INDEX('(2.2)_Forward_Price_Curve'!$I:$I,MATCH($AB39,'(2.2)_Forward_Price_Curve'!$C:$C,0),1)</f>
        <v>9.7289597532905745</v>
      </c>
      <c r="AP39" s="154">
        <f t="shared" si="8"/>
        <v>70.69082909237946</v>
      </c>
      <c r="AR39" s="154">
        <f t="shared" si="16"/>
        <v>2.9148130562183474</v>
      </c>
      <c r="AS39" s="154"/>
      <c r="AT39" s="153">
        <f t="shared" si="2"/>
        <v>1581.2970476777155</v>
      </c>
      <c r="AV39" s="153">
        <f t="shared" si="3"/>
        <v>11957.899017819051</v>
      </c>
      <c r="AW39" s="273"/>
      <c r="AX39" s="155">
        <f t="shared" si="9"/>
        <v>13539.196065496766</v>
      </c>
      <c r="AZ39" s="146">
        <f>+IF(AZ38&gt;$G$13+$G$14,XX,AZ38+1)</f>
        <v>2019</v>
      </c>
      <c r="BA39" s="117"/>
      <c r="BB39" s="154">
        <f t="shared" si="17"/>
        <v>47.876934566941927</v>
      </c>
      <c r="BD39" s="154">
        <f t="shared" si="18"/>
        <v>7.2793621526121299</v>
      </c>
      <c r="BF39" s="153">
        <f t="shared" si="10"/>
        <v>1901.6282581217592</v>
      </c>
      <c r="BH39" s="157"/>
    </row>
    <row r="40" spans="2:60" ht="12">
      <c r="B40" s="2"/>
      <c r="C40">
        <f>+IF(C39&gt;$G$13+$G$14,XX,C39+1)</f>
        <v>2020</v>
      </c>
      <c r="E40" s="169">
        <v>1.7999999999999999E-2</v>
      </c>
      <c r="G40" s="18">
        <v>163109</v>
      </c>
      <c r="I40" s="28">
        <f t="shared" si="11"/>
        <v>0</v>
      </c>
      <c r="K40" s="28">
        <v>56.042993679320091</v>
      </c>
      <c r="M40" s="28">
        <f t="shared" si="12"/>
        <v>0</v>
      </c>
      <c r="O40" s="270">
        <f>'(2.2)_Forward_Price_Curve'!Y34</f>
        <v>6.4501416433727297</v>
      </c>
      <c r="Q40" s="28"/>
      <c r="S40" s="18">
        <f t="shared" si="4"/>
        <v>10193.192809349102</v>
      </c>
      <c r="U40" s="18">
        <f t="shared" si="0"/>
        <v>14074.32664022463</v>
      </c>
      <c r="W40" s="18">
        <f t="shared" si="5"/>
        <v>-3881.1338308755276</v>
      </c>
      <c r="Y40" s="271">
        <f t="shared" si="6"/>
        <v>-23.794725189140561</v>
      </c>
      <c r="Z40" s="235"/>
      <c r="AB40" s="146">
        <f>+IF(AB39&gt;$G$13+$G$14,XX,AB39+1)</f>
        <v>2020</v>
      </c>
      <c r="AC40" s="117"/>
      <c r="AD40" s="151">
        <f t="shared" si="1"/>
        <v>163109</v>
      </c>
      <c r="AF40" s="154">
        <f t="shared" si="13"/>
        <v>72.331587885544153</v>
      </c>
      <c r="AH40" s="154">
        <f t="shared" si="14"/>
        <v>10.197588137968809</v>
      </c>
      <c r="AJ40" s="154">
        <f t="shared" si="15"/>
        <v>2.8665985527373108</v>
      </c>
      <c r="AL40" s="153">
        <f t="shared" si="7"/>
        <v>3547.4812503631442</v>
      </c>
      <c r="AN40" s="154">
        <f>INDEX('(2.2)_Forward_Price_Curve'!$I:$I,MATCH($AB40,'(2.2)_Forward_Price_Curve'!$C:$C,0),1)</f>
        <v>10.107309478601163</v>
      </c>
      <c r="AP40" s="154">
        <f t="shared" si="8"/>
        <v>73.43992626692922</v>
      </c>
      <c r="AR40" s="154">
        <f t="shared" si="16"/>
        <v>2.9672796912302779</v>
      </c>
      <c r="AS40" s="154"/>
      <c r="AT40" s="153">
        <f t="shared" si="2"/>
        <v>1611.6236835951934</v>
      </c>
      <c r="AV40" s="153">
        <f t="shared" si="3"/>
        <v>12462.702956629437</v>
      </c>
      <c r="AW40" s="273"/>
      <c r="AX40" s="155">
        <f t="shared" si="9"/>
        <v>14074.32664022463</v>
      </c>
      <c r="AZ40" s="146">
        <f>+IF(AZ39&gt;$G$13+$G$14,XX,AZ39+1)</f>
        <v>2020</v>
      </c>
      <c r="BA40" s="117"/>
      <c r="BB40" s="154">
        <f t="shared" si="17"/>
        <v>48.73871938914688</v>
      </c>
      <c r="BD40" s="154">
        <f t="shared" si="18"/>
        <v>7.4103906713591483</v>
      </c>
      <c r="BF40" s="153">
        <f t="shared" si="10"/>
        <v>1935.8575667679509</v>
      </c>
      <c r="BH40" s="157"/>
    </row>
    <row r="41" spans="2:60" ht="12">
      <c r="B41" s="2"/>
      <c r="C41">
        <f>+IF(C40&gt;$G$13+$G$14,XX,C40+1)</f>
        <v>2021</v>
      </c>
      <c r="E41" s="169">
        <v>1.7999999999999999E-2</v>
      </c>
      <c r="G41" s="18">
        <v>162459</v>
      </c>
      <c r="I41" s="28">
        <f t="shared" si="11"/>
        <v>0</v>
      </c>
      <c r="K41" s="28">
        <v>56.042993679320091</v>
      </c>
      <c r="M41" s="28">
        <f t="shared" si="12"/>
        <v>0</v>
      </c>
      <c r="O41" s="270">
        <f>'(2.2)_Forward_Price_Curve'!Y35</f>
        <v>6.5662441929534392</v>
      </c>
      <c r="Q41" s="28"/>
      <c r="S41" s="18">
        <f t="shared" si="4"/>
        <v>10171.434175491686</v>
      </c>
      <c r="U41" s="18">
        <f t="shared" si="0"/>
        <v>14271.649355542231</v>
      </c>
      <c r="W41" s="18">
        <f t="shared" si="5"/>
        <v>-4100.2151800505453</v>
      </c>
      <c r="Y41" s="271">
        <f t="shared" si="6"/>
        <v>-25.238461273617006</v>
      </c>
      <c r="Z41" s="235"/>
      <c r="AB41" s="146">
        <f>+IF(AB40&gt;$G$13+$G$14,XX,AB40+1)</f>
        <v>2021</v>
      </c>
      <c r="AC41" s="117"/>
      <c r="AD41" s="151">
        <f t="shared" si="1"/>
        <v>162459</v>
      </c>
      <c r="AF41" s="154">
        <f t="shared" si="13"/>
        <v>73.633556467483942</v>
      </c>
      <c r="AH41" s="154">
        <f t="shared" si="14"/>
        <v>10.381144724452248</v>
      </c>
      <c r="AJ41" s="154">
        <f t="shared" si="15"/>
        <v>2.9181973266865824</v>
      </c>
      <c r="AL41" s="153">
        <f t="shared" si="7"/>
        <v>3609.4390846073338</v>
      </c>
      <c r="AN41" s="154">
        <f>INDEX('(2.2)_Forward_Price_Curve'!$I:$I,MATCH($AB41,'(2.2)_Forward_Price_Curve'!$C:$C,0),1)</f>
        <v>10.286225465001079</v>
      </c>
      <c r="AP41" s="154">
        <f t="shared" si="8"/>
        <v>74.739933640504091</v>
      </c>
      <c r="AR41" s="154">
        <f t="shared" si="16"/>
        <v>3.0206907256724231</v>
      </c>
      <c r="AS41" s="154"/>
      <c r="AT41" s="153">
        <f t="shared" si="2"/>
        <v>1638.7360816375599</v>
      </c>
      <c r="AV41" s="153">
        <f t="shared" si="3"/>
        <v>12632.913273904671</v>
      </c>
      <c r="AW41" s="273"/>
      <c r="AX41" s="155">
        <f t="shared" si="9"/>
        <v>14271.649355542231</v>
      </c>
      <c r="AZ41" s="146">
        <f>+IF(AZ40&gt;$G$13+$G$14,XX,AZ40+1)</f>
        <v>2021</v>
      </c>
      <c r="BA41" s="117"/>
      <c r="BB41" s="154">
        <f t="shared" si="17"/>
        <v>49.616016338151525</v>
      </c>
      <c r="BD41" s="154">
        <f t="shared" si="18"/>
        <v>7.5437777034436131</v>
      </c>
      <c r="BF41" s="153">
        <f t="shared" si="10"/>
        <v>1970.7030029697739</v>
      </c>
      <c r="BH41" s="157"/>
    </row>
    <row r="42" spans="2:60" ht="12">
      <c r="B42" s="2"/>
      <c r="C42">
        <f>+IF(C41&gt;$G$13+$G$14,XX,C41+1)</f>
        <v>2022</v>
      </c>
      <c r="E42" s="169">
        <v>1.9E-2</v>
      </c>
      <c r="G42" s="18">
        <v>162459</v>
      </c>
      <c r="I42" s="28">
        <f t="shared" si="11"/>
        <v>0</v>
      </c>
      <c r="K42" s="28">
        <v>56.042993679320091</v>
      </c>
      <c r="M42" s="28">
        <f t="shared" si="12"/>
        <v>0</v>
      </c>
      <c r="O42" s="270">
        <f>'(2.2)_Forward_Price_Curve'!Y36</f>
        <v>6.6910028326195539</v>
      </c>
      <c r="Q42" s="28"/>
      <c r="S42" s="18">
        <f t="shared" si="4"/>
        <v>10191.702339333202</v>
      </c>
      <c r="U42" s="18">
        <f t="shared" si="0"/>
        <v>14543.078850116264</v>
      </c>
      <c r="W42" s="18">
        <f t="shared" si="5"/>
        <v>-4351.3765107830623</v>
      </c>
      <c r="Y42" s="271">
        <f t="shared" si="6"/>
        <v>-26.784459529992567</v>
      </c>
      <c r="Z42" s="235"/>
      <c r="AB42" s="146">
        <f>+IF(AB41&gt;$G$13+$G$14,XX,AB41+1)</f>
        <v>2022</v>
      </c>
      <c r="AC42" s="117"/>
      <c r="AD42" s="151">
        <f t="shared" si="1"/>
        <v>162459</v>
      </c>
      <c r="AF42" s="154">
        <f t="shared" si="13"/>
        <v>75.032594040366135</v>
      </c>
      <c r="AH42" s="154">
        <f t="shared" si="14"/>
        <v>10.57838647421684</v>
      </c>
      <c r="AJ42" s="154">
        <f t="shared" si="15"/>
        <v>2.973643075893627</v>
      </c>
      <c r="AL42" s="153">
        <f t="shared" si="7"/>
        <v>3678.018427214874</v>
      </c>
      <c r="AN42" s="154">
        <f>INDEX('(2.2)_Forward_Price_Curve'!$I:$I,MATCH($AB42,'(2.2)_Forward_Price_Curve'!$C:$C,0),1)</f>
        <v>10.481890917487915</v>
      </c>
      <c r="AP42" s="154">
        <f t="shared" si="8"/>
        <v>76.16164299194341</v>
      </c>
      <c r="AR42" s="154">
        <f t="shared" si="16"/>
        <v>3.078083849460199</v>
      </c>
      <c r="AS42" s="154"/>
      <c r="AT42" s="153">
        <f t="shared" si="2"/>
        <v>1669.8720671886747</v>
      </c>
      <c r="AV42" s="153">
        <f t="shared" si="3"/>
        <v>12873.206782927589</v>
      </c>
      <c r="AW42" s="273"/>
      <c r="AX42" s="155">
        <f t="shared" si="9"/>
        <v>14543.078850116264</v>
      </c>
      <c r="AZ42" s="146">
        <f>+IF(AZ41&gt;$G$13+$G$14,XX,AZ41+1)</f>
        <v>2022</v>
      </c>
      <c r="BA42" s="117"/>
      <c r="BB42" s="154">
        <f t="shared" si="17"/>
        <v>50.558720648576397</v>
      </c>
      <c r="BD42" s="154">
        <f t="shared" si="18"/>
        <v>7.6871094798090409</v>
      </c>
      <c r="BF42" s="153">
        <f t="shared" si="10"/>
        <v>2008.1463600261993</v>
      </c>
      <c r="BH42" s="157"/>
    </row>
    <row r="43" spans="2:60" ht="13.5" customHeight="1">
      <c r="B43" s="2"/>
      <c r="C43">
        <f>+IF(C42&gt;$G$13+$G$14,XX,C42+1)</f>
        <v>2023</v>
      </c>
      <c r="E43" s="169">
        <v>1.9E-2</v>
      </c>
      <c r="G43" s="18">
        <v>162459</v>
      </c>
      <c r="I43" s="28">
        <f t="shared" si="11"/>
        <v>0</v>
      </c>
      <c r="K43" s="28">
        <v>56.042993679320091</v>
      </c>
      <c r="M43" s="28">
        <f t="shared" si="12"/>
        <v>0</v>
      </c>
      <c r="O43" s="270">
        <f>'(2.2)_Forward_Price_Curve'!Y37</f>
        <v>6.8181318864393248</v>
      </c>
      <c r="Q43" s="28"/>
      <c r="S43" s="18">
        <f t="shared" ref="S43:S49" si="19">(I43*$G$11*1000+(K43+M43+O43+Q43)*G43)/1000</f>
        <v>10212.35559828771</v>
      </c>
      <c r="U43" s="18">
        <f t="shared" ref="U43:U49" si="20">AX43</f>
        <v>14817.61821465828</v>
      </c>
      <c r="W43" s="18">
        <f t="shared" ref="W43:W49" si="21">S43-U43</f>
        <v>-4605.26261637057</v>
      </c>
      <c r="Y43" s="271">
        <f t="shared" ref="Y43:Y49" si="22">+W43*1000/G43</f>
        <v>-28.347229863353647</v>
      </c>
      <c r="Z43" s="235"/>
      <c r="AB43" s="146">
        <f>+IF(AB42&gt;$G$13+$G$14,XX,AB42+1)</f>
        <v>2023</v>
      </c>
      <c r="AC43" s="117"/>
      <c r="AD43" s="151">
        <f t="shared" ref="AD43:AD49" si="23">G43</f>
        <v>162459</v>
      </c>
      <c r="AF43" s="154">
        <f t="shared" si="13"/>
        <v>76.45821332713308</v>
      </c>
      <c r="AH43" s="154">
        <f t="shared" si="14"/>
        <v>10.77937581722696</v>
      </c>
      <c r="AJ43" s="154">
        <f t="shared" si="15"/>
        <v>3.0301422943356058</v>
      </c>
      <c r="AL43" s="153">
        <f t="shared" ref="AL43:AL49" si="24">((AF43+AH43)*$AF$11*1000+AJ43*AD43)/1000</f>
        <v>3747.9007773319563</v>
      </c>
      <c r="AN43" s="154">
        <f>INDEX('(2.2)_Forward_Price_Curve'!$I:$I,MATCH($AB43,'(2.2)_Forward_Price_Curve'!$C:$C,0),1)</f>
        <v>10.679539654517416</v>
      </c>
      <c r="AP43" s="154">
        <f t="shared" ref="AP43:AP49" si="25">AN43*$AF$14/1000</f>
        <v>77.597762931174486</v>
      </c>
      <c r="AR43" s="154">
        <f t="shared" si="16"/>
        <v>3.1365674425999424</v>
      </c>
      <c r="AS43" s="154"/>
      <c r="AT43" s="153">
        <f t="shared" ref="AT43:AT49" si="26">AL43-BF43</f>
        <v>1701.5996364652592</v>
      </c>
      <c r="AV43" s="153">
        <f t="shared" ref="AV43:AV49" si="27">(AP43+AR43)*AD43/1000</f>
        <v>13116.018578193019</v>
      </c>
      <c r="AW43" s="273"/>
      <c r="AX43" s="155">
        <f t="shared" ref="AX43:AX49" si="28">AT43+AV43</f>
        <v>14817.61821465828</v>
      </c>
      <c r="AZ43" s="146">
        <f>+IF(AZ42&gt;$G$13+$G$14,XX,AZ42+1)</f>
        <v>2023</v>
      </c>
      <c r="BA43" s="117"/>
      <c r="BB43" s="154">
        <f t="shared" si="17"/>
        <v>51.519336340899343</v>
      </c>
      <c r="BD43" s="154">
        <f t="shared" si="18"/>
        <v>7.8331645599254118</v>
      </c>
      <c r="BF43" s="153">
        <f t="shared" ref="BF43:BF49" si="29">(BB43+BD43)*$BD$11</f>
        <v>2046.3011408666971</v>
      </c>
      <c r="BH43" s="157"/>
    </row>
    <row r="44" spans="2:60" ht="12">
      <c r="B44" s="2"/>
      <c r="C44">
        <f>+IF(C43&gt;$G$13+$G$14,XX,C43+1)</f>
        <v>2024</v>
      </c>
      <c r="E44" s="169">
        <v>1.9E-2</v>
      </c>
      <c r="G44" s="18">
        <v>163109</v>
      </c>
      <c r="I44" s="28">
        <f t="shared" si="11"/>
        <v>0</v>
      </c>
      <c r="K44" s="28">
        <v>56.042993679320091</v>
      </c>
      <c r="M44" s="28">
        <f t="shared" si="12"/>
        <v>0</v>
      </c>
      <c r="O44" s="270">
        <f>'(2.2)_Forward_Price_Curve'!Y38</f>
        <v>6.9476763922816716</v>
      </c>
      <c r="Q44" s="28"/>
      <c r="S44" s="18">
        <f t="shared" si="19"/>
        <v>10274.34520470889</v>
      </c>
      <c r="U44" s="18">
        <f t="shared" si="20"/>
        <v>15155.983502950461</v>
      </c>
      <c r="W44" s="18">
        <f t="shared" si="21"/>
        <v>-4881.6382982415707</v>
      </c>
      <c r="Y44" s="271">
        <f t="shared" si="22"/>
        <v>-29.928687553976609</v>
      </c>
      <c r="Z44" s="235"/>
      <c r="AB44" s="146">
        <f>+IF(AB43&gt;$G$13+$G$14,XX,AB43+1)</f>
        <v>2024</v>
      </c>
      <c r="AC44" s="117"/>
      <c r="AD44" s="151">
        <f t="shared" si="23"/>
        <v>163109</v>
      </c>
      <c r="AF44" s="154">
        <f t="shared" si="13"/>
        <v>77.910919380348602</v>
      </c>
      <c r="AH44" s="154">
        <f t="shared" si="14"/>
        <v>10.98418395775427</v>
      </c>
      <c r="AJ44" s="154">
        <f t="shared" si="15"/>
        <v>3.0877149979279821</v>
      </c>
      <c r="AL44" s="153">
        <f t="shared" si="24"/>
        <v>3821.1179068499159</v>
      </c>
      <c r="AN44" s="154">
        <f>INDEX('(2.2)_Forward_Price_Curve'!$I:$I,MATCH($AB44,'(2.2)_Forward_Price_Curve'!$C:$C,0),1)</f>
        <v>10.883589278444866</v>
      </c>
      <c r="AP44" s="154">
        <f t="shared" si="25"/>
        <v>79.080391851141073</v>
      </c>
      <c r="AR44" s="154">
        <f t="shared" si="16"/>
        <v>3.196162224009341</v>
      </c>
      <c r="AS44" s="154"/>
      <c r="AT44" s="153">
        <f t="shared" si="26"/>
        <v>1735.9370443067519</v>
      </c>
      <c r="AV44" s="153">
        <f t="shared" si="27"/>
        <v>13420.046458643708</v>
      </c>
      <c r="AW44" s="273"/>
      <c r="AX44" s="155">
        <f t="shared" si="28"/>
        <v>15155.983502950461</v>
      </c>
      <c r="AZ44" s="146">
        <f>+IF(AZ43&gt;$G$13+$G$14,XX,AZ43+1)</f>
        <v>2024</v>
      </c>
      <c r="BA44" s="117"/>
      <c r="BB44" s="154">
        <f t="shared" si="17"/>
        <v>52.498203731376428</v>
      </c>
      <c r="BD44" s="154">
        <f t="shared" si="18"/>
        <v>7.9819946865639944</v>
      </c>
      <c r="BF44" s="153">
        <f t="shared" si="29"/>
        <v>2085.180862543164</v>
      </c>
      <c r="BH44" s="157"/>
    </row>
    <row r="45" spans="2:60" ht="12">
      <c r="B45" s="2"/>
      <c r="C45">
        <f>+IF(C44&gt;$G$13+$G$14,XX,C44+1)</f>
        <v>2025</v>
      </c>
      <c r="E45" s="169">
        <v>1.9E-2</v>
      </c>
      <c r="G45" s="18">
        <v>162459</v>
      </c>
      <c r="I45" s="28">
        <f t="shared" si="11"/>
        <v>0</v>
      </c>
      <c r="K45" s="28">
        <v>56.042993679320091</v>
      </c>
      <c r="M45" s="28">
        <f t="shared" si="12"/>
        <v>0</v>
      </c>
      <c r="O45" s="270">
        <f>'(2.2)_Forward_Price_Curve'!Y39</f>
        <v>7.0796822437350224</v>
      </c>
      <c r="Q45" s="28"/>
      <c r="S45" s="18">
        <f t="shared" si="19"/>
        <v>10254.846807783611</v>
      </c>
      <c r="U45" s="18">
        <f t="shared" si="20"/>
        <v>15387.109448245379</v>
      </c>
      <c r="W45" s="18">
        <f t="shared" si="21"/>
        <v>-5132.2626404617677</v>
      </c>
      <c r="Y45" s="271">
        <f t="shared" si="22"/>
        <v>-31.59112539447964</v>
      </c>
      <c r="Z45" s="235"/>
      <c r="AB45" s="146">
        <f>+IF(AB44&gt;$G$13+$G$14,XX,AB44+1)</f>
        <v>2025</v>
      </c>
      <c r="AC45" s="117"/>
      <c r="AD45" s="151">
        <f t="shared" si="23"/>
        <v>162459</v>
      </c>
      <c r="AF45" s="154">
        <f t="shared" si="13"/>
        <v>79.391226848575215</v>
      </c>
      <c r="AH45" s="154">
        <f t="shared" si="14"/>
        <v>11.1928834529516</v>
      </c>
      <c r="AJ45" s="154">
        <f t="shared" si="15"/>
        <v>3.1463815828886132</v>
      </c>
      <c r="AL45" s="153">
        <f t="shared" si="24"/>
        <v>3891.6739990511865</v>
      </c>
      <c r="AN45" s="154">
        <f>INDEX('(2.2)_Forward_Price_Curve'!$I:$I,MATCH($AB45,'(2.2)_Forward_Price_Curve'!$C:$C,0),1)</f>
        <v>11.090126110825569</v>
      </c>
      <c r="AP45" s="154">
        <f t="shared" si="25"/>
        <v>80.581092880782762</v>
      </c>
      <c r="AR45" s="154">
        <f t="shared" si="16"/>
        <v>3.2568893062655184</v>
      </c>
      <c r="AS45" s="154"/>
      <c r="AT45" s="153">
        <f t="shared" si="26"/>
        <v>1766.8747001197025</v>
      </c>
      <c r="AV45" s="153">
        <f t="shared" si="27"/>
        <v>13620.234748125677</v>
      </c>
      <c r="AW45" s="273"/>
      <c r="AX45" s="155">
        <f t="shared" si="28"/>
        <v>15387.109448245379</v>
      </c>
      <c r="AZ45" s="146">
        <f>+IF(AZ44&gt;$G$13+$G$14,XX,AZ44+1)</f>
        <v>2025</v>
      </c>
      <c r="BA45" s="117"/>
      <c r="BB45" s="154">
        <f t="shared" si="17"/>
        <v>53.495669602272578</v>
      </c>
      <c r="BD45" s="154">
        <f t="shared" si="18"/>
        <v>8.1336525856087096</v>
      </c>
      <c r="BF45" s="153">
        <f t="shared" si="29"/>
        <v>2124.7992989314839</v>
      </c>
      <c r="BH45" s="157"/>
    </row>
    <row r="46" spans="2:60" ht="12">
      <c r="B46" s="2"/>
      <c r="C46">
        <f>+IF(C45&gt;$G$13+$G$14,XX,C45+1)</f>
        <v>2026</v>
      </c>
      <c r="E46" s="169">
        <v>1.9E-2</v>
      </c>
      <c r="G46" s="18">
        <v>162459</v>
      </c>
      <c r="I46" s="28">
        <f t="shared" si="11"/>
        <v>0</v>
      </c>
      <c r="K46" s="28">
        <v>56.042993679320091</v>
      </c>
      <c r="M46" s="28">
        <f t="shared" si="12"/>
        <v>0</v>
      </c>
      <c r="O46" s="270">
        <f>'(2.2)_Forward_Price_Curve'!Y40</f>
        <v>7.2141962063659868</v>
      </c>
      <c r="Q46" s="28"/>
      <c r="S46" s="18">
        <f t="shared" si="19"/>
        <v>10276.699811638673</v>
      </c>
      <c r="U46" s="18">
        <f t="shared" si="20"/>
        <v>15677.431090314036</v>
      </c>
      <c r="W46" s="18">
        <f t="shared" si="21"/>
        <v>-5400.7312786753628</v>
      </c>
      <c r="Y46" s="271">
        <f t="shared" si="22"/>
        <v>-33.243657037624033</v>
      </c>
      <c r="Z46" s="235"/>
      <c r="AB46" s="146">
        <f>+IF(AB45&gt;$G$13+$G$14,XX,AB45+1)</f>
        <v>2026</v>
      </c>
      <c r="AC46" s="117"/>
      <c r="AD46" s="151">
        <f t="shared" si="23"/>
        <v>162459</v>
      </c>
      <c r="AF46" s="154">
        <f t="shared" si="13"/>
        <v>80.89966015869814</v>
      </c>
      <c r="AH46" s="154">
        <f t="shared" si="14"/>
        <v>11.40554823855768</v>
      </c>
      <c r="AJ46" s="154">
        <f t="shared" si="15"/>
        <v>3.2061628329634968</v>
      </c>
      <c r="AL46" s="153">
        <f t="shared" si="24"/>
        <v>3965.6158050331587</v>
      </c>
      <c r="AN46" s="154">
        <f>INDEX('(2.2)_Forward_Price_Curve'!$I:$I,MATCH($AB46,'(2.2)_Forward_Price_Curve'!$C:$C,0),1)</f>
        <v>11.299115883408938</v>
      </c>
      <c r="AP46" s="154">
        <f t="shared" si="25"/>
        <v>82.099617026259821</v>
      </c>
      <c r="AR46" s="154">
        <f t="shared" si="16"/>
        <v>3.3187702030845632</v>
      </c>
      <c r="AS46" s="154"/>
      <c r="AT46" s="153">
        <f t="shared" si="26"/>
        <v>1800.4453194219764</v>
      </c>
      <c r="AV46" s="153">
        <f t="shared" si="27"/>
        <v>13876.985770892059</v>
      </c>
      <c r="AW46" s="273"/>
      <c r="AX46" s="155">
        <f t="shared" si="28"/>
        <v>15677.431090314036</v>
      </c>
      <c r="AZ46" s="146">
        <f>+IF(AZ45&gt;$G$13+$G$14,XX,AZ45+1)</f>
        <v>2026</v>
      </c>
      <c r="BA46" s="117"/>
      <c r="BB46" s="154">
        <f t="shared" si="17"/>
        <v>54.51208732471575</v>
      </c>
      <c r="BD46" s="154">
        <f t="shared" si="18"/>
        <v>8.2881919847352741</v>
      </c>
      <c r="BF46" s="153">
        <f t="shared" si="29"/>
        <v>2165.1704856111824</v>
      </c>
      <c r="BH46" s="157"/>
    </row>
    <row r="47" spans="2:60" ht="12">
      <c r="B47" s="2"/>
      <c r="C47">
        <f>+IF(C46&gt;$G$13+$G$14,XX,C46+1)</f>
        <v>2027</v>
      </c>
      <c r="E47" s="169">
        <v>1.9E-2</v>
      </c>
      <c r="G47" s="18">
        <v>162459</v>
      </c>
      <c r="I47" s="28">
        <f t="shared" si="11"/>
        <v>0</v>
      </c>
      <c r="K47" s="28">
        <v>56.042993679320091</v>
      </c>
      <c r="M47" s="28">
        <f t="shared" si="12"/>
        <v>0</v>
      </c>
      <c r="O47" s="270">
        <f>'(2.2)_Forward_Price_Curve'!Y41</f>
        <v>7.35126593428694</v>
      </c>
      <c r="Q47" s="28"/>
      <c r="S47" s="18">
        <f t="shared" si="19"/>
        <v>10298.968022566985</v>
      </c>
      <c r="U47" s="18">
        <f t="shared" si="20"/>
        <v>15973.912324507997</v>
      </c>
      <c r="W47" s="18">
        <f t="shared" si="21"/>
        <v>-5674.9443019410119</v>
      </c>
      <c r="Y47" s="271">
        <f t="shared" si="22"/>
        <v>-34.931547663970676</v>
      </c>
      <c r="Z47" s="235"/>
      <c r="AB47" s="146">
        <f>+IF(AB46&gt;$G$13+$G$14,XX,AB46+1)</f>
        <v>2027</v>
      </c>
      <c r="AC47" s="117"/>
      <c r="AD47" s="151">
        <f t="shared" si="23"/>
        <v>162459</v>
      </c>
      <c r="AF47" s="154">
        <f t="shared" si="13"/>
        <v>82.4367537017134</v>
      </c>
      <c r="AH47" s="154">
        <f t="shared" si="14"/>
        <v>11.622253655090274</v>
      </c>
      <c r="AJ47" s="154">
        <f t="shared" si="15"/>
        <v>3.267079926789803</v>
      </c>
      <c r="AL47" s="153">
        <f t="shared" si="24"/>
        <v>4040.9625053287882</v>
      </c>
      <c r="AN47" s="154">
        <f>INDEX('(2.2)_Forward_Price_Curve'!$I:$I,MATCH($AB47,'(2.2)_Forward_Price_Curve'!$C:$C,0),1)</f>
        <v>11.51262158558478</v>
      </c>
      <c r="AP47" s="154">
        <f t="shared" si="25"/>
        <v>83.650954012483467</v>
      </c>
      <c r="AR47" s="154">
        <f t="shared" si="16"/>
        <v>3.3818268369431697</v>
      </c>
      <c r="AS47" s="154"/>
      <c r="AT47" s="153">
        <f t="shared" si="26"/>
        <v>1834.6537804909935</v>
      </c>
      <c r="AV47" s="153">
        <f t="shared" si="27"/>
        <v>14139.258544017004</v>
      </c>
      <c r="AW47" s="273"/>
      <c r="AX47" s="155">
        <f t="shared" si="28"/>
        <v>15973.912324507997</v>
      </c>
      <c r="AZ47" s="146">
        <f>+IF(AZ46&gt;$G$13+$G$14,XX,AZ46+1)</f>
        <v>2027</v>
      </c>
      <c r="BA47" s="117"/>
      <c r="BB47" s="154">
        <f t="shared" si="17"/>
        <v>55.547816983885347</v>
      </c>
      <c r="BD47" s="154">
        <f t="shared" si="18"/>
        <v>8.4456676324452431</v>
      </c>
      <c r="BF47" s="153">
        <f t="shared" si="29"/>
        <v>2206.3087248377947</v>
      </c>
      <c r="BH47" s="157"/>
    </row>
    <row r="48" spans="2:60" ht="12">
      <c r="B48" s="2"/>
      <c r="C48">
        <f>+IF(C47&gt;$G$13+$G$14,XX,C47+1)</f>
        <v>2028</v>
      </c>
      <c r="E48" s="169">
        <v>1.9E-2</v>
      </c>
      <c r="G48" s="18">
        <v>163109</v>
      </c>
      <c r="I48" s="28">
        <f t="shared" si="11"/>
        <v>0</v>
      </c>
      <c r="K48" s="28">
        <v>56.042993679320091</v>
      </c>
      <c r="M48" s="28">
        <f t="shared" si="12"/>
        <v>0</v>
      </c>
      <c r="O48" s="270">
        <f>'(2.2)_Forward_Price_Curve'!Y42</f>
        <v>7.4909399870383915</v>
      </c>
      <c r="Q48" s="28"/>
      <c r="S48" s="18">
        <f t="shared" si="19"/>
        <v>10362.956386386064</v>
      </c>
      <c r="U48" s="18">
        <f t="shared" si="20"/>
        <v>16339.448258411479</v>
      </c>
      <c r="W48" s="18">
        <f t="shared" si="21"/>
        <v>-5976.4918720254154</v>
      </c>
      <c r="Y48" s="271">
        <f t="shared" si="22"/>
        <v>-36.641091981591543</v>
      </c>
      <c r="Z48" s="235"/>
      <c r="AB48" s="146">
        <f>+IF(AB47&gt;$G$13+$G$14,XX,AB47+1)</f>
        <v>2028</v>
      </c>
      <c r="AC48" s="117"/>
      <c r="AD48" s="151">
        <f t="shared" si="23"/>
        <v>163109</v>
      </c>
      <c r="AF48" s="154">
        <f t="shared" si="13"/>
        <v>84.003052022045949</v>
      </c>
      <c r="AH48" s="154">
        <f t="shared" si="14"/>
        <v>11.843076474536989</v>
      </c>
      <c r="AJ48" s="154">
        <f t="shared" si="15"/>
        <v>3.3291544453988089</v>
      </c>
      <c r="AL48" s="153">
        <f t="shared" si="24"/>
        <v>4119.9047433195437</v>
      </c>
      <c r="AN48" s="154">
        <f>INDEX('(2.2)_Forward_Price_Curve'!$I:$I,MATCH($AB48,'(2.2)_Forward_Price_Curve'!$C:$C,0),1)</f>
        <v>11.7332358254813</v>
      </c>
      <c r="AP48" s="154">
        <f t="shared" si="25"/>
        <v>85.253941785415222</v>
      </c>
      <c r="AR48" s="154">
        <f t="shared" si="16"/>
        <v>3.4460815468450896</v>
      </c>
      <c r="AS48" s="154"/>
      <c r="AT48" s="153">
        <f t="shared" si="26"/>
        <v>1871.6761527098311</v>
      </c>
      <c r="AV48" s="153">
        <f t="shared" si="27"/>
        <v>14467.772105701648</v>
      </c>
      <c r="AW48" s="273"/>
      <c r="AX48" s="155">
        <f t="shared" si="28"/>
        <v>16339.448258411479</v>
      </c>
      <c r="AZ48" s="146">
        <f>+IF(AZ47&gt;$G$13+$G$14,XX,AZ47+1)</f>
        <v>2028</v>
      </c>
      <c r="BA48" s="117"/>
      <c r="BB48" s="154">
        <f t="shared" si="17"/>
        <v>56.603225506579165</v>
      </c>
      <c r="BD48" s="154">
        <f t="shared" si="18"/>
        <v>8.6061353174617015</v>
      </c>
      <c r="BF48" s="153">
        <f t="shared" si="29"/>
        <v>2248.2285906097127</v>
      </c>
      <c r="BH48" s="157"/>
    </row>
    <row r="49" spans="2:60" ht="12">
      <c r="B49" s="2"/>
      <c r="C49">
        <f>+IF(C48&gt;$G$13+$G$14,XX,C48+1)</f>
        <v>2029</v>
      </c>
      <c r="E49" s="169">
        <v>0.02</v>
      </c>
      <c r="G49" s="18">
        <v>162459</v>
      </c>
      <c r="I49" s="28">
        <f t="shared" si="11"/>
        <v>0</v>
      </c>
      <c r="K49" s="28">
        <v>56.042993679320091</v>
      </c>
      <c r="M49" s="28">
        <f t="shared" si="12"/>
        <v>0</v>
      </c>
      <c r="O49" s="270">
        <f>'(2.2)_Forward_Price_Curve'!Y43</f>
        <v>7.63326784679212</v>
      </c>
      <c r="Q49" s="28"/>
      <c r="S49" s="18">
        <f t="shared" si="19"/>
        <v>10344.781771270664</v>
      </c>
      <c r="U49" s="18">
        <f t="shared" si="20"/>
        <v>16587.560448616125</v>
      </c>
      <c r="W49" s="18">
        <f t="shared" si="21"/>
        <v>-6242.7786773454609</v>
      </c>
      <c r="Y49" s="271">
        <f t="shared" si="22"/>
        <v>-38.426794928846427</v>
      </c>
      <c r="Z49" s="235"/>
      <c r="AB49" s="146">
        <f>+IF(AB48&gt;$G$13+$G$14,XX,AB48+1)</f>
        <v>2029</v>
      </c>
      <c r="AC49" s="117"/>
      <c r="AD49" s="151">
        <f t="shared" si="23"/>
        <v>162459</v>
      </c>
      <c r="AF49" s="154">
        <f t="shared" si="13"/>
        <v>85.683113062486868</v>
      </c>
      <c r="AH49" s="154">
        <f t="shared" si="14"/>
        <v>12.07993800402773</v>
      </c>
      <c r="AJ49" s="154">
        <f t="shared" si="15"/>
        <v>3.395737534306785</v>
      </c>
      <c r="AL49" s="153">
        <f t="shared" si="24"/>
        <v>4200.0956087886352</v>
      </c>
      <c r="AN49" s="154">
        <f>INDEX('(2.2)_Forward_Price_Curve'!$I:$I,MATCH($AB49,'(2.2)_Forward_Price_Curve'!$C:$C,0),1)</f>
        <v>11.952938687642925</v>
      </c>
      <c r="AP49" s="154">
        <f t="shared" si="25"/>
        <v>86.850307468284981</v>
      </c>
      <c r="AR49" s="154">
        <f t="shared" si="16"/>
        <v>3.5150031777819915</v>
      </c>
      <c r="AS49" s="154"/>
      <c r="AT49" s="153">
        <f t="shared" si="26"/>
        <v>1906.9024463667288</v>
      </c>
      <c r="AV49" s="153">
        <f t="shared" si="27"/>
        <v>14680.658002249394</v>
      </c>
      <c r="AW49" s="273"/>
      <c r="AX49" s="155">
        <f t="shared" si="28"/>
        <v>16587.560448616125</v>
      </c>
      <c r="AZ49" s="146">
        <f>+IF(AZ48&gt;$G$13+$G$14,XX,AZ48+1)</f>
        <v>2029</v>
      </c>
      <c r="BA49" s="117"/>
      <c r="BB49" s="154">
        <f t="shared" si="17"/>
        <v>57.735290016710749</v>
      </c>
      <c r="BD49" s="154">
        <f t="shared" si="18"/>
        <v>8.7782580238109365</v>
      </c>
      <c r="BF49" s="153">
        <f t="shared" si="29"/>
        <v>2293.1931624219064</v>
      </c>
      <c r="BH49" s="157"/>
    </row>
    <row r="50" spans="2:60" ht="12">
      <c r="B50" s="2"/>
      <c r="C50">
        <f>+IF(C49&gt;$G$13+$G$14,XX,C49+1)</f>
        <v>2030</v>
      </c>
      <c r="E50" s="169">
        <v>1.9E-2</v>
      </c>
      <c r="G50" s="18">
        <v>162459</v>
      </c>
      <c r="I50" s="28">
        <f t="shared" si="11"/>
        <v>0</v>
      </c>
      <c r="K50" s="28">
        <v>56.042993679320091</v>
      </c>
      <c r="M50" s="28">
        <f t="shared" si="12"/>
        <v>0</v>
      </c>
      <c r="O50" s="270">
        <f>'(2.2)_Forward_Price_Curve'!Y44</f>
        <v>7.7859332037279625</v>
      </c>
      <c r="Q50" s="28"/>
      <c r="S50" s="18">
        <f t="shared" si="4"/>
        <v>10369.583632493104</v>
      </c>
      <c r="U50" s="18">
        <f t="shared" si="0"/>
        <v>14817.61821465828</v>
      </c>
      <c r="W50" s="18">
        <f t="shared" si="5"/>
        <v>-4448.0345821651754</v>
      </c>
      <c r="Y50" s="271">
        <f t="shared" si="6"/>
        <v>-27.379428546065007</v>
      </c>
      <c r="Z50" s="235"/>
      <c r="AB50" s="146">
        <f>+IF(AB42&gt;$G$13+$G$14,XX,AB42+1)</f>
        <v>2023</v>
      </c>
      <c r="AC50" s="117"/>
      <c r="AD50" s="151">
        <f t="shared" si="1"/>
        <v>162459</v>
      </c>
      <c r="AF50" s="154">
        <f>AF42*(1+$E50)</f>
        <v>76.45821332713308</v>
      </c>
      <c r="AH50" s="154">
        <f>AH42*(1+$E50)</f>
        <v>10.77937581722696</v>
      </c>
      <c r="AJ50" s="154">
        <f>AJ42*(1+$E50)</f>
        <v>3.0301422943356058</v>
      </c>
      <c r="AL50" s="153">
        <f t="shared" si="7"/>
        <v>3747.9007773319563</v>
      </c>
      <c r="AN50" s="154">
        <f>INDEX('(2.2)_Forward_Price_Curve'!$I:$I,MATCH($AB50,'(2.2)_Forward_Price_Curve'!$C:$C,0),1)</f>
        <v>10.679539654517416</v>
      </c>
      <c r="AP50" s="154">
        <f t="shared" si="8"/>
        <v>77.597762931174486</v>
      </c>
      <c r="AR50" s="154">
        <f>AR42*(1+$E50)</f>
        <v>3.1365674425999424</v>
      </c>
      <c r="AS50" s="154"/>
      <c r="AT50" s="153">
        <f t="shared" si="2"/>
        <v>1701.5996364652592</v>
      </c>
      <c r="AV50" s="153">
        <f t="shared" si="3"/>
        <v>13116.018578193019</v>
      </c>
      <c r="AW50" s="273"/>
      <c r="AX50" s="155">
        <f t="shared" si="9"/>
        <v>14817.61821465828</v>
      </c>
      <c r="AZ50" s="146">
        <f>+IF(AZ42&gt;$G$13+$G$14,XX,AZ42+1)</f>
        <v>2023</v>
      </c>
      <c r="BA50" s="117"/>
      <c r="BB50" s="154">
        <f>BB42*(1+$E50)</f>
        <v>51.519336340899343</v>
      </c>
      <c r="BD50" s="154">
        <f>BD42*(1+$E50)</f>
        <v>7.8331645599254118</v>
      </c>
      <c r="BF50" s="153">
        <f t="shared" si="10"/>
        <v>2046.3011408666971</v>
      </c>
      <c r="BH50" s="157"/>
    </row>
    <row r="51" spans="2:60" ht="13.5" customHeight="1">
      <c r="B51" s="2"/>
      <c r="C51">
        <f>+IF(C50&gt;$G$13+$G$14,XX,C50+1)</f>
        <v>2031</v>
      </c>
      <c r="E51" s="169">
        <v>1.9E-2</v>
      </c>
      <c r="G51" s="18">
        <v>162459</v>
      </c>
      <c r="I51" s="28">
        <f t="shared" si="11"/>
        <v>0</v>
      </c>
      <c r="K51" s="28">
        <v>56.042993679320091</v>
      </c>
      <c r="M51" s="28">
        <f t="shared" si="12"/>
        <v>0</v>
      </c>
      <c r="O51" s="270">
        <f>'(2.2)_Forward_Price_Curve'!Y45</f>
        <v>7.9416518678025216</v>
      </c>
      <c r="Q51" s="28"/>
      <c r="S51" s="18">
        <f t="shared" si="4"/>
        <v>10394.881530939992</v>
      </c>
      <c r="U51" s="18">
        <f t="shared" si="0"/>
        <v>15100.49672805296</v>
      </c>
      <c r="W51" s="18">
        <f t="shared" si="5"/>
        <v>-4705.6151971129675</v>
      </c>
      <c r="Y51" s="271">
        <f t="shared" si="6"/>
        <v>-28.964940059417867</v>
      </c>
      <c r="Z51" s="235"/>
      <c r="AB51" s="146">
        <f>+IF(AB50&gt;$G$13+$G$14,XX,AB50+1)</f>
        <v>2024</v>
      </c>
      <c r="AC51" s="117"/>
      <c r="AD51" s="151">
        <f t="shared" si="1"/>
        <v>162459</v>
      </c>
      <c r="AF51" s="154">
        <f t="shared" si="13"/>
        <v>77.910919380348602</v>
      </c>
      <c r="AH51" s="154">
        <f t="shared" si="14"/>
        <v>10.98418395775427</v>
      </c>
      <c r="AJ51" s="154">
        <f t="shared" si="15"/>
        <v>3.0877149979279821</v>
      </c>
      <c r="AL51" s="153">
        <f t="shared" si="7"/>
        <v>3819.1108921012628</v>
      </c>
      <c r="AN51" s="154">
        <f>INDEX('(2.2)_Forward_Price_Curve'!$I:$I,MATCH($AB51,'(2.2)_Forward_Price_Curve'!$C:$C,0),1)</f>
        <v>10.883589278444866</v>
      </c>
      <c r="AP51" s="154">
        <f t="shared" si="8"/>
        <v>79.080391851141073</v>
      </c>
      <c r="AR51" s="154">
        <f t="shared" si="16"/>
        <v>3.196162224009341</v>
      </c>
      <c r="AS51" s="154"/>
      <c r="AT51" s="153">
        <f t="shared" si="2"/>
        <v>1733.9300295580988</v>
      </c>
      <c r="AV51" s="153">
        <f t="shared" si="3"/>
        <v>13366.56669849486</v>
      </c>
      <c r="AW51" s="273"/>
      <c r="AX51" s="155">
        <f t="shared" si="9"/>
        <v>15100.49672805296</v>
      </c>
      <c r="AZ51" s="146">
        <f>+IF(AZ50&gt;$G$13+$G$14,XX,AZ50+1)</f>
        <v>2024</v>
      </c>
      <c r="BA51" s="117"/>
      <c r="BB51" s="154">
        <f t="shared" si="17"/>
        <v>52.498203731376428</v>
      </c>
      <c r="BD51" s="154">
        <f t="shared" si="18"/>
        <v>7.9819946865639944</v>
      </c>
      <c r="BF51" s="153">
        <f t="shared" si="10"/>
        <v>2085.180862543164</v>
      </c>
      <c r="BH51" s="157"/>
    </row>
    <row r="52" spans="2:60" ht="12">
      <c r="B52" s="2"/>
      <c r="C52">
        <f>+IF(C51&gt;$G$13+$G$14,XX,C51+1)</f>
        <v>2032</v>
      </c>
      <c r="E52" s="169">
        <v>1.9E-2</v>
      </c>
      <c r="G52" s="18">
        <v>163109</v>
      </c>
      <c r="I52" s="28">
        <f t="shared" si="11"/>
        <v>0</v>
      </c>
      <c r="K52" s="28">
        <v>56.042993679320091</v>
      </c>
      <c r="M52" s="28">
        <f t="shared" si="12"/>
        <v>0</v>
      </c>
      <c r="O52" s="270">
        <f>'(2.2)_Forward_Price_Curve'!Y46</f>
        <v>8.1084265570263732</v>
      </c>
      <c r="Q52" s="28"/>
      <c r="S52" s="18">
        <f t="shared" si="4"/>
        <v>10463.674003330236</v>
      </c>
      <c r="U52" s="18">
        <f t="shared" si="0"/>
        <v>15443.649284695839</v>
      </c>
      <c r="W52" s="18">
        <f t="shared" si="5"/>
        <v>-4979.9752813656032</v>
      </c>
      <c r="Y52" s="271">
        <f t="shared" si="6"/>
        <v>-30.531578768587895</v>
      </c>
      <c r="Z52" s="235"/>
      <c r="AB52" s="146">
        <f>+IF(AB51&gt;$G$13+$G$14,XX,AB51+1)</f>
        <v>2025</v>
      </c>
      <c r="AC52" s="117"/>
      <c r="AD52" s="151">
        <f t="shared" si="1"/>
        <v>163109</v>
      </c>
      <c r="AF52" s="154">
        <f t="shared" si="13"/>
        <v>79.391226848575215</v>
      </c>
      <c r="AH52" s="154">
        <f t="shared" si="14"/>
        <v>11.1928834529516</v>
      </c>
      <c r="AJ52" s="154">
        <f t="shared" si="15"/>
        <v>3.1463815828886132</v>
      </c>
      <c r="AL52" s="153">
        <f t="shared" si="7"/>
        <v>3893.719147080064</v>
      </c>
      <c r="AN52" s="154">
        <f>INDEX('(2.2)_Forward_Price_Curve'!$I:$I,MATCH($AB52,'(2.2)_Forward_Price_Curve'!$C:$C,0),1)</f>
        <v>11.090126110825569</v>
      </c>
      <c r="AP52" s="154">
        <f t="shared" si="8"/>
        <v>80.581092880782762</v>
      </c>
      <c r="AR52" s="154">
        <f t="shared" si="16"/>
        <v>3.2568893062655184</v>
      </c>
      <c r="AS52" s="154"/>
      <c r="AT52" s="153">
        <f t="shared" si="2"/>
        <v>1768.9198481485801</v>
      </c>
      <c r="AV52" s="153">
        <f t="shared" si="3"/>
        <v>13674.729436547259</v>
      </c>
      <c r="AW52" s="273"/>
      <c r="AX52" s="155">
        <f t="shared" si="9"/>
        <v>15443.649284695839</v>
      </c>
      <c r="AZ52" s="146">
        <f>+IF(AZ51&gt;$G$13+$G$14,XX,AZ51+1)</f>
        <v>2025</v>
      </c>
      <c r="BA52" s="117"/>
      <c r="BB52" s="154">
        <f t="shared" si="17"/>
        <v>53.495669602272578</v>
      </c>
      <c r="BD52" s="154">
        <f t="shared" si="18"/>
        <v>8.1336525856087096</v>
      </c>
      <c r="BF52" s="153">
        <f t="shared" si="10"/>
        <v>2124.7992989314839</v>
      </c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 ht="12">
      <c r="B57" s="2"/>
      <c r="E57" s="169"/>
      <c r="G57" s="18"/>
      <c r="I57" s="28"/>
      <c r="K57" s="28"/>
      <c r="M57" s="28"/>
      <c r="O57" s="270"/>
      <c r="Q57" s="28"/>
      <c r="S57" s="18"/>
      <c r="U57" s="18"/>
      <c r="W57" s="18"/>
      <c r="Y57" s="271"/>
      <c r="Z57" s="235"/>
      <c r="AB57" s="146"/>
      <c r="AC57" s="117"/>
      <c r="AD57" s="151"/>
      <c r="AF57" s="154"/>
      <c r="AH57" s="154"/>
      <c r="AJ57" s="154"/>
      <c r="AL57" s="153"/>
      <c r="AN57" s="154"/>
      <c r="AP57" s="154"/>
      <c r="AR57" s="154"/>
      <c r="AS57" s="154"/>
      <c r="AT57" s="153"/>
      <c r="AV57" s="153"/>
      <c r="AW57" s="273"/>
      <c r="AX57" s="155"/>
      <c r="AZ57" s="146"/>
      <c r="BA57" s="117"/>
      <c r="BB57" s="154"/>
      <c r="BD57" s="154"/>
      <c r="BF57" s="153"/>
      <c r="BH57" s="157"/>
    </row>
    <row r="58" spans="2:60" ht="12">
      <c r="B58" s="2"/>
      <c r="E58" s="169"/>
      <c r="G58" s="18"/>
      <c r="I58" s="28"/>
      <c r="K58" s="28"/>
      <c r="M58" s="28"/>
      <c r="O58" s="270"/>
      <c r="Q58" s="28"/>
      <c r="S58" s="18"/>
      <c r="U58" s="18"/>
      <c r="W58" s="18"/>
      <c r="Y58" s="271"/>
      <c r="Z58" s="235"/>
      <c r="AB58" s="146"/>
      <c r="AC58" s="117"/>
      <c r="AD58" s="151"/>
      <c r="AF58" s="154"/>
      <c r="AH58" s="154"/>
      <c r="AJ58" s="154"/>
      <c r="AL58" s="153"/>
      <c r="AN58" s="154"/>
      <c r="AP58" s="154"/>
      <c r="AR58" s="154"/>
      <c r="AS58" s="154"/>
      <c r="AT58" s="153"/>
      <c r="AV58" s="153"/>
      <c r="AW58" s="273"/>
      <c r="AX58" s="155"/>
      <c r="AZ58" s="146"/>
      <c r="BA58" s="117"/>
      <c r="BB58" s="154"/>
      <c r="BD58" s="154"/>
      <c r="BF58" s="153"/>
      <c r="BH58" s="157"/>
    </row>
    <row r="59" spans="2:60" ht="12">
      <c r="B59" s="2"/>
      <c r="E59" s="169"/>
      <c r="G59" s="18"/>
      <c r="I59" s="28"/>
      <c r="K59" s="28"/>
      <c r="M59" s="28"/>
      <c r="O59" s="270"/>
      <c r="Q59" s="28"/>
      <c r="S59" s="18"/>
      <c r="U59" s="18"/>
      <c r="W59" s="18"/>
      <c r="Y59" s="271"/>
      <c r="Z59" s="235"/>
      <c r="AB59" s="146"/>
      <c r="AC59" s="117"/>
      <c r="AD59" s="151"/>
      <c r="AF59" s="154"/>
      <c r="AH59" s="154"/>
      <c r="AJ59" s="154"/>
      <c r="AL59" s="153"/>
      <c r="AN59" s="154"/>
      <c r="AP59" s="154"/>
      <c r="AR59" s="154"/>
      <c r="AS59" s="154"/>
      <c r="AT59" s="153"/>
      <c r="AV59" s="153"/>
      <c r="AW59" s="273"/>
      <c r="AX59" s="155"/>
      <c r="AZ59" s="146"/>
      <c r="BA59" s="117"/>
      <c r="BB59" s="154"/>
      <c r="BD59" s="154"/>
      <c r="BF59" s="153"/>
      <c r="BH59" s="157"/>
    </row>
    <row r="60" spans="2:60">
      <c r="B60" s="2"/>
      <c r="E60" s="169"/>
      <c r="G60" s="267"/>
      <c r="I60" s="267"/>
      <c r="K60" s="267"/>
      <c r="M60" s="267"/>
      <c r="O60" s="267"/>
      <c r="Q60" s="267"/>
      <c r="S60" s="267"/>
      <c r="U60" s="267"/>
      <c r="W60" s="267"/>
      <c r="Y60" s="267"/>
      <c r="Z60" s="235"/>
      <c r="AB60" s="2"/>
      <c r="AF60" s="274"/>
      <c r="AH60" s="274"/>
      <c r="AJ60" s="274"/>
      <c r="AL60" s="273"/>
      <c r="AN60" s="274"/>
      <c r="AP60" s="274"/>
      <c r="AR60" s="274"/>
      <c r="AS60" s="274"/>
      <c r="AT60" s="274"/>
      <c r="AV60" s="273"/>
      <c r="AW60" s="273"/>
      <c r="AX60" s="275"/>
      <c r="AZ60" s="2"/>
      <c r="BB60" s="274"/>
      <c r="BF60" s="273"/>
      <c r="BH60" s="235"/>
    </row>
    <row r="61" spans="2:60" ht="12">
      <c r="B61" s="2"/>
      <c r="C61" s="276" t="str">
        <f>G14&amp;"-year Nominal Levelized at "&amp;TEXT($G$18,"#.00%")</f>
        <v>25-year Nominal Levelized at 7.20%</v>
      </c>
      <c r="E61" s="169"/>
      <c r="G61" s="285">
        <f>+-PMT($G$18,$G$14,NPV($G$18,G28:G59))</f>
        <v>160595.58819863439</v>
      </c>
      <c r="I61" s="28">
        <f>+-PMT($G$18,$G$14,NPV($G$18,I28:I59))</f>
        <v>0</v>
      </c>
      <c r="J61" s="28"/>
      <c r="K61" s="28">
        <f>+-PMT($G$18,$G$14,NPV($G$18,K28:K59))</f>
        <v>55.79955394353015</v>
      </c>
      <c r="M61" s="28">
        <f>+-PMT($G$18,$G$14,NPV($G$18,M28:M59))</f>
        <v>0</v>
      </c>
      <c r="O61" s="28">
        <f>+-PMT($G$18,$G$14,NPV($G$18,O28:O59))</f>
        <v>6.1141265833661533</v>
      </c>
      <c r="Q61" s="28">
        <f>+-PMT($G$18,$G$14,NPV($G$18,Q28:Q59))</f>
        <v>0</v>
      </c>
      <c r="S61" s="18">
        <f>+-PMT($G$18,$G$14,NPV($G$18,S28:S59))</f>
        <v>9950.4655594777869</v>
      </c>
      <c r="U61" s="18">
        <f>+-PMT($G$18,$G$14,NPV($G$18,U28:U59))</f>
        <v>12085.736136931313</v>
      </c>
      <c r="W61" s="285">
        <f>+-PMT($G$18,$G$14,NPV($G$18,W28:W59))</f>
        <v>-2135.2705774535248</v>
      </c>
      <c r="Y61" s="271">
        <f>+W61/G61*1000</f>
        <v>-13.295947923628464</v>
      </c>
      <c r="Z61" s="235"/>
      <c r="AB61" s="2"/>
      <c r="AD61" s="151">
        <f>+-PMT($G$18,$G$14,NPV($G$18,AD28:AD59))</f>
        <v>160595.58819863439</v>
      </c>
      <c r="AF61" s="154">
        <f>+-PMT($G$18,$G$14,NPV($G$18,AF28:AF59))</f>
        <v>68.012738231101409</v>
      </c>
      <c r="AH61" s="154">
        <f>+-PMT($G$18,$G$14,NPV($G$18,AH28:AH59))</f>
        <v>9.5886999427378825</v>
      </c>
      <c r="AJ61" s="154">
        <f>+-PMT($G$18,$G$14,NPV($G$18,AJ28:AJ59))</f>
        <v>2.6954367058757973</v>
      </c>
      <c r="AL61" s="153">
        <f>+-PMT($G$18,$G$14,NPV($G$18,AL28:AL59))</f>
        <v>3329.683814936292</v>
      </c>
      <c r="AN61" s="154">
        <f>+-PMT($G$18,$G$14,NPV($G$18,AN28:AN59))</f>
        <v>8.6700647778765543</v>
      </c>
      <c r="AP61" s="154">
        <f>+-PMT($G$18,$G$14,NPV($G$18,AP28:AP59))</f>
        <v>62.996875614110138</v>
      </c>
      <c r="AR61" s="154">
        <f>+-PMT($G$18,$G$14,NPV($G$18,AR28:AR59))</f>
        <v>2.7901062702709121</v>
      </c>
      <c r="AS61" s="154"/>
      <c r="AT61" s="153">
        <f>+-PMT($G$18,$G$14,NPV($G$18,AT28:AT59))</f>
        <v>1509.4144445247653</v>
      </c>
      <c r="AV61" s="153">
        <f>+-PMT($G$18,$G$14,NPV($G$18,AV28:AV59))</f>
        <v>10576.321692406547</v>
      </c>
      <c r="AW61" s="273"/>
      <c r="AX61" s="155">
        <f>+-PMT($G$18,$G$14,NPV($G$18,AX28:AX59))</f>
        <v>12085.736136931313</v>
      </c>
      <c r="AZ61" s="2"/>
      <c r="BB61" s="154">
        <f>+-PMT($G$18,$G$14,NPV($G$18,BB28:BB59))</f>
        <v>45.8285772569863</v>
      </c>
      <c r="BD61" s="154">
        <f>+-PMT($G$18,$G$14,NPV($G$18,BD28:BD59))</f>
        <v>6.9679233603839199</v>
      </c>
      <c r="BF61" s="153">
        <f>+-PMT($G$18,$G$14,NPV($G$18,BF28:BF59))</f>
        <v>1820.2693704115277</v>
      </c>
      <c r="BH61" s="157"/>
    </row>
    <row r="62" spans="2:60">
      <c r="B62" s="2"/>
      <c r="E62" s="169"/>
      <c r="W62" s="18"/>
      <c r="Y62" s="271"/>
      <c r="Z62" s="235"/>
      <c r="AB62" s="2"/>
      <c r="AX62" s="235"/>
      <c r="AZ62" s="2"/>
      <c r="BH62" s="235"/>
    </row>
    <row r="63" spans="2:60">
      <c r="B63" s="238"/>
      <c r="C63" s="277"/>
      <c r="D63" s="277"/>
      <c r="E63" s="278"/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39"/>
      <c r="AB63" s="238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7"/>
      <c r="AV63" s="277"/>
      <c r="AW63" s="277"/>
      <c r="AX63" s="239"/>
      <c r="AZ63" s="238"/>
      <c r="BA63" s="277"/>
      <c r="BB63" s="277"/>
      <c r="BC63" s="277"/>
      <c r="BD63" s="277"/>
      <c r="BE63" s="277"/>
      <c r="BF63" s="277"/>
      <c r="BG63" s="277"/>
      <c r="BH63" s="239"/>
    </row>
    <row r="64" spans="2:60">
      <c r="E64" s="169"/>
    </row>
    <row r="65" spans="5:23">
      <c r="E65" s="169"/>
      <c r="G65" s="18"/>
      <c r="I65" s="18"/>
      <c r="K65" s="18"/>
      <c r="O65" s="18"/>
      <c r="Q65" s="18"/>
      <c r="S65" s="18"/>
      <c r="U65" s="18"/>
      <c r="W65" s="18"/>
    </row>
    <row r="66" spans="5:23">
      <c r="E66" s="169"/>
    </row>
    <row r="67" spans="5:23">
      <c r="E67" s="169"/>
    </row>
    <row r="68" spans="5:23">
      <c r="E68" s="169"/>
    </row>
    <row r="69" spans="5:23">
      <c r="E69" s="169"/>
    </row>
    <row r="70" spans="5:23">
      <c r="E70" s="169"/>
    </row>
    <row r="71" spans="5:23">
      <c r="E71" s="169"/>
    </row>
    <row r="72" spans="5:23">
      <c r="E72" s="169"/>
    </row>
    <row r="73" spans="5:23">
      <c r="E73" s="169"/>
    </row>
    <row r="74" spans="5:23">
      <c r="E74" s="169"/>
    </row>
    <row r="75" spans="5:23">
      <c r="E75" s="169"/>
    </row>
    <row r="76" spans="5:23">
      <c r="E76" s="169"/>
    </row>
    <row r="77" spans="5:23">
      <c r="E77" s="169"/>
    </row>
    <row r="78" spans="5:23">
      <c r="E78" s="169"/>
    </row>
    <row r="79" spans="5:23">
      <c r="E79" s="169"/>
    </row>
    <row r="80" spans="5:23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  <row r="87" spans="5:5">
      <c r="E87" s="169"/>
    </row>
  </sheetData>
  <pageMargins left="0.25" right="0.25" top="0.25" bottom="0.75" header="0.3" footer="0.3"/>
  <pageSetup paperSize="5" scale="48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DD829-F373-49B5-BE43-48BF7C8A091D}">
  <sheetPr codeName="Sheet15">
    <tabColor theme="0" tint="-0.249977111117893"/>
    <pageSetUpPr fitToPage="1"/>
  </sheetPr>
  <dimension ref="A1:BH87"/>
  <sheetViews>
    <sheetView zoomScale="90" zoomScaleNormal="90"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0" max="40" width="13" bestFit="1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">
        <v>0</v>
      </c>
    </row>
    <row r="2" spans="1:57" s="231" customFormat="1">
      <c r="A2" s="231" t="str">
        <f>'Workpaper Index'!$C$4</f>
        <v xml:space="preserve">WASHINGTON JUNE, 1 2024 RENEWABLES REPORT </v>
      </c>
    </row>
    <row r="3" spans="1:57" s="231" customFormat="1">
      <c r="A3" s="231" t="s">
        <v>1</v>
      </c>
    </row>
    <row r="4" spans="1:57" s="231" customFormat="1"/>
    <row r="5" spans="1:57" s="231" customFormat="1"/>
    <row r="7" spans="1:57">
      <c r="AB7" t="s">
        <v>306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305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N10" s="253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51">
        <v>79.8</v>
      </c>
      <c r="H11" s="252"/>
      <c r="AB11" s="122" t="s">
        <v>99</v>
      </c>
      <c r="AC11" s="123"/>
      <c r="AD11" s="123"/>
      <c r="AE11" s="123"/>
      <c r="AF11" s="134">
        <f>+G11*(G12/AJ16)</f>
        <v>49.964291427390698</v>
      </c>
      <c r="AG11" s="127"/>
      <c r="AH11" s="123" t="s">
        <v>100</v>
      </c>
      <c r="AI11" s="124"/>
      <c r="AJ11" s="129">
        <v>7.9126910299003335</v>
      </c>
      <c r="AK11" s="235"/>
      <c r="AN11" s="253"/>
      <c r="AZ11" s="122" t="s">
        <v>99</v>
      </c>
      <c r="BA11" s="123"/>
      <c r="BB11" s="123"/>
      <c r="BC11" s="123"/>
      <c r="BD11" s="134">
        <f>(AF11*AF13-G11*G19)</f>
        <v>46.240291427390702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54">
        <v>0.3048637603809517</v>
      </c>
      <c r="H12" s="252"/>
      <c r="AB12" s="122" t="s">
        <v>32</v>
      </c>
      <c r="AC12" s="123"/>
      <c r="AD12" s="123"/>
      <c r="AE12" s="123"/>
      <c r="AF12" s="131">
        <f>+AD61/8760/AF11</f>
        <v>0.5008173678534128</v>
      </c>
      <c r="AG12" s="127"/>
      <c r="AH12" s="117" t="s">
        <v>101</v>
      </c>
      <c r="AI12" s="118"/>
      <c r="AJ12" s="117">
        <v>2006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2008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25</v>
      </c>
      <c r="H14" s="252"/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Z14" s="122" t="s">
        <v>105</v>
      </c>
      <c r="BA14" s="123"/>
      <c r="BB14" s="123"/>
      <c r="BC14" s="123"/>
      <c r="BD14" s="135">
        <v>454</v>
      </c>
      <c r="BE14" s="132"/>
    </row>
    <row r="15" spans="1:57" ht="12">
      <c r="A15" t="s">
        <v>106</v>
      </c>
      <c r="B15" s="250"/>
      <c r="C15" s="231" t="s">
        <v>107</v>
      </c>
      <c r="D15" s="231"/>
      <c r="E15" s="231"/>
      <c r="F15" s="231"/>
      <c r="G15" s="255"/>
      <c r="H15" s="252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Z15" s="122" t="s">
        <v>108</v>
      </c>
      <c r="BA15" s="123"/>
      <c r="BB15" s="123"/>
      <c r="BC15" s="123"/>
      <c r="BD15" s="136">
        <v>8.3299999999999999E-2</v>
      </c>
      <c r="BE15" s="132"/>
    </row>
    <row r="16" spans="1:57" ht="12">
      <c r="A16" t="s">
        <v>106</v>
      </c>
      <c r="B16" s="250"/>
      <c r="C16" s="231" t="s">
        <v>109</v>
      </c>
      <c r="D16" s="231"/>
      <c r="E16" s="231"/>
      <c r="F16" s="231"/>
      <c r="G16" s="255"/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Z16" s="122" t="s">
        <v>100</v>
      </c>
      <c r="BA16" s="124"/>
      <c r="BB16" s="129">
        <v>5.75</v>
      </c>
      <c r="BE16" s="130"/>
    </row>
    <row r="17" spans="1:60" ht="12">
      <c r="A17" t="s">
        <v>106</v>
      </c>
      <c r="B17" s="250"/>
      <c r="C17" s="231" t="s">
        <v>111</v>
      </c>
      <c r="D17" s="231"/>
      <c r="E17" s="231"/>
      <c r="F17" s="231"/>
      <c r="G17" s="255"/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2006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54">
        <f>'(2.2)_Forward_Price_Curve'!AA4</f>
        <v>7.1999999999999995E-2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t="s">
        <v>113</v>
      </c>
    </row>
    <row r="20" spans="1:60" ht="12.75">
      <c r="B20" s="231"/>
      <c r="C20" s="231"/>
      <c r="D20" s="231"/>
      <c r="E20" s="231"/>
      <c r="F20" s="231"/>
      <c r="G20" s="231"/>
      <c r="H20" s="231"/>
      <c r="AH20" s="213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2008</v>
      </c>
      <c r="E28" s="169">
        <v>1.7000000000000001E-2</v>
      </c>
      <c r="G28" s="18">
        <v>219821</v>
      </c>
      <c r="I28" s="268">
        <f>$G$15*(1+$E28)</f>
        <v>0</v>
      </c>
      <c r="J28" s="268"/>
      <c r="K28" s="268">
        <v>54.85491221329336</v>
      </c>
      <c r="L28" s="269"/>
      <c r="M28" s="268">
        <f>$G$17*(1+$E28)</f>
        <v>0</v>
      </c>
      <c r="O28" s="270">
        <f>'(2.2)_Forward_Price_Curve'!Y22</f>
        <v>5.1866999999999992</v>
      </c>
      <c r="Q28" s="28"/>
      <c r="S28" s="18">
        <f>(I28*$G$11*1000+(K28+M28+O28+Q28)*G28)/1000</f>
        <v>13198.407238338361</v>
      </c>
      <c r="U28" s="18">
        <f t="shared" ref="U28:U52" si="0">AX28</f>
        <v>14990.263131093127</v>
      </c>
      <c r="W28" s="18">
        <f>S28-U28</f>
        <v>-1791.8558927547656</v>
      </c>
      <c r="Y28" s="271">
        <f>+W28*1000/G28</f>
        <v>-8.1514318138611213</v>
      </c>
      <c r="Z28" s="235"/>
      <c r="AB28" s="146">
        <f>$C$28</f>
        <v>2008</v>
      </c>
      <c r="AC28" s="117"/>
      <c r="AD28" s="151">
        <f t="shared" ref="AD28:AD52" si="1">G28</f>
        <v>219821</v>
      </c>
      <c r="AF28" s="152">
        <v>58.163412158772744</v>
      </c>
      <c r="AG28" s="272"/>
      <c r="AH28" s="152">
        <v>8.2001037061794015</v>
      </c>
      <c r="AI28" s="272"/>
      <c r="AJ28" s="152">
        <v>2.3050946065283835</v>
      </c>
      <c r="AK28" s="272"/>
      <c r="AL28" s="153">
        <f>((AF28+AH28)*$AF$11*1000+AJ28*AD28)/1000</f>
        <v>3822.5142483244113</v>
      </c>
      <c r="AN28" s="154">
        <f>INDEX('(2.2)_Forward_Price_Curve'!$I:$I,MATCH($AB28,'(2.2)_Forward_Price_Curve'!$C:$C,0),1)</f>
        <v>7.9707205782722266</v>
      </c>
      <c r="AO28" s="272"/>
      <c r="AP28" s="154">
        <f>AN28*$AF$14/1000</f>
        <v>57.915425742323464</v>
      </c>
      <c r="AQ28" s="272"/>
      <c r="AR28" s="152">
        <v>2.3860545125109165</v>
      </c>
      <c r="AS28" s="152"/>
      <c r="AT28" s="153">
        <f t="shared" ref="AT28:AT52" si="2">AL28-BF28</f>
        <v>1734.7314399951774</v>
      </c>
      <c r="AU28" s="272"/>
      <c r="AV28" s="153">
        <f t="shared" ref="AV28:AV52" si="3">(AP28+AR28)*AD28/1000</f>
        <v>13255.531691097949</v>
      </c>
      <c r="AW28" s="273"/>
      <c r="AX28" s="155">
        <f>AT28+AV28</f>
        <v>14990.263131093127</v>
      </c>
      <c r="AZ28" s="146">
        <f>$C$28</f>
        <v>2008</v>
      </c>
      <c r="BA28" s="117"/>
      <c r="BB28" s="152">
        <v>39.191870478599988</v>
      </c>
      <c r="BD28" s="152">
        <v>5.9588572499999986</v>
      </c>
      <c r="BE28" s="272"/>
      <c r="BF28" s="153">
        <f>(BB28+BD28)*$BD$11</f>
        <v>2087.7828083292338</v>
      </c>
      <c r="BG28" s="272"/>
      <c r="BH28" s="156"/>
    </row>
    <row r="29" spans="1:60" ht="12">
      <c r="B29" s="2"/>
      <c r="C29">
        <f>+IF(C28&gt;$G$13+$G$14,XX,C28+1)</f>
        <v>2009</v>
      </c>
      <c r="E29" s="169">
        <v>1.7000000000000001E-2</v>
      </c>
      <c r="G29" s="18">
        <v>218951</v>
      </c>
      <c r="I29" s="28">
        <f>I28*(1+$E29)</f>
        <v>0</v>
      </c>
      <c r="K29" s="28">
        <v>65.317279627359909</v>
      </c>
      <c r="M29" s="28">
        <f>M28*(1+$E29)</f>
        <v>0</v>
      </c>
      <c r="O29" s="270">
        <f>'(2.2)_Forward_Price_Curve'!Y23</f>
        <v>5.2748738999999985</v>
      </c>
      <c r="Q29" s="28"/>
      <c r="S29" s="18">
        <f t="shared" ref="S29:S52" si="4">(I29*$G$11*1000+(K29+M29+O29+Q29)*G29)/1000</f>
        <v>15456.22260696898</v>
      </c>
      <c r="U29" s="18">
        <f t="shared" si="0"/>
        <v>14664.077378638885</v>
      </c>
      <c r="W29" s="18">
        <f t="shared" ref="W29:W52" si="5">S29-U29</f>
        <v>792.14522833009505</v>
      </c>
      <c r="Y29" s="271">
        <f t="shared" ref="Y29:Y52" si="6">+W29*1000/G29</f>
        <v>3.6179109861571543</v>
      </c>
      <c r="Z29" s="235"/>
      <c r="AB29" s="146">
        <f>+IF(AB28&gt;$G$13+$G$14,XX,AB28+1)</f>
        <v>2009</v>
      </c>
      <c r="AC29" s="117"/>
      <c r="AD29" s="151">
        <f t="shared" si="1"/>
        <v>218951</v>
      </c>
      <c r="AF29" s="154">
        <f>AF28*(1+$E29)</f>
        <v>59.152190165471872</v>
      </c>
      <c r="AH29" s="154">
        <f>AH28*(1+$E29)</f>
        <v>8.3395054691844503</v>
      </c>
      <c r="AJ29" s="154">
        <f>AJ28*(1+$E29)</f>
        <v>2.3442812148393659</v>
      </c>
      <c r="AL29" s="153">
        <f t="shared" ref="AL29:AL52" si="7">((AF29+AH29)*$AF$11*1000+AJ29*AD29)/1000</f>
        <v>3885.4574658890151</v>
      </c>
      <c r="AN29" s="154">
        <f>INDEX('(2.2)_Forward_Price_Curve'!$I:$I,MATCH($AB29,'(2.2)_Forward_Price_Curve'!$C:$C,0),1)</f>
        <v>7.7758276535043622</v>
      </c>
      <c r="AP29" s="154">
        <f t="shared" ref="AP29:AP52" si="8">AN29*$AF$14/1000</f>
        <v>56.499329593768707</v>
      </c>
      <c r="AR29" s="154">
        <f>AR28*(1+$E29)</f>
        <v>2.4266174392236017</v>
      </c>
      <c r="AS29" s="154"/>
      <c r="AT29" s="153">
        <f t="shared" si="2"/>
        <v>1762.1823498181848</v>
      </c>
      <c r="AV29" s="153">
        <f t="shared" si="3"/>
        <v>12901.8950288207</v>
      </c>
      <c r="AW29" s="273"/>
      <c r="AX29" s="155">
        <f t="shared" ref="AX29:AX52" si="9">AT29+AV29</f>
        <v>14664.077378638885</v>
      </c>
      <c r="AZ29" s="146">
        <f>+IF(AZ28&gt;$G$13+$G$14,XX,AZ28+1)</f>
        <v>2009</v>
      </c>
      <c r="BA29" s="117"/>
      <c r="BB29" s="154">
        <f>BB28*(1+$E29)</f>
        <v>39.858132276736185</v>
      </c>
      <c r="BD29" s="154">
        <f>BD28*(1+$E29)</f>
        <v>6.0601578232499982</v>
      </c>
      <c r="BF29" s="153">
        <f t="shared" ref="BF29:BF52" si="10">(BB29+BD29)*$BD$11</f>
        <v>2123.2751160708303</v>
      </c>
      <c r="BH29" s="157"/>
    </row>
    <row r="30" spans="1:60" ht="12">
      <c r="B30" s="2"/>
      <c r="C30">
        <f>+IF(C29&gt;$G$13+$G$14,XX,C29+1)</f>
        <v>2010</v>
      </c>
      <c r="E30" s="169">
        <v>1.9E-2</v>
      </c>
      <c r="G30" s="18">
        <v>218951</v>
      </c>
      <c r="I30" s="28">
        <f t="shared" ref="I30:I52" si="11">I29*(1+$E30)</f>
        <v>0</v>
      </c>
      <c r="K30" s="28">
        <v>65.317279627359909</v>
      </c>
      <c r="M30" s="28">
        <f t="shared" ref="M30:M52" si="12">M29*(1+$E30)</f>
        <v>0</v>
      </c>
      <c r="O30" s="270">
        <f>'(2.2)_Forward_Price_Curve'!Y24</f>
        <v>5.3750965040999983</v>
      </c>
      <c r="Q30" s="28"/>
      <c r="S30" s="18">
        <f t="shared" si="4"/>
        <v>15478.166446359279</v>
      </c>
      <c r="U30" s="18">
        <f t="shared" si="0"/>
        <v>14232.957187077565</v>
      </c>
      <c r="W30" s="18">
        <f t="shared" si="5"/>
        <v>1245.2092592817135</v>
      </c>
      <c r="Y30" s="271">
        <f t="shared" si="6"/>
        <v>5.6871594981603808</v>
      </c>
      <c r="Z30" s="235"/>
      <c r="AB30" s="146">
        <f>+IF(AB29&gt;$G$13+$G$14,XX,AB29+1)</f>
        <v>2010</v>
      </c>
      <c r="AC30" s="117"/>
      <c r="AD30" s="151">
        <f t="shared" si="1"/>
        <v>218951</v>
      </c>
      <c r="AF30" s="154">
        <f t="shared" ref="AF30:AF52" si="13">AF29*(1+$E30)</f>
        <v>60.276081778615833</v>
      </c>
      <c r="AH30" s="154">
        <f t="shared" ref="AH30:AH52" si="14">AH29*(1+$E30)</f>
        <v>8.4979560730989547</v>
      </c>
      <c r="AJ30" s="154">
        <f t="shared" ref="AJ30:AJ52" si="15">AJ29*(1+$E30)</f>
        <v>2.3888225579213138</v>
      </c>
      <c r="AL30" s="153">
        <f t="shared" si="7"/>
        <v>3959.2811577409057</v>
      </c>
      <c r="AN30" s="154">
        <f>INDEX('(2.2)_Forward_Price_Curve'!$I:$I,MATCH($AB30,'(2.2)_Forward_Price_Curve'!$C:$C,0),1)</f>
        <v>7.4774457529777205</v>
      </c>
      <c r="AP30" s="154">
        <f t="shared" si="8"/>
        <v>54.331280339864243</v>
      </c>
      <c r="AR30" s="154">
        <f t="shared" ref="AR30:AR52" si="16">AR29*(1+$E30)</f>
        <v>2.4727231705688499</v>
      </c>
      <c r="AS30" s="154"/>
      <c r="AT30" s="153">
        <f t="shared" si="2"/>
        <v>1795.6638144647295</v>
      </c>
      <c r="AV30" s="153">
        <f t="shared" si="3"/>
        <v>12437.293372612836</v>
      </c>
      <c r="AW30" s="273"/>
      <c r="AX30" s="155">
        <f t="shared" si="9"/>
        <v>14232.957187077565</v>
      </c>
      <c r="AZ30" s="146">
        <f>+IF(AZ29&gt;$G$13+$G$14,XX,AZ29+1)</f>
        <v>2010</v>
      </c>
      <c r="BA30" s="117"/>
      <c r="BB30" s="154">
        <f t="shared" ref="BB30:BB52" si="17">BB29*(1+$E30)</f>
        <v>40.61543678999417</v>
      </c>
      <c r="BD30" s="154">
        <f t="shared" ref="BD30:BD52" si="18">BD29*(1+$E30)</f>
        <v>6.1753008218917476</v>
      </c>
      <c r="BF30" s="153">
        <f t="shared" si="10"/>
        <v>2163.6173432761761</v>
      </c>
      <c r="BH30" s="157"/>
    </row>
    <row r="31" spans="1:60" ht="12">
      <c r="B31" s="2"/>
      <c r="C31">
        <f>+IF(C30&gt;$G$13+$G$14,XX,C30+1)</f>
        <v>2011</v>
      </c>
      <c r="E31" s="169">
        <v>1.9E-2</v>
      </c>
      <c r="G31" s="18">
        <v>218951</v>
      </c>
      <c r="I31" s="28">
        <f t="shared" si="11"/>
        <v>0</v>
      </c>
      <c r="K31" s="28">
        <v>65.317279627359909</v>
      </c>
      <c r="M31" s="28">
        <f t="shared" si="12"/>
        <v>0</v>
      </c>
      <c r="O31" s="270">
        <f>'(2.2)_Forward_Price_Curve'!Y25</f>
        <v>5.4772233376778976</v>
      </c>
      <c r="Q31" s="28"/>
      <c r="S31" s="18">
        <f t="shared" si="4"/>
        <v>15500.527218697993</v>
      </c>
      <c r="U31" s="18">
        <f t="shared" si="0"/>
        <v>13648.474298328321</v>
      </c>
      <c r="W31" s="18">
        <f t="shared" si="5"/>
        <v>1852.0529203696715</v>
      </c>
      <c r="Y31" s="271">
        <f t="shared" si="6"/>
        <v>8.4587552482960628</v>
      </c>
      <c r="Z31" s="235"/>
      <c r="AB31" s="146">
        <f>+IF(AB30&gt;$G$13+$G$14,XX,AB30+1)</f>
        <v>2011</v>
      </c>
      <c r="AC31" s="117"/>
      <c r="AD31" s="151">
        <f t="shared" si="1"/>
        <v>218951</v>
      </c>
      <c r="AF31" s="154">
        <f t="shared" si="13"/>
        <v>61.421327332409525</v>
      </c>
      <c r="AH31" s="154">
        <f t="shared" si="14"/>
        <v>8.6594172384878334</v>
      </c>
      <c r="AJ31" s="154">
        <f t="shared" si="15"/>
        <v>2.4342101865218186</v>
      </c>
      <c r="AL31" s="153">
        <f t="shared" si="7"/>
        <v>4034.5074997379834</v>
      </c>
      <c r="AN31" s="154">
        <f>INDEX('(2.2)_Forward_Price_Curve'!$I:$I,MATCH($AB31,'(2.2)_Forward_Price_Curve'!$C:$C,0),1)</f>
        <v>7.0821436233211914</v>
      </c>
      <c r="AP31" s="154">
        <f t="shared" si="8"/>
        <v>51.459006633731178</v>
      </c>
      <c r="AR31" s="154">
        <f t="shared" si="16"/>
        <v>2.5197049108096579</v>
      </c>
      <c r="AS31" s="154"/>
      <c r="AT31" s="153">
        <f t="shared" si="2"/>
        <v>1829.7814269395603</v>
      </c>
      <c r="AV31" s="153">
        <f t="shared" si="3"/>
        <v>11818.692871388761</v>
      </c>
      <c r="AW31" s="273"/>
      <c r="AX31" s="155">
        <f t="shared" si="9"/>
        <v>13648.474298328321</v>
      </c>
      <c r="AZ31" s="146">
        <f>+IF(AZ30&gt;$G$13+$G$14,XX,AZ30+1)</f>
        <v>2011</v>
      </c>
      <c r="BA31" s="117"/>
      <c r="BB31" s="154">
        <f t="shared" si="17"/>
        <v>41.387130089004053</v>
      </c>
      <c r="BD31" s="154">
        <f t="shared" si="18"/>
        <v>6.29263153750769</v>
      </c>
      <c r="BF31" s="153">
        <f t="shared" si="10"/>
        <v>2204.726072798423</v>
      </c>
      <c r="BH31" s="157"/>
    </row>
    <row r="32" spans="1:60" ht="12">
      <c r="B32" s="2"/>
      <c r="C32">
        <f>+IF(C31&gt;$G$13+$G$14,XX,C31+1)</f>
        <v>2012</v>
      </c>
      <c r="E32" s="169">
        <v>0.02</v>
      </c>
      <c r="G32" s="18">
        <v>219821</v>
      </c>
      <c r="I32" s="28">
        <f t="shared" si="11"/>
        <v>0</v>
      </c>
      <c r="K32" s="28">
        <v>65.317279627359909</v>
      </c>
      <c r="M32" s="28">
        <f t="shared" si="12"/>
        <v>0</v>
      </c>
      <c r="O32" s="270">
        <f>'(2.2)_Forward_Price_Curve'!Y26</f>
        <v>5.5867678044314557</v>
      </c>
      <c r="Q32" s="28"/>
      <c r="S32" s="18">
        <f t="shared" si="4"/>
        <v>15586.198610503812</v>
      </c>
      <c r="U32" s="18">
        <f t="shared" si="0"/>
        <v>13138.845199632064</v>
      </c>
      <c r="W32" s="18">
        <f t="shared" si="5"/>
        <v>2447.3534108717486</v>
      </c>
      <c r="Y32" s="271">
        <f t="shared" si="6"/>
        <v>11.133392218540305</v>
      </c>
      <c r="Z32" s="235"/>
      <c r="AB32" s="146">
        <f>+IF(AB31&gt;$G$13+$G$14,XX,AB31+1)</f>
        <v>2012</v>
      </c>
      <c r="AC32" s="117"/>
      <c r="AD32" s="151">
        <f t="shared" si="1"/>
        <v>219821</v>
      </c>
      <c r="AF32" s="154">
        <f t="shared" si="13"/>
        <v>62.64975387905772</v>
      </c>
      <c r="AH32" s="154">
        <f t="shared" si="14"/>
        <v>8.8326055832575907</v>
      </c>
      <c r="AJ32" s="154">
        <f t="shared" si="15"/>
        <v>2.4828943902522549</v>
      </c>
      <c r="AL32" s="153">
        <f t="shared" si="7"/>
        <v>4117.3577678522624</v>
      </c>
      <c r="AN32" s="154">
        <f>INDEX('(2.2)_Forward_Price_Curve'!$I:$I,MATCH($AB32,'(2.2)_Forward_Price_Curve'!$C:$C,0),1)</f>
        <v>6.7024699037828679</v>
      </c>
      <c r="AP32" s="154">
        <f t="shared" si="8"/>
        <v>48.700289288881038</v>
      </c>
      <c r="AR32" s="154">
        <f t="shared" si="16"/>
        <v>2.5700990090258511</v>
      </c>
      <c r="AS32" s="154"/>
      <c r="AT32" s="153">
        <f t="shared" si="2"/>
        <v>1868.5371735978711</v>
      </c>
      <c r="AV32" s="153">
        <f t="shared" si="3"/>
        <v>11270.308026034192</v>
      </c>
      <c r="AW32" s="273"/>
      <c r="AX32" s="155">
        <f t="shared" si="9"/>
        <v>13138.845199632064</v>
      </c>
      <c r="AZ32" s="146">
        <f>+IF(AZ31&gt;$G$13+$G$14,XX,AZ31+1)</f>
        <v>2012</v>
      </c>
      <c r="BA32" s="117"/>
      <c r="BB32" s="154">
        <f t="shared" si="17"/>
        <v>42.214872690784134</v>
      </c>
      <c r="BD32" s="154">
        <f t="shared" si="18"/>
        <v>6.4184841682578435</v>
      </c>
      <c r="BF32" s="153">
        <f t="shared" si="10"/>
        <v>2248.8205942543914</v>
      </c>
      <c r="BH32" s="157"/>
    </row>
    <row r="33" spans="2:60" ht="12">
      <c r="B33" s="2"/>
      <c r="C33">
        <f>+IF(C32&gt;$G$13+$G$14,XX,C32+1)</f>
        <v>2013</v>
      </c>
      <c r="E33" s="169">
        <v>1.9E-2</v>
      </c>
      <c r="G33" s="18">
        <v>218951</v>
      </c>
      <c r="I33" s="28">
        <f t="shared" si="11"/>
        <v>0</v>
      </c>
      <c r="K33" s="28">
        <v>65.317279627359909</v>
      </c>
      <c r="M33" s="28">
        <f t="shared" si="12"/>
        <v>0</v>
      </c>
      <c r="O33" s="270">
        <f>'(2.2)_Forward_Price_Curve'!Y27</f>
        <v>5.6929163927156532</v>
      </c>
      <c r="Q33" s="28"/>
      <c r="S33" s="18">
        <f t="shared" si="4"/>
        <v>15547.753428791566</v>
      </c>
      <c r="U33" s="18">
        <f t="shared" si="0"/>
        <v>13133.499824829885</v>
      </c>
      <c r="W33" s="18">
        <f t="shared" si="5"/>
        <v>2414.2536039616807</v>
      </c>
      <c r="Y33" s="271">
        <f t="shared" si="6"/>
        <v>11.026456165816464</v>
      </c>
      <c r="Z33" s="235"/>
      <c r="AB33" s="146">
        <f>+IF(AB32&gt;$G$13+$G$14,XX,AB32+1)</f>
        <v>2013</v>
      </c>
      <c r="AC33" s="117"/>
      <c r="AD33" s="151">
        <f t="shared" si="1"/>
        <v>218951</v>
      </c>
      <c r="AF33" s="154">
        <f t="shared" si="13"/>
        <v>63.840099202759809</v>
      </c>
      <c r="AH33" s="154">
        <f t="shared" si="14"/>
        <v>9.0004250893394833</v>
      </c>
      <c r="AJ33" s="154">
        <f t="shared" si="15"/>
        <v>2.5300693836670476</v>
      </c>
      <c r="AL33" s="153">
        <f t="shared" si="7"/>
        <v>4193.3864050776638</v>
      </c>
      <c r="AN33" s="154">
        <f>INDEX('(2.2)_Forward_Price_Curve'!$I:$I,MATCH($AB33,'(2.2)_Forward_Price_Curve'!$C:$C,0),1)</f>
        <v>6.6994948806584134</v>
      </c>
      <c r="AP33" s="154">
        <f t="shared" si="8"/>
        <v>48.678672707399592</v>
      </c>
      <c r="AR33" s="154">
        <f t="shared" si="16"/>
        <v>2.6189308901973418</v>
      </c>
      <c r="AS33" s="154"/>
      <c r="AT33" s="153">
        <f t="shared" si="2"/>
        <v>1901.8382195324393</v>
      </c>
      <c r="AV33" s="153">
        <f t="shared" si="3"/>
        <v>11231.661605297446</v>
      </c>
      <c r="AW33" s="273"/>
      <c r="AX33" s="155">
        <f t="shared" si="9"/>
        <v>13133.499824829885</v>
      </c>
      <c r="AZ33" s="146">
        <f>+IF(AZ32&gt;$G$13+$G$14,XX,AZ32+1)</f>
        <v>2013</v>
      </c>
      <c r="BA33" s="117"/>
      <c r="BB33" s="154">
        <f t="shared" si="17"/>
        <v>43.016955271909026</v>
      </c>
      <c r="BD33" s="154">
        <f t="shared" si="18"/>
        <v>6.5404353674547417</v>
      </c>
      <c r="BF33" s="153">
        <f t="shared" si="10"/>
        <v>2291.5481855452244</v>
      </c>
      <c r="BH33" s="157"/>
    </row>
    <row r="34" spans="2:60" ht="12">
      <c r="B34" s="2"/>
      <c r="C34">
        <f>+IF(C33&gt;$G$13+$G$14,XX,C33+1)</f>
        <v>2014</v>
      </c>
      <c r="E34" s="169">
        <v>1.7999999999999999E-2</v>
      </c>
      <c r="G34" s="18">
        <v>218951</v>
      </c>
      <c r="I34" s="28">
        <f t="shared" si="11"/>
        <v>0</v>
      </c>
      <c r="K34" s="28">
        <v>65.317279627359909</v>
      </c>
      <c r="M34" s="28">
        <f t="shared" si="12"/>
        <v>0</v>
      </c>
      <c r="O34" s="270">
        <f>'(2.2)_Forward_Price_Curve'!Y28</f>
        <v>5.7953888877845348</v>
      </c>
      <c r="Q34" s="28"/>
      <c r="S34" s="18">
        <f t="shared" si="4"/>
        <v>15570.189884059391</v>
      </c>
      <c r="U34" s="18">
        <f t="shared" si="0"/>
        <v>13519.324840177527</v>
      </c>
      <c r="W34" s="18">
        <f t="shared" si="5"/>
        <v>2050.865043881864</v>
      </c>
      <c r="Y34" s="271">
        <f t="shared" si="6"/>
        <v>9.3667763284107597</v>
      </c>
      <c r="Z34" s="235"/>
      <c r="AB34" s="146">
        <f>+IF(AB33&gt;$G$13+$G$14,XX,AB33+1)</f>
        <v>2014</v>
      </c>
      <c r="AC34" s="117"/>
      <c r="AD34" s="151">
        <f t="shared" si="1"/>
        <v>218951</v>
      </c>
      <c r="AF34" s="154">
        <f t="shared" si="13"/>
        <v>64.989220988409485</v>
      </c>
      <c r="AH34" s="154">
        <f t="shared" si="14"/>
        <v>9.1624327409475939</v>
      </c>
      <c r="AJ34" s="154">
        <f t="shared" si="15"/>
        <v>2.5756106325730546</v>
      </c>
      <c r="AL34" s="153">
        <f t="shared" si="7"/>
        <v>4268.8673603690622</v>
      </c>
      <c r="AN34" s="154">
        <f>INDEX('(2.2)_Forward_Price_Curve'!$I:$I,MATCH($AB34,'(2.2)_Forward_Price_Curve'!$C:$C,0),1)</f>
        <v>6.9140085811973453</v>
      </c>
      <c r="AP34" s="154">
        <f t="shared" si="8"/>
        <v>50.2373338312307</v>
      </c>
      <c r="AR34" s="154">
        <f t="shared" si="16"/>
        <v>2.6660716462208942</v>
      </c>
      <c r="AS34" s="154"/>
      <c r="AT34" s="153">
        <f t="shared" si="2"/>
        <v>1936.0713074840237</v>
      </c>
      <c r="AV34" s="153">
        <f t="shared" si="3"/>
        <v>11583.253532693503</v>
      </c>
      <c r="AW34" s="273"/>
      <c r="AX34" s="155">
        <f t="shared" si="9"/>
        <v>13519.324840177527</v>
      </c>
      <c r="AZ34" s="146">
        <f>+IF(AZ33&gt;$G$13+$G$14,XX,AZ33+1)</f>
        <v>2014</v>
      </c>
      <c r="BA34" s="117"/>
      <c r="BB34" s="154">
        <f t="shared" si="17"/>
        <v>43.791260466803386</v>
      </c>
      <c r="BD34" s="154">
        <f t="shared" si="18"/>
        <v>6.6581632040689271</v>
      </c>
      <c r="BF34" s="153">
        <f t="shared" si="10"/>
        <v>2332.7960528850385</v>
      </c>
      <c r="BH34" s="157"/>
    </row>
    <row r="35" spans="2:60" ht="12">
      <c r="B35" s="2"/>
      <c r="C35">
        <f>+IF(C34&gt;$G$13+$G$14,XX,C34+1)</f>
        <v>2015</v>
      </c>
      <c r="E35" s="169">
        <v>1.7999999999999999E-2</v>
      </c>
      <c r="G35" s="18">
        <v>218951</v>
      </c>
      <c r="I35" s="28">
        <f t="shared" si="11"/>
        <v>0</v>
      </c>
      <c r="K35" s="28">
        <v>65.317279627359909</v>
      </c>
      <c r="M35" s="28">
        <f t="shared" si="12"/>
        <v>0</v>
      </c>
      <c r="O35" s="270">
        <f>'(2.2)_Forward_Price_Curve'!Y29</f>
        <v>5.8997058877646564</v>
      </c>
      <c r="Q35" s="28"/>
      <c r="S35" s="18">
        <f t="shared" si="4"/>
        <v>15593.030195522038</v>
      </c>
      <c r="U35" s="18">
        <f t="shared" si="0"/>
        <v>14204.848882300277</v>
      </c>
      <c r="W35" s="18">
        <f t="shared" si="5"/>
        <v>1388.1813132217612</v>
      </c>
      <c r="Y35" s="271">
        <f t="shared" si="6"/>
        <v>6.3401460291195804</v>
      </c>
      <c r="Z35" s="235"/>
      <c r="AB35" s="146">
        <f>+IF(AB34&gt;$G$13+$G$14,XX,AB34+1)</f>
        <v>2015</v>
      </c>
      <c r="AC35" s="117"/>
      <c r="AD35" s="151">
        <f t="shared" si="1"/>
        <v>218951</v>
      </c>
      <c r="AF35" s="154">
        <f t="shared" si="13"/>
        <v>66.159026966200855</v>
      </c>
      <c r="AH35" s="154">
        <f t="shared" si="14"/>
        <v>9.3273565302846499</v>
      </c>
      <c r="AJ35" s="154">
        <f t="shared" si="15"/>
        <v>2.6219716239593698</v>
      </c>
      <c r="AL35" s="153">
        <f t="shared" si="7"/>
        <v>4345.7069728557053</v>
      </c>
      <c r="AN35" s="154">
        <f>INDEX('(2.2)_Forward_Price_Curve'!$I:$I,MATCH($AB35,'(2.2)_Forward_Price_Curve'!$C:$C,0),1)</f>
        <v>7.3164011858738007</v>
      </c>
      <c r="AP35" s="154">
        <f t="shared" si="8"/>
        <v>53.161127080102943</v>
      </c>
      <c r="AR35" s="154">
        <f t="shared" si="16"/>
        <v>2.7140609358528702</v>
      </c>
      <c r="AS35" s="154"/>
      <c r="AT35" s="153">
        <f t="shared" si="2"/>
        <v>1970.9205910187361</v>
      </c>
      <c r="AV35" s="153">
        <f t="shared" si="3"/>
        <v>12233.928291281542</v>
      </c>
      <c r="AW35" s="273"/>
      <c r="AX35" s="155">
        <f t="shared" si="9"/>
        <v>14204.848882300277</v>
      </c>
      <c r="AZ35" s="146">
        <f>+IF(AZ34&gt;$G$13+$G$14,XX,AZ34+1)</f>
        <v>2015</v>
      </c>
      <c r="BA35" s="117"/>
      <c r="BB35" s="154">
        <f t="shared" si="17"/>
        <v>44.579503155205849</v>
      </c>
      <c r="BD35" s="154">
        <f t="shared" si="18"/>
        <v>6.7780101417421683</v>
      </c>
      <c r="BF35" s="153">
        <f t="shared" si="10"/>
        <v>2374.7863818369692</v>
      </c>
      <c r="BH35" s="157"/>
    </row>
    <row r="36" spans="2:60" ht="12">
      <c r="B36" s="2"/>
      <c r="C36">
        <f>+IF(C35&gt;$G$13+$G$14,XX,C35+1)</f>
        <v>2016</v>
      </c>
      <c r="E36" s="169">
        <v>1.7999999999999999E-2</v>
      </c>
      <c r="G36" s="18">
        <v>219821</v>
      </c>
      <c r="I36" s="28">
        <f t="shared" si="11"/>
        <v>0</v>
      </c>
      <c r="K36" s="28">
        <v>65.317279627359909</v>
      </c>
      <c r="M36" s="28">
        <f t="shared" si="12"/>
        <v>0</v>
      </c>
      <c r="O36" s="270">
        <f>'(2.2)_Forward_Price_Curve'!Y30</f>
        <v>6.0059005937444203</v>
      </c>
      <c r="Q36" s="28"/>
      <c r="S36" s="18">
        <f t="shared" si="4"/>
        <v>15678.332799383374</v>
      </c>
      <c r="U36" s="18">
        <f t="shared" si="0"/>
        <v>15267.969799273544</v>
      </c>
      <c r="W36" s="18">
        <f t="shared" si="5"/>
        <v>410.36300010982995</v>
      </c>
      <c r="Y36" s="271">
        <f t="shared" si="6"/>
        <v>1.8668052647828457</v>
      </c>
      <c r="Z36" s="235"/>
      <c r="AB36" s="146">
        <f>+IF(AB35&gt;$G$13+$G$14,XX,AB35+1)</f>
        <v>2016</v>
      </c>
      <c r="AC36" s="117"/>
      <c r="AD36" s="151">
        <f t="shared" si="1"/>
        <v>219821</v>
      </c>
      <c r="AF36" s="154">
        <f t="shared" si="13"/>
        <v>67.349889451592475</v>
      </c>
      <c r="AH36" s="154">
        <f t="shared" si="14"/>
        <v>9.4952489478297739</v>
      </c>
      <c r="AJ36" s="154">
        <f t="shared" si="15"/>
        <v>2.6691671131906385</v>
      </c>
      <c r="AL36" s="153">
        <f t="shared" si="7"/>
        <v>4426.2518737555847</v>
      </c>
      <c r="AN36" s="154">
        <f>INDEX('(2.2)_Forward_Price_Curve'!$I:$I,MATCH($AB36,'(2.2)_Forward_Price_Curve'!$C:$C,0),1)</f>
        <v>7.9211828417083421</v>
      </c>
      <c r="AP36" s="154">
        <f t="shared" si="8"/>
        <v>57.555483491778489</v>
      </c>
      <c r="AR36" s="154">
        <f t="shared" si="16"/>
        <v>2.7629140326982218</v>
      </c>
      <c r="AS36" s="154"/>
      <c r="AT36" s="153">
        <f t="shared" si="2"/>
        <v>2008.7193370455498</v>
      </c>
      <c r="AV36" s="153">
        <f t="shared" si="3"/>
        <v>13259.250462227994</v>
      </c>
      <c r="AW36" s="273"/>
      <c r="AX36" s="155">
        <f t="shared" si="9"/>
        <v>15267.969799273544</v>
      </c>
      <c r="AZ36" s="146">
        <f>+IF(AZ35&gt;$G$13+$G$14,XX,AZ35+1)</f>
        <v>2016</v>
      </c>
      <c r="BA36" s="117"/>
      <c r="BB36" s="154">
        <f t="shared" si="17"/>
        <v>45.381934211999557</v>
      </c>
      <c r="BD36" s="154">
        <f t="shared" si="18"/>
        <v>6.9000143242935277</v>
      </c>
      <c r="BF36" s="153">
        <f t="shared" si="10"/>
        <v>2417.5325367100349</v>
      </c>
      <c r="BH36" s="157"/>
    </row>
    <row r="37" spans="2:60" ht="12">
      <c r="B37" s="2"/>
      <c r="C37">
        <f>+IF(C36&gt;$G$13+$G$14,XX,C36+1)</f>
        <v>2017</v>
      </c>
      <c r="E37" s="169">
        <v>1.7999999999999999E-2</v>
      </c>
      <c r="G37" s="18">
        <v>218951</v>
      </c>
      <c r="I37" s="28">
        <f t="shared" si="11"/>
        <v>0</v>
      </c>
      <c r="K37" s="28">
        <v>65.317279627359909</v>
      </c>
      <c r="M37" s="28">
        <f t="shared" si="12"/>
        <v>0</v>
      </c>
      <c r="O37" s="270">
        <f>'(2.2)_Forward_Price_Curve'!Y31</f>
        <v>6.1140068044318197</v>
      </c>
      <c r="Q37" s="28"/>
      <c r="S37" s="18">
        <f t="shared" si="4"/>
        <v>15639.951595527231</v>
      </c>
      <c r="U37" s="18">
        <f t="shared" si="0"/>
        <v>16255.398439958266</v>
      </c>
      <c r="W37" s="18">
        <f t="shared" si="5"/>
        <v>-615.44684443103506</v>
      </c>
      <c r="Y37" s="271">
        <f t="shared" si="6"/>
        <v>-2.8108884838664134</v>
      </c>
      <c r="Z37" s="235"/>
      <c r="AB37" s="146">
        <f>+IF(AB36&gt;$G$13+$G$14,XX,AB36+1)</f>
        <v>2017</v>
      </c>
      <c r="AC37" s="117"/>
      <c r="AD37" s="151">
        <f t="shared" si="1"/>
        <v>218951</v>
      </c>
      <c r="AF37" s="154">
        <f t="shared" si="13"/>
        <v>68.562187461721138</v>
      </c>
      <c r="AH37" s="154">
        <f t="shared" si="14"/>
        <v>9.6661634288907106</v>
      </c>
      <c r="AJ37" s="154">
        <f t="shared" si="15"/>
        <v>2.7172121212280702</v>
      </c>
      <c r="AL37" s="153">
        <f t="shared" si="7"/>
        <v>4503.5604329377175</v>
      </c>
      <c r="AN37" s="154">
        <f>INDEX('(2.2)_Forward_Price_Curve'!$I:$I,MATCH($AB37,'(2.2)_Forward_Price_Curve'!$C:$C,0),1)</f>
        <v>8.5467545643478058</v>
      </c>
      <c r="AP37" s="154">
        <f t="shared" si="8"/>
        <v>62.100900972324112</v>
      </c>
      <c r="AR37" s="154">
        <f t="shared" si="16"/>
        <v>2.8126464852867898</v>
      </c>
      <c r="AS37" s="154"/>
      <c r="AT37" s="153">
        <f t="shared" si="2"/>
        <v>2042.5123105669018</v>
      </c>
      <c r="AV37" s="153">
        <f t="shared" si="3"/>
        <v>14212.886129391365</v>
      </c>
      <c r="AW37" s="273"/>
      <c r="AX37" s="155">
        <f t="shared" si="9"/>
        <v>16255.398439958266</v>
      </c>
      <c r="AZ37" s="146">
        <f>+IF(AZ36&gt;$G$13+$G$14,XX,AZ36+1)</f>
        <v>2017</v>
      </c>
      <c r="BA37" s="117"/>
      <c r="BB37" s="154">
        <f t="shared" si="17"/>
        <v>46.19880902781555</v>
      </c>
      <c r="BD37" s="154">
        <f t="shared" si="18"/>
        <v>7.0242145821308108</v>
      </c>
      <c r="BF37" s="153">
        <f t="shared" si="10"/>
        <v>2461.0481223708157</v>
      </c>
      <c r="BH37" s="157"/>
    </row>
    <row r="38" spans="2:60" ht="12">
      <c r="B38" s="2"/>
      <c r="C38">
        <f>+IF(C37&gt;$G$13+$G$14,XX,C37+1)</f>
        <v>2018</v>
      </c>
      <c r="E38" s="169">
        <v>1.7999999999999999E-2</v>
      </c>
      <c r="G38" s="18">
        <v>218951</v>
      </c>
      <c r="I38" s="28">
        <f t="shared" si="11"/>
        <v>0</v>
      </c>
      <c r="K38" s="28">
        <v>65.317279627359909</v>
      </c>
      <c r="M38" s="28">
        <f t="shared" si="12"/>
        <v>0</v>
      </c>
      <c r="O38" s="270">
        <f>'(2.2)_Forward_Price_Curve'!Y32</f>
        <v>6.2240589269115922</v>
      </c>
      <c r="Q38" s="28"/>
      <c r="S38" s="18">
        <f t="shared" si="4"/>
        <v>15664.047617796299</v>
      </c>
      <c r="U38" s="18">
        <f t="shared" si="0"/>
        <v>17194.781359945155</v>
      </c>
      <c r="W38" s="18">
        <f t="shared" si="5"/>
        <v>-1530.7337421488555</v>
      </c>
      <c r="Y38" s="271">
        <f t="shared" si="6"/>
        <v>-6.9912160353177448</v>
      </c>
      <c r="Z38" s="235"/>
      <c r="AB38" s="146">
        <f>+IF(AB37&gt;$G$13+$G$14,XX,AB37+1)</f>
        <v>2018</v>
      </c>
      <c r="AC38" s="117"/>
      <c r="AD38" s="151">
        <f t="shared" si="1"/>
        <v>218951</v>
      </c>
      <c r="AF38" s="154">
        <f t="shared" si="13"/>
        <v>69.796306836032116</v>
      </c>
      <c r="AH38" s="154">
        <f t="shared" si="14"/>
        <v>9.8401543706107439</v>
      </c>
      <c r="AJ38" s="154">
        <f t="shared" si="15"/>
        <v>2.7661219394101755</v>
      </c>
      <c r="AL38" s="153">
        <f t="shared" si="7"/>
        <v>4584.6245207305947</v>
      </c>
      <c r="AN38" s="154">
        <f>INDEX('(2.2)_Forward_Price_Curve'!$I:$I,MATCH($AB38,'(2.2)_Forward_Price_Curve'!$C:$C,0),1)</f>
        <v>9.1071488375904099</v>
      </c>
      <c r="AP38" s="154">
        <f t="shared" si="8"/>
        <v>66.172737715275218</v>
      </c>
      <c r="AR38" s="154">
        <f t="shared" si="16"/>
        <v>2.8632741220219522</v>
      </c>
      <c r="AS38" s="154"/>
      <c r="AT38" s="153">
        <f t="shared" si="2"/>
        <v>2079.2775321571044</v>
      </c>
      <c r="AV38" s="153">
        <f t="shared" si="3"/>
        <v>15115.50382778805</v>
      </c>
      <c r="AW38" s="273"/>
      <c r="AX38" s="155">
        <f t="shared" si="9"/>
        <v>17194.781359945155</v>
      </c>
      <c r="AZ38" s="146">
        <f>+IF(AZ37&gt;$G$13+$G$14,XX,AZ37+1)</f>
        <v>2018</v>
      </c>
      <c r="BA38" s="117"/>
      <c r="BB38" s="154">
        <f t="shared" si="17"/>
        <v>47.030387590316231</v>
      </c>
      <c r="BD38" s="154">
        <f t="shared" si="18"/>
        <v>7.1506504446091652</v>
      </c>
      <c r="BF38" s="153">
        <f t="shared" si="10"/>
        <v>2505.3469885734903</v>
      </c>
      <c r="BH38" s="157"/>
    </row>
    <row r="39" spans="2:60" ht="12">
      <c r="B39" s="2"/>
      <c r="C39">
        <f>+IF(C38&gt;$G$13+$G$14,XX,C38+1)</f>
        <v>2019</v>
      </c>
      <c r="E39" s="169">
        <v>1.7999999999999999E-2</v>
      </c>
      <c r="G39" s="18">
        <v>218951</v>
      </c>
      <c r="I39" s="28">
        <f t="shared" si="11"/>
        <v>0</v>
      </c>
      <c r="K39" s="28">
        <v>65.317279627359909</v>
      </c>
      <c r="M39" s="28">
        <f t="shared" si="12"/>
        <v>0</v>
      </c>
      <c r="O39" s="270">
        <f>'(2.2)_Forward_Price_Curve'!Y33</f>
        <v>6.3360919875960011</v>
      </c>
      <c r="Q39" s="28"/>
      <c r="S39" s="18">
        <f t="shared" si="4"/>
        <v>15688.577368466213</v>
      </c>
      <c r="U39" s="18">
        <f t="shared" si="0"/>
        <v>18232.733481813571</v>
      </c>
      <c r="W39" s="18">
        <f t="shared" si="5"/>
        <v>-2544.1561133473588</v>
      </c>
      <c r="Y39" s="271">
        <f t="shared" si="6"/>
        <v>-11.619751055475239</v>
      </c>
      <c r="Z39" s="235"/>
      <c r="AB39" s="146">
        <f>+IF(AB38&gt;$G$13+$G$14,XX,AB38+1)</f>
        <v>2019</v>
      </c>
      <c r="AC39" s="117"/>
      <c r="AD39" s="151">
        <f t="shared" si="1"/>
        <v>218951</v>
      </c>
      <c r="AF39" s="154">
        <f t="shared" si="13"/>
        <v>71.052640359080698</v>
      </c>
      <c r="AH39" s="154">
        <f t="shared" si="14"/>
        <v>10.017277149281737</v>
      </c>
      <c r="AJ39" s="154">
        <f t="shared" si="15"/>
        <v>2.8159121343195586</v>
      </c>
      <c r="AL39" s="153">
        <f t="shared" si="7"/>
        <v>4667.1477621037457</v>
      </c>
      <c r="AN39" s="154">
        <f>INDEX('(2.2)_Forward_Price_Curve'!$I:$I,MATCH($AB39,'(2.2)_Forward_Price_Curve'!$C:$C,0),1)</f>
        <v>9.7289597532905745</v>
      </c>
      <c r="AP39" s="154">
        <f t="shared" si="8"/>
        <v>70.69082909237946</v>
      </c>
      <c r="AR39" s="154">
        <f t="shared" si="16"/>
        <v>2.9148130562183474</v>
      </c>
      <c r="AS39" s="154"/>
      <c r="AT39" s="153">
        <f t="shared" si="2"/>
        <v>2116.7045277359325</v>
      </c>
      <c r="AV39" s="153">
        <f t="shared" si="3"/>
        <v>16116.028954077639</v>
      </c>
      <c r="AW39" s="273"/>
      <c r="AX39" s="155">
        <f t="shared" si="9"/>
        <v>18232.733481813571</v>
      </c>
      <c r="AZ39" s="146">
        <f>+IF(AZ38&gt;$G$13+$G$14,XX,AZ38+1)</f>
        <v>2019</v>
      </c>
      <c r="BA39" s="117"/>
      <c r="BB39" s="154">
        <f t="shared" si="17"/>
        <v>47.876934566941927</v>
      </c>
      <c r="BD39" s="154">
        <f t="shared" si="18"/>
        <v>7.2793621526121299</v>
      </c>
      <c r="BF39" s="153">
        <f t="shared" si="10"/>
        <v>2550.4432343678131</v>
      </c>
      <c r="BH39" s="157"/>
    </row>
    <row r="40" spans="2:60" ht="12">
      <c r="B40" s="2"/>
      <c r="C40">
        <f>+IF(C39&gt;$G$13+$G$14,XX,C39+1)</f>
        <v>2020</v>
      </c>
      <c r="E40" s="169">
        <v>1.7999999999999999E-2</v>
      </c>
      <c r="G40" s="18">
        <v>219821</v>
      </c>
      <c r="I40" s="28">
        <f t="shared" si="11"/>
        <v>0</v>
      </c>
      <c r="K40" s="28">
        <v>65.317279627359909</v>
      </c>
      <c r="M40" s="28">
        <f t="shared" si="12"/>
        <v>0</v>
      </c>
      <c r="O40" s="270">
        <f>'(2.2)_Forward_Price_Curve'!Y34</f>
        <v>6.4501416433727297</v>
      </c>
      <c r="Q40" s="28"/>
      <c r="S40" s="18">
        <f t="shared" si="4"/>
        <v>15775.98631115372</v>
      </c>
      <c r="U40" s="18">
        <f t="shared" si="0"/>
        <v>18953.20757090464</v>
      </c>
      <c r="W40" s="18">
        <f t="shared" si="5"/>
        <v>-3177.2212597509206</v>
      </c>
      <c r="Y40" s="271">
        <f t="shared" si="6"/>
        <v>-14.453674852497807</v>
      </c>
      <c r="Z40" s="235"/>
      <c r="AB40" s="146">
        <f>+IF(AB39&gt;$G$13+$G$14,XX,AB39+1)</f>
        <v>2020</v>
      </c>
      <c r="AC40" s="117"/>
      <c r="AD40" s="151">
        <f t="shared" si="1"/>
        <v>219821</v>
      </c>
      <c r="AF40" s="154">
        <f t="shared" si="13"/>
        <v>72.331587885544153</v>
      </c>
      <c r="AH40" s="154">
        <f t="shared" si="14"/>
        <v>10.197588137968809</v>
      </c>
      <c r="AJ40" s="154">
        <f t="shared" si="15"/>
        <v>2.8665985527373108</v>
      </c>
      <c r="AL40" s="153">
        <f t="shared" si="7"/>
        <v>4753.6503625624955</v>
      </c>
      <c r="AN40" s="154">
        <f>INDEX('(2.2)_Forward_Price_Curve'!$I:$I,MATCH($AB40,'(2.2)_Forward_Price_Curve'!$C:$C,0),1)</f>
        <v>10.107309478601163</v>
      </c>
      <c r="AP40" s="154">
        <f t="shared" si="8"/>
        <v>73.43992626692922</v>
      </c>
      <c r="AR40" s="154">
        <f t="shared" si="16"/>
        <v>2.9672796912302779</v>
      </c>
      <c r="AS40" s="154"/>
      <c r="AT40" s="153">
        <f t="shared" si="2"/>
        <v>2157.2991499760619</v>
      </c>
      <c r="AV40" s="153">
        <f t="shared" si="3"/>
        <v>16795.908420928579</v>
      </c>
      <c r="AW40" s="273"/>
      <c r="AX40" s="155">
        <f t="shared" si="9"/>
        <v>18953.20757090464</v>
      </c>
      <c r="AZ40" s="146">
        <f>+IF(AZ39&gt;$G$13+$G$14,XX,AZ39+1)</f>
        <v>2020</v>
      </c>
      <c r="BA40" s="117"/>
      <c r="BB40" s="154">
        <f t="shared" si="17"/>
        <v>48.73871938914688</v>
      </c>
      <c r="BD40" s="154">
        <f t="shared" si="18"/>
        <v>7.4103906713591483</v>
      </c>
      <c r="BF40" s="153">
        <f t="shared" si="10"/>
        <v>2596.3512125864336</v>
      </c>
      <c r="BH40" s="157"/>
    </row>
    <row r="41" spans="2:60" ht="12">
      <c r="B41" s="2"/>
      <c r="C41">
        <f>+IF(C40&gt;$G$13+$G$14,XX,C40+1)</f>
        <v>2021</v>
      </c>
      <c r="E41" s="169">
        <v>1.7999999999999999E-2</v>
      </c>
      <c r="G41" s="18">
        <v>218951</v>
      </c>
      <c r="I41" s="28">
        <f t="shared" si="11"/>
        <v>0</v>
      </c>
      <c r="K41" s="28">
        <v>65.317279627359909</v>
      </c>
      <c r="M41" s="28">
        <f t="shared" si="12"/>
        <v>0</v>
      </c>
      <c r="O41" s="270">
        <f>'(2.2)_Forward_Price_Curve'!Y35</f>
        <v>6.5662441929534392</v>
      </c>
      <c r="Q41" s="28"/>
      <c r="S41" s="18">
        <f t="shared" si="4"/>
        <v>15738.969423981427</v>
      </c>
      <c r="U41" s="18">
        <f t="shared" si="0"/>
        <v>19219.358168600127</v>
      </c>
      <c r="W41" s="18">
        <f t="shared" si="5"/>
        <v>-3480.3887446187</v>
      </c>
      <c r="Y41" s="271">
        <f t="shared" si="6"/>
        <v>-15.89574263017159</v>
      </c>
      <c r="Z41" s="235"/>
      <c r="AB41" s="146">
        <f>+IF(AB40&gt;$G$13+$G$14,XX,AB40+1)</f>
        <v>2021</v>
      </c>
      <c r="AC41" s="117"/>
      <c r="AD41" s="151">
        <f t="shared" si="1"/>
        <v>218951</v>
      </c>
      <c r="AF41" s="154">
        <f t="shared" si="13"/>
        <v>73.633556467483942</v>
      </c>
      <c r="AH41" s="154">
        <f t="shared" si="14"/>
        <v>10.381144724452248</v>
      </c>
      <c r="AJ41" s="154">
        <f t="shared" si="15"/>
        <v>2.9181973266865824</v>
      </c>
      <c r="AL41" s="153">
        <f t="shared" si="7"/>
        <v>4836.677237414402</v>
      </c>
      <c r="AN41" s="154">
        <f>INDEX('(2.2)_Forward_Price_Curve'!$I:$I,MATCH($AB41,'(2.2)_Forward_Price_Curve'!$C:$C,0),1)</f>
        <v>10.286225465001079</v>
      </c>
      <c r="AP41" s="154">
        <f t="shared" si="8"/>
        <v>74.739933640504091</v>
      </c>
      <c r="AR41" s="154">
        <f t="shared" si="16"/>
        <v>3.0206907256724231</v>
      </c>
      <c r="AS41" s="154"/>
      <c r="AT41" s="153">
        <f t="shared" si="2"/>
        <v>2193.5917030014125</v>
      </c>
      <c r="AV41" s="153">
        <f t="shared" si="3"/>
        <v>17025.766465598714</v>
      </c>
      <c r="AW41" s="273"/>
      <c r="AX41" s="155">
        <f t="shared" si="9"/>
        <v>19219.358168600127</v>
      </c>
      <c r="AZ41" s="146">
        <f>+IF(AZ40&gt;$G$13+$G$14,XX,AZ40+1)</f>
        <v>2021</v>
      </c>
      <c r="BA41" s="117"/>
      <c r="BB41" s="154">
        <f t="shared" si="17"/>
        <v>49.616016338151525</v>
      </c>
      <c r="BD41" s="154">
        <f t="shared" si="18"/>
        <v>7.5437777034436131</v>
      </c>
      <c r="BF41" s="153">
        <f t="shared" si="10"/>
        <v>2643.0855344129895</v>
      </c>
      <c r="BH41" s="157"/>
    </row>
    <row r="42" spans="2:60" ht="12">
      <c r="B42" s="2"/>
      <c r="C42">
        <f>+IF(C41&gt;$G$13+$G$14,XX,C41+1)</f>
        <v>2022</v>
      </c>
      <c r="E42" s="169">
        <v>1.9E-2</v>
      </c>
      <c r="G42" s="18">
        <v>218951</v>
      </c>
      <c r="I42" s="28">
        <f t="shared" si="11"/>
        <v>0</v>
      </c>
      <c r="K42" s="28">
        <v>65.317279627359909</v>
      </c>
      <c r="M42" s="28">
        <f t="shared" si="12"/>
        <v>0</v>
      </c>
      <c r="O42" s="270">
        <f>'(2.2)_Forward_Price_Curve'!Y36</f>
        <v>6.6910028326195539</v>
      </c>
      <c r="Q42" s="28"/>
      <c r="S42" s="18">
        <f t="shared" si="4"/>
        <v>15766.285452894965</v>
      </c>
      <c r="U42" s="18">
        <f t="shared" si="0"/>
        <v>19584.8873770106</v>
      </c>
      <c r="W42" s="18">
        <f t="shared" si="5"/>
        <v>-3818.6019241156355</v>
      </c>
      <c r="Y42" s="271">
        <f t="shared" si="6"/>
        <v>-17.440440665334414</v>
      </c>
      <c r="Z42" s="235"/>
      <c r="AB42" s="146">
        <f>+IF(AB41&gt;$G$13+$G$14,XX,AB41+1)</f>
        <v>2022</v>
      </c>
      <c r="AC42" s="117"/>
      <c r="AD42" s="151">
        <f t="shared" si="1"/>
        <v>218951</v>
      </c>
      <c r="AF42" s="154">
        <f t="shared" si="13"/>
        <v>75.032594040366135</v>
      </c>
      <c r="AH42" s="154">
        <f t="shared" si="14"/>
        <v>10.57838647421684</v>
      </c>
      <c r="AJ42" s="154">
        <f t="shared" si="15"/>
        <v>2.973643075893627</v>
      </c>
      <c r="AL42" s="153">
        <f t="shared" si="7"/>
        <v>4928.5741049252756</v>
      </c>
      <c r="AN42" s="154">
        <f>INDEX('(2.2)_Forward_Price_Curve'!$I:$I,MATCH($AB42,'(2.2)_Forward_Price_Curve'!$C:$C,0),1)</f>
        <v>10.481890917487915</v>
      </c>
      <c r="AP42" s="154">
        <f t="shared" si="8"/>
        <v>76.16164299194341</v>
      </c>
      <c r="AR42" s="154">
        <f t="shared" si="16"/>
        <v>3.078083849460199</v>
      </c>
      <c r="AS42" s="154"/>
      <c r="AT42" s="153">
        <f t="shared" si="2"/>
        <v>2235.2699453584396</v>
      </c>
      <c r="AV42" s="153">
        <f t="shared" si="3"/>
        <v>17349.617431652161</v>
      </c>
      <c r="AW42" s="273"/>
      <c r="AX42" s="155">
        <f t="shared" si="9"/>
        <v>19584.8873770106</v>
      </c>
      <c r="AZ42" s="146">
        <f>+IF(AZ41&gt;$G$13+$G$14,XX,AZ41+1)</f>
        <v>2022</v>
      </c>
      <c r="BA42" s="117"/>
      <c r="BB42" s="154">
        <f t="shared" si="17"/>
        <v>50.558720648576397</v>
      </c>
      <c r="BD42" s="154">
        <f t="shared" si="18"/>
        <v>7.6871094798090409</v>
      </c>
      <c r="BF42" s="153">
        <f t="shared" si="10"/>
        <v>2693.304159566836</v>
      </c>
      <c r="BH42" s="157"/>
    </row>
    <row r="43" spans="2:60" ht="13.5" customHeight="1">
      <c r="B43" s="2"/>
      <c r="C43">
        <f>+IF(C42&gt;$G$13+$G$14,XX,C42+1)</f>
        <v>2023</v>
      </c>
      <c r="E43" s="169">
        <v>1.9E-2</v>
      </c>
      <c r="G43" s="18">
        <v>218951</v>
      </c>
      <c r="I43" s="28">
        <f t="shared" si="11"/>
        <v>0</v>
      </c>
      <c r="K43" s="28">
        <v>65.317279627359909</v>
      </c>
      <c r="M43" s="28">
        <f t="shared" si="12"/>
        <v>0</v>
      </c>
      <c r="O43" s="270">
        <f>'(2.2)_Forward_Price_Curve'!Y37</f>
        <v>6.8181318864393248</v>
      </c>
      <c r="Q43" s="28"/>
      <c r="S43" s="18">
        <f t="shared" si="4"/>
        <v>15794.120486357855</v>
      </c>
      <c r="U43" s="18">
        <f t="shared" si="0"/>
        <v>19954.602443988537</v>
      </c>
      <c r="W43" s="18">
        <f t="shared" si="5"/>
        <v>-4160.4819576306818</v>
      </c>
      <c r="Y43" s="271">
        <f t="shared" si="6"/>
        <v>-19.001886073279785</v>
      </c>
      <c r="Z43" s="235"/>
      <c r="AB43" s="146">
        <f>+IF(AB42&gt;$G$13+$G$14,XX,AB42+1)</f>
        <v>2023</v>
      </c>
      <c r="AC43" s="117"/>
      <c r="AD43" s="151">
        <f t="shared" si="1"/>
        <v>218951</v>
      </c>
      <c r="AF43" s="154">
        <f t="shared" si="13"/>
        <v>76.45821332713308</v>
      </c>
      <c r="AH43" s="154">
        <f t="shared" si="14"/>
        <v>10.77937581722696</v>
      </c>
      <c r="AJ43" s="154">
        <f t="shared" si="15"/>
        <v>3.0301422943356058</v>
      </c>
      <c r="AL43" s="153">
        <f t="shared" si="7"/>
        <v>5022.2170129188562</v>
      </c>
      <c r="AN43" s="154">
        <f>INDEX('(2.2)_Forward_Price_Curve'!$I:$I,MATCH($AB43,'(2.2)_Forward_Price_Curve'!$C:$C,0),1)</f>
        <v>10.679539654517416</v>
      </c>
      <c r="AP43" s="154">
        <f t="shared" si="8"/>
        <v>77.597762931174486</v>
      </c>
      <c r="AR43" s="154">
        <f t="shared" si="16"/>
        <v>3.1365674425999424</v>
      </c>
      <c r="AS43" s="154"/>
      <c r="AT43" s="153">
        <f t="shared" si="2"/>
        <v>2277.7400743202502</v>
      </c>
      <c r="AV43" s="153">
        <f t="shared" si="3"/>
        <v>17676.862369668288</v>
      </c>
      <c r="AW43" s="273"/>
      <c r="AX43" s="155">
        <f t="shared" si="9"/>
        <v>19954.602443988537</v>
      </c>
      <c r="AZ43" s="146">
        <f>+IF(AZ42&gt;$G$13+$G$14,XX,AZ42+1)</f>
        <v>2023</v>
      </c>
      <c r="BA43" s="117"/>
      <c r="BB43" s="154">
        <f t="shared" si="17"/>
        <v>51.519336340899343</v>
      </c>
      <c r="BD43" s="154">
        <f t="shared" si="18"/>
        <v>7.8331645599254118</v>
      </c>
      <c r="BF43" s="153">
        <f t="shared" si="10"/>
        <v>2744.476938598606</v>
      </c>
      <c r="BH43" s="157"/>
    </row>
    <row r="44" spans="2:60" ht="12">
      <c r="B44" s="2"/>
      <c r="C44">
        <f>+IF(C43&gt;$G$13+$G$14,XX,C43+1)</f>
        <v>2024</v>
      </c>
      <c r="E44" s="169">
        <v>1.9E-2</v>
      </c>
      <c r="G44" s="18">
        <v>219821</v>
      </c>
      <c r="I44" s="28">
        <f t="shared" si="11"/>
        <v>0</v>
      </c>
      <c r="K44" s="28">
        <v>65.317279627359909</v>
      </c>
      <c r="M44" s="28">
        <f t="shared" si="12"/>
        <v>0</v>
      </c>
      <c r="O44" s="270">
        <f>'(2.2)_Forward_Price_Curve'!Y38</f>
        <v>6.9476763922816716</v>
      </c>
      <c r="Q44" s="28"/>
      <c r="S44" s="18">
        <f t="shared" si="4"/>
        <v>15885.354897193631</v>
      </c>
      <c r="U44" s="18">
        <f t="shared" si="0"/>
        <v>20409.817841134172</v>
      </c>
      <c r="W44" s="18">
        <f t="shared" si="5"/>
        <v>-4524.4629439405417</v>
      </c>
      <c r="Y44" s="271">
        <f t="shared" si="6"/>
        <v>-20.582487314408276</v>
      </c>
      <c r="Z44" s="235"/>
      <c r="AB44" s="146">
        <f>+IF(AB43&gt;$G$13+$G$14,XX,AB43+1)</f>
        <v>2024</v>
      </c>
      <c r="AC44" s="117"/>
      <c r="AD44" s="151">
        <f t="shared" si="1"/>
        <v>219821</v>
      </c>
      <c r="AF44" s="154">
        <f t="shared" si="13"/>
        <v>77.910919380348602</v>
      </c>
      <c r="AH44" s="154">
        <f t="shared" si="14"/>
        <v>10.98418395775427</v>
      </c>
      <c r="AJ44" s="154">
        <f t="shared" si="15"/>
        <v>3.0877149979279821</v>
      </c>
      <c r="AL44" s="153">
        <f t="shared" si="7"/>
        <v>5120.3254482125103</v>
      </c>
      <c r="AN44" s="154">
        <f>INDEX('(2.2)_Forward_Price_Curve'!$I:$I,MATCH($AB44,'(2.2)_Forward_Price_Curve'!$C:$C,0),1)</f>
        <v>10.883589278444866</v>
      </c>
      <c r="AP44" s="154">
        <f t="shared" si="8"/>
        <v>79.080391851141073</v>
      </c>
      <c r="AR44" s="154">
        <f t="shared" si="16"/>
        <v>3.196162224009341</v>
      </c>
      <c r="AS44" s="154"/>
      <c r="AT44" s="153">
        <f t="shared" si="2"/>
        <v>2323.703447780531</v>
      </c>
      <c r="AV44" s="153">
        <f t="shared" si="3"/>
        <v>18086.11439335364</v>
      </c>
      <c r="AW44" s="273"/>
      <c r="AX44" s="155">
        <f t="shared" si="9"/>
        <v>20409.817841134172</v>
      </c>
      <c r="AZ44" s="146">
        <f>+IF(AZ43&gt;$G$13+$G$14,XX,AZ43+1)</f>
        <v>2024</v>
      </c>
      <c r="BA44" s="117"/>
      <c r="BB44" s="154">
        <f t="shared" si="17"/>
        <v>52.498203731376428</v>
      </c>
      <c r="BD44" s="154">
        <f t="shared" si="18"/>
        <v>7.9819946865639944</v>
      </c>
      <c r="BF44" s="153">
        <f t="shared" si="10"/>
        <v>2796.6220004319794</v>
      </c>
      <c r="BH44" s="157"/>
    </row>
    <row r="45" spans="2:60" ht="12">
      <c r="B45" s="2"/>
      <c r="C45">
        <f>+IF(C44&gt;$G$13+$G$14,XX,C44+1)</f>
        <v>2025</v>
      </c>
      <c r="E45" s="169">
        <v>1.9E-2</v>
      </c>
      <c r="G45" s="18">
        <v>218951</v>
      </c>
      <c r="I45" s="28">
        <f t="shared" si="11"/>
        <v>0</v>
      </c>
      <c r="K45" s="28">
        <v>65.317279627359909</v>
      </c>
      <c r="M45" s="28">
        <f t="shared" si="12"/>
        <v>0</v>
      </c>
      <c r="O45" s="270">
        <f>'(2.2)_Forward_Price_Curve'!Y39</f>
        <v>7.0796822437350224</v>
      </c>
      <c r="Q45" s="28"/>
      <c r="S45" s="18">
        <f t="shared" si="4"/>
        <v>15851.387198638105</v>
      </c>
      <c r="U45" s="18">
        <f t="shared" si="0"/>
        <v>20721.526499147658</v>
      </c>
      <c r="W45" s="18">
        <f t="shared" si="5"/>
        <v>-4870.1393005095524</v>
      </c>
      <c r="Y45" s="271">
        <f t="shared" si="6"/>
        <v>-22.243055754527507</v>
      </c>
      <c r="Z45" s="235"/>
      <c r="AB45" s="146">
        <f>+IF(AB44&gt;$G$13+$G$14,XX,AB44+1)</f>
        <v>2025</v>
      </c>
      <c r="AC45" s="117"/>
      <c r="AD45" s="151">
        <f t="shared" si="1"/>
        <v>218951</v>
      </c>
      <c r="AF45" s="154">
        <f t="shared" si="13"/>
        <v>79.391226848575215</v>
      </c>
      <c r="AH45" s="154">
        <f t="shared" si="14"/>
        <v>11.1928834529516</v>
      </c>
      <c r="AJ45" s="154">
        <f t="shared" si="15"/>
        <v>3.1463815828886132</v>
      </c>
      <c r="AL45" s="153">
        <f t="shared" si="7"/>
        <v>5214.8742797514342</v>
      </c>
      <c r="AN45" s="154">
        <f>INDEX('(2.2)_Forward_Price_Curve'!$I:$I,MATCH($AB45,'(2.2)_Forward_Price_Curve'!$C:$C,0),1)</f>
        <v>11.090126110825569</v>
      </c>
      <c r="AP45" s="154">
        <f t="shared" si="8"/>
        <v>80.581092880782762</v>
      </c>
      <c r="AR45" s="154">
        <f t="shared" si="16"/>
        <v>3.2568893062655184</v>
      </c>
      <c r="AS45" s="154"/>
      <c r="AT45" s="153">
        <f t="shared" si="2"/>
        <v>2365.1164613112478</v>
      </c>
      <c r="AV45" s="153">
        <f t="shared" si="3"/>
        <v>18356.410037836409</v>
      </c>
      <c r="AW45" s="273"/>
      <c r="AX45" s="155">
        <f t="shared" si="9"/>
        <v>20721.526499147658</v>
      </c>
      <c r="AZ45" s="146">
        <f>+IF(AZ44&gt;$G$13+$G$14,XX,AZ44+1)</f>
        <v>2025</v>
      </c>
      <c r="BA45" s="117"/>
      <c r="BB45" s="154">
        <f t="shared" si="17"/>
        <v>53.495669602272578</v>
      </c>
      <c r="BD45" s="154">
        <f t="shared" si="18"/>
        <v>8.1336525856087096</v>
      </c>
      <c r="BF45" s="153">
        <f t="shared" si="10"/>
        <v>2849.7578184401864</v>
      </c>
      <c r="BH45" s="157"/>
    </row>
    <row r="46" spans="2:60" ht="12">
      <c r="B46" s="2"/>
      <c r="C46">
        <f>+IF(C45&gt;$G$13+$G$14,XX,C45+1)</f>
        <v>2026</v>
      </c>
      <c r="E46" s="169">
        <v>1.9E-2</v>
      </c>
      <c r="G46" s="18">
        <v>218951</v>
      </c>
      <c r="I46" s="28">
        <f t="shared" si="11"/>
        <v>0</v>
      </c>
      <c r="K46" s="28">
        <v>65.317279627359909</v>
      </c>
      <c r="M46" s="28">
        <f t="shared" si="12"/>
        <v>0</v>
      </c>
      <c r="O46" s="270">
        <f>'(2.2)_Forward_Price_Curve'!Y40</f>
        <v>7.2141962063659868</v>
      </c>
      <c r="Q46" s="28"/>
      <c r="S46" s="18">
        <f t="shared" si="4"/>
        <v>15880.839165270118</v>
      </c>
      <c r="U46" s="18">
        <f t="shared" si="0"/>
        <v>21112.494976328348</v>
      </c>
      <c r="W46" s="18">
        <f t="shared" si="5"/>
        <v>-5231.65581105823</v>
      </c>
      <c r="Y46" s="271">
        <f t="shared" si="6"/>
        <v>-23.894185507525563</v>
      </c>
      <c r="Z46" s="235"/>
      <c r="AB46" s="146">
        <f>+IF(AB45&gt;$G$13+$G$14,XX,AB45+1)</f>
        <v>2026</v>
      </c>
      <c r="AC46" s="117"/>
      <c r="AD46" s="151">
        <f t="shared" si="1"/>
        <v>218951</v>
      </c>
      <c r="AF46" s="154">
        <f t="shared" si="13"/>
        <v>80.89966015869814</v>
      </c>
      <c r="AH46" s="154">
        <f t="shared" si="14"/>
        <v>11.40554823855768</v>
      </c>
      <c r="AJ46" s="154">
        <f t="shared" si="15"/>
        <v>3.2061628329634968</v>
      </c>
      <c r="AL46" s="153">
        <f t="shared" si="7"/>
        <v>5313.9568910667122</v>
      </c>
      <c r="AN46" s="154">
        <f>INDEX('(2.2)_Forward_Price_Curve'!$I:$I,MATCH($AB46,'(2.2)_Forward_Price_Curve'!$C:$C,0),1)</f>
        <v>11.299115883408938</v>
      </c>
      <c r="AP46" s="154">
        <f t="shared" si="8"/>
        <v>82.099617026259821</v>
      </c>
      <c r="AR46" s="154">
        <f t="shared" si="16"/>
        <v>3.3187702030845632</v>
      </c>
      <c r="AS46" s="154"/>
      <c r="AT46" s="153">
        <f t="shared" si="2"/>
        <v>2410.0536740761622</v>
      </c>
      <c r="AV46" s="153">
        <f t="shared" si="3"/>
        <v>18702.441302252184</v>
      </c>
      <c r="AW46" s="273"/>
      <c r="AX46" s="155">
        <f t="shared" si="9"/>
        <v>21112.494976328348</v>
      </c>
      <c r="AZ46" s="146">
        <f>+IF(AZ45&gt;$G$13+$G$14,XX,AZ45+1)</f>
        <v>2026</v>
      </c>
      <c r="BA46" s="117"/>
      <c r="BB46" s="154">
        <f t="shared" si="17"/>
        <v>54.51208732471575</v>
      </c>
      <c r="BD46" s="154">
        <f t="shared" si="18"/>
        <v>8.2881919847352741</v>
      </c>
      <c r="BF46" s="153">
        <f t="shared" si="10"/>
        <v>2903.9032169905499</v>
      </c>
      <c r="BH46" s="157"/>
    </row>
    <row r="47" spans="2:60" ht="12">
      <c r="B47" s="2"/>
      <c r="C47">
        <f>+IF(C46&gt;$G$13+$G$14,XX,C46+1)</f>
        <v>2027</v>
      </c>
      <c r="E47" s="169">
        <v>1.9E-2</v>
      </c>
      <c r="G47" s="18">
        <v>218951</v>
      </c>
      <c r="I47" s="28">
        <f t="shared" si="11"/>
        <v>0</v>
      </c>
      <c r="K47" s="28">
        <v>65.317279627359909</v>
      </c>
      <c r="M47" s="28">
        <f t="shared" si="12"/>
        <v>0</v>
      </c>
      <c r="O47" s="270">
        <f>'(2.2)_Forward_Price_Curve'!Y41</f>
        <v>7.35126593428694</v>
      </c>
      <c r="Q47" s="28"/>
      <c r="S47" s="18">
        <f t="shared" si="4"/>
        <v>15910.850719268139</v>
      </c>
      <c r="U47" s="18">
        <f t="shared" si="0"/>
        <v>21511.759093646422</v>
      </c>
      <c r="W47" s="18">
        <f t="shared" si="5"/>
        <v>-5600.908374378283</v>
      </c>
      <c r="Y47" s="271">
        <f t="shared" si="6"/>
        <v>-25.580647607813084</v>
      </c>
      <c r="Z47" s="235"/>
      <c r="AB47" s="146">
        <f>+IF(AB46&gt;$G$13+$G$14,XX,AB46+1)</f>
        <v>2027</v>
      </c>
      <c r="AC47" s="117"/>
      <c r="AD47" s="151">
        <f t="shared" si="1"/>
        <v>218951</v>
      </c>
      <c r="AF47" s="154">
        <f t="shared" si="13"/>
        <v>82.4367537017134</v>
      </c>
      <c r="AH47" s="154">
        <f t="shared" si="14"/>
        <v>11.622253655090274</v>
      </c>
      <c r="AJ47" s="154">
        <f t="shared" si="15"/>
        <v>3.267079926789803</v>
      </c>
      <c r="AL47" s="153">
        <f t="shared" si="7"/>
        <v>5414.9220719969799</v>
      </c>
      <c r="AN47" s="154">
        <f>INDEX('(2.2)_Forward_Price_Curve'!$I:$I,MATCH($AB47,'(2.2)_Forward_Price_Curve'!$C:$C,0),1)</f>
        <v>11.51262158558478</v>
      </c>
      <c r="AP47" s="154">
        <f t="shared" si="8"/>
        <v>83.650954012483467</v>
      </c>
      <c r="AR47" s="154">
        <f t="shared" si="16"/>
        <v>3.3818268369431697</v>
      </c>
      <c r="AS47" s="154"/>
      <c r="AT47" s="153">
        <f t="shared" si="2"/>
        <v>2455.8446938836096</v>
      </c>
      <c r="AV47" s="153">
        <f t="shared" si="3"/>
        <v>19055.914399762813</v>
      </c>
      <c r="AW47" s="273"/>
      <c r="AX47" s="155">
        <f t="shared" si="9"/>
        <v>21511.759093646422</v>
      </c>
      <c r="AZ47" s="146">
        <f>+IF(AZ46&gt;$G$13+$G$14,XX,AZ46+1)</f>
        <v>2027</v>
      </c>
      <c r="BA47" s="117"/>
      <c r="BB47" s="154">
        <f t="shared" si="17"/>
        <v>55.547816983885347</v>
      </c>
      <c r="BD47" s="154">
        <f t="shared" si="18"/>
        <v>8.4456676324452431</v>
      </c>
      <c r="BF47" s="153">
        <f t="shared" si="10"/>
        <v>2959.0773781133703</v>
      </c>
      <c r="BH47" s="157"/>
    </row>
    <row r="48" spans="2:60" ht="12">
      <c r="B48" s="2"/>
      <c r="C48">
        <f>+IF(C47&gt;$G$13+$G$14,XX,C47+1)</f>
        <v>2028</v>
      </c>
      <c r="E48" s="169">
        <v>1.9E-2</v>
      </c>
      <c r="G48" s="18">
        <v>219821</v>
      </c>
      <c r="I48" s="28">
        <f t="shared" si="11"/>
        <v>0</v>
      </c>
      <c r="K48" s="28">
        <v>65.317279627359909</v>
      </c>
      <c r="M48" s="28">
        <f t="shared" si="12"/>
        <v>0</v>
      </c>
      <c r="O48" s="270">
        <f>'(2.2)_Forward_Price_Curve'!Y42</f>
        <v>7.4909399870383915</v>
      </c>
      <c r="Q48" s="28"/>
      <c r="S48" s="18">
        <f t="shared" si="4"/>
        <v>16004.775643856648</v>
      </c>
      <c r="U48" s="18">
        <f t="shared" si="0"/>
        <v>22003.529936355688</v>
      </c>
      <c r="W48" s="18">
        <f t="shared" si="5"/>
        <v>-5998.7542924990394</v>
      </c>
      <c r="Y48" s="271">
        <f t="shared" si="6"/>
        <v>-27.289268507099138</v>
      </c>
      <c r="Z48" s="235"/>
      <c r="AB48" s="146">
        <f>+IF(AB47&gt;$G$13+$G$14,XX,AB47+1)</f>
        <v>2028</v>
      </c>
      <c r="AC48" s="117"/>
      <c r="AD48" s="151">
        <f t="shared" si="1"/>
        <v>219821</v>
      </c>
      <c r="AF48" s="154">
        <f t="shared" si="13"/>
        <v>84.003052022045949</v>
      </c>
      <c r="AH48" s="154">
        <f t="shared" si="14"/>
        <v>11.843076474536989</v>
      </c>
      <c r="AJ48" s="154">
        <f t="shared" si="15"/>
        <v>3.3291544453988089</v>
      </c>
      <c r="AL48" s="153">
        <f t="shared" si="7"/>
        <v>5520.7019557324184</v>
      </c>
      <c r="AN48" s="154">
        <f>INDEX('(2.2)_Forward_Price_Curve'!$I:$I,MATCH($AB48,'(2.2)_Forward_Price_Curve'!$C:$C,0),1)</f>
        <v>11.7332358254813</v>
      </c>
      <c r="AP48" s="154">
        <f t="shared" si="8"/>
        <v>85.253941785415222</v>
      </c>
      <c r="AR48" s="154">
        <f t="shared" si="16"/>
        <v>3.4460815468450896</v>
      </c>
      <c r="AS48" s="154"/>
      <c r="AT48" s="153">
        <f t="shared" si="2"/>
        <v>2505.4021074348943</v>
      </c>
      <c r="AV48" s="153">
        <f t="shared" si="3"/>
        <v>19498.127828920795</v>
      </c>
      <c r="AW48" s="273"/>
      <c r="AX48" s="155">
        <f t="shared" si="9"/>
        <v>22003.529936355688</v>
      </c>
      <c r="AZ48" s="146">
        <f>+IF(AZ47&gt;$G$13+$G$14,XX,AZ47+1)</f>
        <v>2028</v>
      </c>
      <c r="BA48" s="117"/>
      <c r="BB48" s="154">
        <f t="shared" si="17"/>
        <v>56.603225506579165</v>
      </c>
      <c r="BD48" s="154">
        <f t="shared" si="18"/>
        <v>8.6061353174617015</v>
      </c>
      <c r="BF48" s="153">
        <f t="shared" si="10"/>
        <v>3015.299848297524</v>
      </c>
      <c r="BH48" s="157"/>
    </row>
    <row r="49" spans="2:60" ht="12">
      <c r="B49" s="2"/>
      <c r="C49">
        <f>+IF(C48&gt;$G$13+$G$14,XX,C48+1)</f>
        <v>2029</v>
      </c>
      <c r="E49" s="169">
        <v>0.02</v>
      </c>
      <c r="G49" s="18">
        <v>218951</v>
      </c>
      <c r="I49" s="28">
        <f t="shared" si="11"/>
        <v>0</v>
      </c>
      <c r="K49" s="28">
        <v>65.317279627359909</v>
      </c>
      <c r="M49" s="28">
        <f t="shared" si="12"/>
        <v>0</v>
      </c>
      <c r="O49" s="270">
        <f>'(2.2)_Forward_Price_Curve'!Y43</f>
        <v>7.63326784679212</v>
      </c>
      <c r="Q49" s="28"/>
      <c r="S49" s="18">
        <f t="shared" si="4"/>
        <v>15972.595320013061</v>
      </c>
      <c r="U49" s="18">
        <f t="shared" si="0"/>
        <v>22338.130989195754</v>
      </c>
      <c r="W49" s="18">
        <f t="shared" si="5"/>
        <v>-6365.5356691826928</v>
      </c>
      <c r="Y49" s="271">
        <f t="shared" si="6"/>
        <v>-29.072877809111137</v>
      </c>
      <c r="Z49" s="235"/>
      <c r="AB49" s="146">
        <f>+IF(AB48&gt;$G$13+$G$14,XX,AB48+1)</f>
        <v>2029</v>
      </c>
      <c r="AC49" s="117"/>
      <c r="AD49" s="151">
        <f t="shared" si="1"/>
        <v>218951</v>
      </c>
      <c r="AF49" s="154">
        <f t="shared" si="13"/>
        <v>85.683113062486868</v>
      </c>
      <c r="AH49" s="154">
        <f t="shared" si="14"/>
        <v>12.07993800402773</v>
      </c>
      <c r="AJ49" s="154">
        <f t="shared" si="15"/>
        <v>3.395737534306785</v>
      </c>
      <c r="AL49" s="153">
        <f t="shared" si="7"/>
        <v>5628.1617031922178</v>
      </c>
      <c r="AN49" s="154">
        <f>INDEX('(2.2)_Forward_Price_Curve'!$I:$I,MATCH($AB49,'(2.2)_Forward_Price_Curve'!$C:$C,0),1)</f>
        <v>11.952938687642925</v>
      </c>
      <c r="AP49" s="154">
        <f t="shared" si="8"/>
        <v>86.850307468284981</v>
      </c>
      <c r="AR49" s="154">
        <f t="shared" si="16"/>
        <v>3.5150031777819915</v>
      </c>
      <c r="AS49" s="154"/>
      <c r="AT49" s="153">
        <f t="shared" si="2"/>
        <v>2552.5558579287435</v>
      </c>
      <c r="AV49" s="153">
        <f t="shared" si="3"/>
        <v>19785.575131267011</v>
      </c>
      <c r="AW49" s="273"/>
      <c r="AX49" s="155">
        <f t="shared" si="9"/>
        <v>22338.130989195754</v>
      </c>
      <c r="AZ49" s="146">
        <f>+IF(AZ48&gt;$G$13+$G$14,XX,AZ48+1)</f>
        <v>2029</v>
      </c>
      <c r="BA49" s="117"/>
      <c r="BB49" s="154">
        <f t="shared" si="17"/>
        <v>57.735290016710749</v>
      </c>
      <c r="BD49" s="154">
        <f t="shared" si="18"/>
        <v>8.7782580238109365</v>
      </c>
      <c r="BF49" s="153">
        <f t="shared" si="10"/>
        <v>3075.6058452634743</v>
      </c>
      <c r="BH49" s="157"/>
    </row>
    <row r="50" spans="2:60" ht="12">
      <c r="B50" s="2"/>
      <c r="C50">
        <f>+IF(C49&gt;$G$13+$G$14,XX,C49+1)</f>
        <v>2030</v>
      </c>
      <c r="E50" s="169">
        <v>1.9E-2</v>
      </c>
      <c r="G50" s="18">
        <v>218951</v>
      </c>
      <c r="I50" s="28">
        <f t="shared" si="11"/>
        <v>0</v>
      </c>
      <c r="K50" s="28">
        <v>65.317279627359909</v>
      </c>
      <c r="M50" s="28">
        <f t="shared" si="12"/>
        <v>0</v>
      </c>
      <c r="O50" s="270">
        <f>'(2.2)_Forward_Price_Curve'!Y44</f>
        <v>7.7859332037279625</v>
      </c>
      <c r="Q50" s="28"/>
      <c r="S50" s="18">
        <f t="shared" si="4"/>
        <v>16006.021552579521</v>
      </c>
      <c r="U50" s="18">
        <f t="shared" si="0"/>
        <v>19954.602443988537</v>
      </c>
      <c r="W50" s="18">
        <f t="shared" si="5"/>
        <v>-3948.5808914090157</v>
      </c>
      <c r="Y50" s="271">
        <f t="shared" si="6"/>
        <v>-18.034084755991138</v>
      </c>
      <c r="Z50" s="235"/>
      <c r="AB50" s="146">
        <f>+IF(AB42&gt;$G$13+$G$14,XX,AB42+1)</f>
        <v>2023</v>
      </c>
      <c r="AC50" s="117"/>
      <c r="AD50" s="151">
        <f t="shared" si="1"/>
        <v>218951</v>
      </c>
      <c r="AF50" s="154">
        <f>AF42*(1+$E50)</f>
        <v>76.45821332713308</v>
      </c>
      <c r="AH50" s="154">
        <f>AH42*(1+$E50)</f>
        <v>10.77937581722696</v>
      </c>
      <c r="AJ50" s="154">
        <f>AJ42*(1+$E50)</f>
        <v>3.0301422943356058</v>
      </c>
      <c r="AL50" s="153">
        <f t="shared" si="7"/>
        <v>5022.2170129188562</v>
      </c>
      <c r="AN50" s="154">
        <f>INDEX('(2.2)_Forward_Price_Curve'!$I:$I,MATCH($AB50,'(2.2)_Forward_Price_Curve'!$C:$C,0),1)</f>
        <v>10.679539654517416</v>
      </c>
      <c r="AP50" s="154">
        <f t="shared" si="8"/>
        <v>77.597762931174486</v>
      </c>
      <c r="AR50" s="154">
        <f>AR42*(1+$E50)</f>
        <v>3.1365674425999424</v>
      </c>
      <c r="AS50" s="154"/>
      <c r="AT50" s="153">
        <f t="shared" si="2"/>
        <v>2277.7400743202502</v>
      </c>
      <c r="AV50" s="153">
        <f t="shared" si="3"/>
        <v>17676.862369668288</v>
      </c>
      <c r="AW50" s="273"/>
      <c r="AX50" s="155">
        <f t="shared" si="9"/>
        <v>19954.602443988537</v>
      </c>
      <c r="AZ50" s="146">
        <f>+IF(AZ42&gt;$G$13+$G$14,XX,AZ42+1)</f>
        <v>2023</v>
      </c>
      <c r="BA50" s="117"/>
      <c r="BB50" s="154">
        <f>BB42*(1+$E50)</f>
        <v>51.519336340899343</v>
      </c>
      <c r="BD50" s="154">
        <f>BD42*(1+$E50)</f>
        <v>7.8331645599254118</v>
      </c>
      <c r="BF50" s="153">
        <f t="shared" si="10"/>
        <v>2744.476938598606</v>
      </c>
      <c r="BH50" s="157"/>
    </row>
    <row r="51" spans="2:60" ht="13.5" customHeight="1">
      <c r="B51" s="2"/>
      <c r="C51">
        <f>+IF(C50&gt;$G$13+$G$14,XX,C50+1)</f>
        <v>2031</v>
      </c>
      <c r="E51" s="169">
        <v>1.9E-2</v>
      </c>
      <c r="G51" s="18">
        <v>218951</v>
      </c>
      <c r="I51" s="28">
        <f t="shared" si="11"/>
        <v>0</v>
      </c>
      <c r="K51" s="28">
        <v>65.317279627359909</v>
      </c>
      <c r="M51" s="28">
        <f t="shared" si="12"/>
        <v>0</v>
      </c>
      <c r="O51" s="270">
        <f>'(2.2)_Forward_Price_Curve'!Y45</f>
        <v>7.9416518678025216</v>
      </c>
      <c r="Q51" s="28"/>
      <c r="S51" s="18">
        <f t="shared" si="4"/>
        <v>16040.116309797309</v>
      </c>
      <c r="U51" s="18">
        <f t="shared" si="0"/>
        <v>20335.550927040593</v>
      </c>
      <c r="W51" s="18">
        <f t="shared" si="5"/>
        <v>-4295.4346172432834</v>
      </c>
      <c r="Y51" s="271">
        <f t="shared" si="6"/>
        <v>-19.618246170345344</v>
      </c>
      <c r="Z51" s="235"/>
      <c r="AB51" s="146">
        <f>+IF(AB50&gt;$G$13+$G$14,XX,AB50+1)</f>
        <v>2024</v>
      </c>
      <c r="AC51" s="117"/>
      <c r="AD51" s="151">
        <f t="shared" si="1"/>
        <v>218951</v>
      </c>
      <c r="AF51" s="154">
        <f t="shared" si="13"/>
        <v>77.910919380348602</v>
      </c>
      <c r="AH51" s="154">
        <f t="shared" si="14"/>
        <v>10.98418395775427</v>
      </c>
      <c r="AJ51" s="154">
        <f t="shared" si="15"/>
        <v>3.0877149979279821</v>
      </c>
      <c r="AL51" s="153">
        <f t="shared" si="7"/>
        <v>5117.6391361643127</v>
      </c>
      <c r="AN51" s="154">
        <f>INDEX('(2.2)_Forward_Price_Curve'!$I:$I,MATCH($AB51,'(2.2)_Forward_Price_Curve'!$C:$C,0),1)</f>
        <v>10.883589278444866</v>
      </c>
      <c r="AP51" s="154">
        <f t="shared" si="8"/>
        <v>79.080391851141073</v>
      </c>
      <c r="AR51" s="154">
        <f t="shared" si="16"/>
        <v>3.196162224009341</v>
      </c>
      <c r="AS51" s="154"/>
      <c r="AT51" s="153">
        <f t="shared" si="2"/>
        <v>2321.0171357323334</v>
      </c>
      <c r="AV51" s="153">
        <f t="shared" si="3"/>
        <v>18014.533791308259</v>
      </c>
      <c r="AW51" s="273"/>
      <c r="AX51" s="155">
        <f t="shared" si="9"/>
        <v>20335.550927040593</v>
      </c>
      <c r="AZ51" s="146">
        <f>+IF(AZ50&gt;$G$13+$G$14,XX,AZ50+1)</f>
        <v>2024</v>
      </c>
      <c r="BA51" s="117"/>
      <c r="BB51" s="154">
        <f t="shared" si="17"/>
        <v>52.498203731376428</v>
      </c>
      <c r="BD51" s="154">
        <f t="shared" si="18"/>
        <v>7.9819946865639944</v>
      </c>
      <c r="BF51" s="153">
        <f t="shared" si="10"/>
        <v>2796.6220004319794</v>
      </c>
      <c r="BH51" s="157"/>
    </row>
    <row r="52" spans="2:60" ht="12">
      <c r="B52" s="2"/>
      <c r="C52">
        <f>+IF(C51&gt;$G$13+$G$14,XX,C51+1)</f>
        <v>2032</v>
      </c>
      <c r="E52" s="169">
        <v>1.9E-2</v>
      </c>
      <c r="G52" s="18">
        <v>219821</v>
      </c>
      <c r="I52" s="28">
        <f t="shared" si="11"/>
        <v>0</v>
      </c>
      <c r="K52" s="28">
        <v>65.317279627359909</v>
      </c>
      <c r="M52" s="28">
        <f t="shared" si="12"/>
        <v>0</v>
      </c>
      <c r="O52" s="270">
        <f>'(2.2)_Forward_Price_Curve'!Y46</f>
        <v>8.1084265570263732</v>
      </c>
      <c r="Q52" s="28"/>
      <c r="S52" s="18">
        <f t="shared" si="4"/>
        <v>16140.512159157979</v>
      </c>
      <c r="U52" s="18">
        <f t="shared" si="0"/>
        <v>20797.202895627503</v>
      </c>
      <c r="W52" s="18">
        <f t="shared" si="5"/>
        <v>-4656.6907364695235</v>
      </c>
      <c r="Y52" s="271">
        <f t="shared" si="6"/>
        <v>-21.18401215748051</v>
      </c>
      <c r="Z52" s="235"/>
      <c r="AB52" s="146">
        <f>+IF(AB51&gt;$G$13+$G$14,XX,AB51+1)</f>
        <v>2025</v>
      </c>
      <c r="AC52" s="117"/>
      <c r="AD52" s="151">
        <f t="shared" si="1"/>
        <v>219821</v>
      </c>
      <c r="AF52" s="154">
        <f t="shared" si="13"/>
        <v>79.391226848575215</v>
      </c>
      <c r="AH52" s="154">
        <f t="shared" si="14"/>
        <v>11.1928834529516</v>
      </c>
      <c r="AJ52" s="154">
        <f t="shared" si="15"/>
        <v>3.1463815828886132</v>
      </c>
      <c r="AL52" s="153">
        <f t="shared" si="7"/>
        <v>5217.6116317285478</v>
      </c>
      <c r="AN52" s="154">
        <f>INDEX('(2.2)_Forward_Price_Curve'!$I:$I,MATCH($AB52,'(2.2)_Forward_Price_Curve'!$C:$C,0),1)</f>
        <v>11.090126110825569</v>
      </c>
      <c r="AP52" s="154">
        <f t="shared" si="8"/>
        <v>80.581092880782762</v>
      </c>
      <c r="AR52" s="154">
        <f t="shared" si="16"/>
        <v>3.2568893062655184</v>
      </c>
      <c r="AS52" s="154"/>
      <c r="AT52" s="153">
        <f t="shared" si="2"/>
        <v>2367.8538132883614</v>
      </c>
      <c r="AV52" s="153">
        <f t="shared" si="3"/>
        <v>18429.34908233914</v>
      </c>
      <c r="AW52" s="273"/>
      <c r="AX52" s="155">
        <f t="shared" si="9"/>
        <v>20797.202895627503</v>
      </c>
      <c r="AZ52" s="146">
        <f>+IF(AZ51&gt;$G$13+$G$14,XX,AZ51+1)</f>
        <v>2025</v>
      </c>
      <c r="BA52" s="117"/>
      <c r="BB52" s="154">
        <f t="shared" si="17"/>
        <v>53.495669602272578</v>
      </c>
      <c r="BD52" s="154">
        <f t="shared" si="18"/>
        <v>8.1336525856087096</v>
      </c>
      <c r="BF52" s="153">
        <f t="shared" si="10"/>
        <v>2849.7578184401864</v>
      </c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 ht="12">
      <c r="B57" s="2"/>
      <c r="E57" s="169"/>
      <c r="G57" s="18"/>
      <c r="I57" s="28"/>
      <c r="K57" s="28"/>
      <c r="M57" s="28"/>
      <c r="O57" s="270"/>
      <c r="Q57" s="28"/>
      <c r="S57" s="18"/>
      <c r="U57" s="18"/>
      <c r="W57" s="18"/>
      <c r="Y57" s="271"/>
      <c r="Z57" s="235"/>
      <c r="AB57" s="146"/>
      <c r="AC57" s="117"/>
      <c r="AD57" s="151"/>
      <c r="AF57" s="154"/>
      <c r="AH57" s="154"/>
      <c r="AJ57" s="154"/>
      <c r="AL57" s="153"/>
      <c r="AN57" s="154"/>
      <c r="AP57" s="154"/>
      <c r="AR57" s="154"/>
      <c r="AS57" s="154"/>
      <c r="AT57" s="153"/>
      <c r="AV57" s="153"/>
      <c r="AW57" s="273"/>
      <c r="AX57" s="155"/>
      <c r="AZ57" s="146"/>
      <c r="BA57" s="117"/>
      <c r="BB57" s="154"/>
      <c r="BD57" s="154"/>
      <c r="BF57" s="153"/>
      <c r="BH57" s="157"/>
    </row>
    <row r="58" spans="2:60" ht="12">
      <c r="B58" s="2"/>
      <c r="E58" s="169"/>
      <c r="G58" s="18"/>
      <c r="I58" s="28"/>
      <c r="K58" s="28"/>
      <c r="M58" s="28"/>
      <c r="O58" s="270"/>
      <c r="Q58" s="28"/>
      <c r="S58" s="18"/>
      <c r="U58" s="18"/>
      <c r="W58" s="18"/>
      <c r="Y58" s="271"/>
      <c r="Z58" s="235"/>
      <c r="AB58" s="146"/>
      <c r="AC58" s="117"/>
      <c r="AD58" s="151"/>
      <c r="AF58" s="154"/>
      <c r="AH58" s="154"/>
      <c r="AJ58" s="154"/>
      <c r="AL58" s="153"/>
      <c r="AN58" s="154"/>
      <c r="AP58" s="154"/>
      <c r="AR58" s="154"/>
      <c r="AS58" s="154"/>
      <c r="AT58" s="153"/>
      <c r="AV58" s="153"/>
      <c r="AW58" s="273"/>
      <c r="AX58" s="155"/>
      <c r="AZ58" s="146"/>
      <c r="BA58" s="117"/>
      <c r="BB58" s="154"/>
      <c r="BD58" s="154"/>
      <c r="BF58" s="153"/>
      <c r="BH58" s="157"/>
    </row>
    <row r="59" spans="2:60" ht="12">
      <c r="B59" s="2"/>
      <c r="E59" s="169"/>
      <c r="G59" s="18"/>
      <c r="I59" s="28"/>
      <c r="K59" s="28"/>
      <c r="M59" s="28"/>
      <c r="O59" s="270"/>
      <c r="Q59" s="28"/>
      <c r="S59" s="18"/>
      <c r="U59" s="18"/>
      <c r="W59" s="18"/>
      <c r="Y59" s="271"/>
      <c r="Z59" s="235"/>
      <c r="AB59" s="146"/>
      <c r="AC59" s="117"/>
      <c r="AD59" s="151"/>
      <c r="AF59" s="154"/>
      <c r="AH59" s="154"/>
      <c r="AJ59" s="154"/>
      <c r="AL59" s="153"/>
      <c r="AN59" s="154"/>
      <c r="AP59" s="154"/>
      <c r="AR59" s="154"/>
      <c r="AS59" s="154"/>
      <c r="AT59" s="153"/>
      <c r="AV59" s="153"/>
      <c r="AW59" s="273"/>
      <c r="AX59" s="155"/>
      <c r="AZ59" s="146"/>
      <c r="BA59" s="117"/>
      <c r="BB59" s="154"/>
      <c r="BD59" s="154"/>
      <c r="BF59" s="153"/>
      <c r="BH59" s="157"/>
    </row>
    <row r="60" spans="2:60">
      <c r="B60" s="2"/>
      <c r="E60" s="169"/>
      <c r="G60" s="267"/>
      <c r="I60" s="267"/>
      <c r="K60" s="267"/>
      <c r="M60" s="267"/>
      <c r="O60" s="267"/>
      <c r="Q60" s="267"/>
      <c r="S60" s="267"/>
      <c r="U60" s="267"/>
      <c r="W60" s="267"/>
      <c r="Y60" s="267"/>
      <c r="Z60" s="235"/>
      <c r="AB60" s="2"/>
      <c r="AF60" s="274"/>
      <c r="AH60" s="274"/>
      <c r="AJ60" s="274"/>
      <c r="AL60" s="273"/>
      <c r="AN60" s="274"/>
      <c r="AP60" s="274"/>
      <c r="AR60" s="274"/>
      <c r="AS60" s="274"/>
      <c r="AT60" s="274"/>
      <c r="AV60" s="273"/>
      <c r="AW60" s="273"/>
      <c r="AX60" s="275"/>
      <c r="AZ60" s="2"/>
      <c r="BB60" s="274"/>
      <c r="BF60" s="273"/>
      <c r="BH60" s="235"/>
    </row>
    <row r="61" spans="2:60" ht="12">
      <c r="B61" s="2"/>
      <c r="C61" s="276" t="str">
        <f>G14&amp;"-year Nominal Levelized at "&amp;TEXT($G$18,"#.00%")</f>
        <v>25-year Nominal Levelized at 7.20%</v>
      </c>
      <c r="E61" s="169"/>
      <c r="G61" s="285">
        <f>+-PMT($G$18,$G$14,NPV($G$18,G28:G59))</f>
        <v>219201.34789330146</v>
      </c>
      <c r="I61" s="28">
        <f>+-PMT($G$18,$G$14,NPV($G$18,I28:I59))</f>
        <v>0</v>
      </c>
      <c r="J61" s="28"/>
      <c r="K61" s="28">
        <f>+-PMT($G$18,$G$14,NPV($G$18,K28:K59))</f>
        <v>64.464653074179367</v>
      </c>
      <c r="M61" s="28">
        <f>+-PMT($G$18,$G$14,NPV($G$18,M28:M59))</f>
        <v>0</v>
      </c>
      <c r="O61" s="28">
        <f>+-PMT($G$18,$G$14,NPV($G$18,O28:O59))</f>
        <v>6.1141265833661533</v>
      </c>
      <c r="Q61" s="28">
        <f>+-PMT($G$18,$G$14,NPV($G$18,Q28:Q59))</f>
        <v>0</v>
      </c>
      <c r="S61" s="18">
        <f>+-PMT($G$18,$G$14,NPV($G$18,S28:S59))</f>
        <v>15470.417563327237</v>
      </c>
      <c r="U61" s="18">
        <f>+-PMT($G$18,$G$14,NPV($G$18,U28:U59))</f>
        <v>16447.371602235849</v>
      </c>
      <c r="W61" s="285">
        <f>+-PMT($G$18,$G$14,NPV($G$18,W28:W59))</f>
        <v>-976.95403890861473</v>
      </c>
      <c r="Y61" s="271">
        <f>+W61/G61*1000</f>
        <v>-4.4568797057952274</v>
      </c>
      <c r="Z61" s="235"/>
      <c r="AB61" s="2"/>
      <c r="AD61" s="151">
        <f>+-PMT($G$18,$G$14,NPV($G$18,AD28:AD59))</f>
        <v>219201.34789330146</v>
      </c>
      <c r="AF61" s="154">
        <f>+-PMT($G$18,$G$14,NPV($G$18,AF28:AF59))</f>
        <v>68.012738231101409</v>
      </c>
      <c r="AH61" s="154">
        <f>+-PMT($G$18,$G$14,NPV($G$18,AH28:AH59))</f>
        <v>9.5886999427378825</v>
      </c>
      <c r="AJ61" s="154">
        <f>+-PMT($G$18,$G$14,NPV($G$18,AJ28:AJ59))</f>
        <v>2.6954367058757973</v>
      </c>
      <c r="AL61" s="153">
        <f>+-PMT($G$18,$G$14,NPV($G$18,AL28:AL59))</f>
        <v>4468.1357020379783</v>
      </c>
      <c r="AN61" s="154">
        <f>+-PMT($G$18,$G$14,NPV($G$18,AN28:AN59))</f>
        <v>8.6700647778765543</v>
      </c>
      <c r="AP61" s="154">
        <f>+-PMT($G$18,$G$14,NPV($G$18,AP28:AP59))</f>
        <v>62.996875614110138</v>
      </c>
      <c r="AR61" s="154">
        <f>+-PMT($G$18,$G$14,NPV($G$18,AR28:AR59))</f>
        <v>2.7901062702709121</v>
      </c>
      <c r="AS61" s="154"/>
      <c r="AT61" s="153">
        <f>+-PMT($G$18,$G$14,NPV($G$18,AT28:AT59))</f>
        <v>2026.8101271443657</v>
      </c>
      <c r="AV61" s="153">
        <f>+-PMT($G$18,$G$14,NPV($G$18,AV28:AV59))</f>
        <v>14420.561475091486</v>
      </c>
      <c r="AW61" s="273"/>
      <c r="AX61" s="155">
        <f>+-PMT($G$18,$G$14,NPV($G$18,AX28:AX59))</f>
        <v>16447.371602235849</v>
      </c>
      <c r="AZ61" s="2"/>
      <c r="BB61" s="154">
        <f>+-PMT($G$18,$G$14,NPV($G$18,BB28:BB59))</f>
        <v>45.8285772569863</v>
      </c>
      <c r="BD61" s="154">
        <f>+-PMT($G$18,$G$14,NPV($G$18,BD28:BD59))</f>
        <v>6.9679233603839199</v>
      </c>
      <c r="BF61" s="153">
        <f>+-PMT($G$18,$G$14,NPV($G$18,BF28:BF59))</f>
        <v>2441.3255748936112</v>
      </c>
      <c r="BH61" s="157"/>
    </row>
    <row r="62" spans="2:60">
      <c r="B62" s="2"/>
      <c r="E62" s="169"/>
      <c r="W62" s="18"/>
      <c r="Y62" s="271"/>
      <c r="Z62" s="235"/>
      <c r="AB62" s="2"/>
      <c r="AX62" s="235"/>
      <c r="AZ62" s="2"/>
      <c r="BH62" s="235"/>
    </row>
    <row r="63" spans="2:60">
      <c r="B63" s="238"/>
      <c r="C63" s="277"/>
      <c r="D63" s="277"/>
      <c r="E63" s="278"/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/>
      <c r="Q63" s="277"/>
      <c r="R63" s="277"/>
      <c r="S63" s="277"/>
      <c r="T63" s="277"/>
      <c r="U63" s="277"/>
      <c r="V63" s="277"/>
      <c r="W63" s="277"/>
      <c r="X63" s="277"/>
      <c r="Y63" s="277"/>
      <c r="Z63" s="239"/>
      <c r="AB63" s="238"/>
      <c r="AC63" s="277"/>
      <c r="AD63" s="277"/>
      <c r="AE63" s="277"/>
      <c r="AF63" s="277"/>
      <c r="AG63" s="277"/>
      <c r="AH63" s="277"/>
      <c r="AI63" s="277"/>
      <c r="AJ63" s="277"/>
      <c r="AK63" s="277"/>
      <c r="AL63" s="277"/>
      <c r="AM63" s="277"/>
      <c r="AN63" s="277"/>
      <c r="AO63" s="277"/>
      <c r="AP63" s="277"/>
      <c r="AQ63" s="277"/>
      <c r="AR63" s="277"/>
      <c r="AS63" s="277"/>
      <c r="AT63" s="277"/>
      <c r="AU63" s="277"/>
      <c r="AV63" s="277"/>
      <c r="AW63" s="277"/>
      <c r="AX63" s="239"/>
      <c r="AZ63" s="238"/>
      <c r="BA63" s="277"/>
      <c r="BB63" s="277"/>
      <c r="BC63" s="277"/>
      <c r="BD63" s="277"/>
      <c r="BE63" s="277"/>
      <c r="BF63" s="277"/>
      <c r="BG63" s="277"/>
      <c r="BH63" s="239"/>
    </row>
    <row r="64" spans="2:60">
      <c r="E64" s="169"/>
    </row>
    <row r="65" spans="5:23">
      <c r="E65" s="169"/>
      <c r="G65" s="18"/>
      <c r="I65" s="18"/>
      <c r="K65" s="18"/>
      <c r="O65" s="18"/>
      <c r="Q65" s="18"/>
      <c r="S65" s="18"/>
      <c r="U65" s="18"/>
      <c r="W65" s="18"/>
    </row>
    <row r="66" spans="5:23">
      <c r="E66" s="169"/>
    </row>
    <row r="67" spans="5:23">
      <c r="E67" s="169"/>
    </row>
    <row r="68" spans="5:23">
      <c r="E68" s="169"/>
    </row>
    <row r="69" spans="5:23">
      <c r="E69" s="169"/>
    </row>
    <row r="70" spans="5:23">
      <c r="E70" s="169"/>
    </row>
    <row r="71" spans="5:23">
      <c r="E71" s="169"/>
    </row>
    <row r="72" spans="5:23">
      <c r="E72" s="169"/>
    </row>
    <row r="73" spans="5:23">
      <c r="E73" s="169"/>
    </row>
    <row r="74" spans="5:23">
      <c r="E74" s="169"/>
    </row>
    <row r="75" spans="5:23">
      <c r="E75" s="169"/>
    </row>
    <row r="76" spans="5:23">
      <c r="E76" s="169"/>
    </row>
    <row r="77" spans="5:23">
      <c r="E77" s="169"/>
    </row>
    <row r="78" spans="5:23">
      <c r="E78" s="169"/>
    </row>
    <row r="79" spans="5:23">
      <c r="E79" s="169"/>
    </row>
    <row r="80" spans="5:23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  <row r="87" spans="5:5">
      <c r="E87" s="169"/>
    </row>
  </sheetData>
  <pageMargins left="0.25" right="0.25" top="0.25" bottom="0.75" header="0.3" footer="0.3"/>
  <pageSetup paperSize="5" scale="48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38BFC-4BEA-4BB0-8E33-396DF6296B12}">
  <sheetPr codeName="Sheet11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308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327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50</v>
      </c>
      <c r="H11" s="252"/>
      <c r="AB11" s="122" t="s">
        <v>99</v>
      </c>
      <c r="AC11" s="123"/>
      <c r="AD11" s="123"/>
      <c r="AE11" s="123"/>
      <c r="AF11" s="281">
        <f>+G11*(G12/AJ16)</f>
        <v>20.049535504433514</v>
      </c>
      <c r="AG11" s="127"/>
      <c r="AH11" s="123" t="s">
        <v>100</v>
      </c>
      <c r="AI11" s="124"/>
      <c r="AJ11" s="166">
        <f>'(2.1)_Proxy Resources'!L67</f>
        <v>7.7079648513634842</v>
      </c>
      <c r="AK11" s="235"/>
      <c r="AZ11" s="122" t="s">
        <v>99</v>
      </c>
      <c r="BA11" s="123"/>
      <c r="BB11" s="123"/>
      <c r="BC11" s="123"/>
      <c r="BD11" s="134">
        <f>(AF11*AF13-G11*G19)</f>
        <v>3.9495355044335128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0.28586940551853296</v>
      </c>
      <c r="H12" s="252"/>
      <c r="AB12" s="122" t="s">
        <v>32</v>
      </c>
      <c r="AC12" s="123"/>
      <c r="AD12" s="123"/>
      <c r="AE12" s="123"/>
      <c r="AF12" s="131">
        <f>+AD58/8760/AF11</f>
        <v>0.7116865351496301</v>
      </c>
      <c r="AG12" s="127"/>
      <c r="AH12" s="117" t="s">
        <v>101</v>
      </c>
      <c r="AI12" s="118"/>
      <c r="AJ12" s="117">
        <v>2014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2016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Resources'!O67</f>
        <v>2.6104764135772984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20</v>
      </c>
      <c r="H14" s="252"/>
      <c r="AB14" s="122" t="s">
        <v>104</v>
      </c>
      <c r="AC14" s="123"/>
      <c r="AD14" s="123"/>
      <c r="AE14" s="123"/>
      <c r="AF14" s="134">
        <f>'(2.1)_Proxy Resources'!H67</f>
        <v>6530.8239156386799</v>
      </c>
      <c r="AG14" s="127"/>
      <c r="AH14" s="117" t="s">
        <v>326</v>
      </c>
      <c r="AI14" s="118"/>
      <c r="AJ14" s="166">
        <f>'(2.1)_Proxy Resources'!P67</f>
        <v>12.577035449261281</v>
      </c>
      <c r="AK14" s="235"/>
      <c r="AZ14" s="122" t="s">
        <v>192</v>
      </c>
      <c r="BA14" s="123"/>
      <c r="BB14" s="123"/>
      <c r="BC14" s="123"/>
      <c r="BD14" s="167">
        <f>'(2.1)_Proxy Resources'!J68</f>
        <v>820.02180312689813</v>
      </c>
      <c r="BE14" s="132"/>
    </row>
    <row r="15" spans="1:57" ht="12">
      <c r="A15" t="s">
        <v>325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192</v>
      </c>
      <c r="AC15" s="123"/>
      <c r="AD15" s="123"/>
      <c r="AE15" s="123"/>
      <c r="AF15" s="167">
        <f>'(2.1)_Proxy Resources'!J67</f>
        <v>914.64278393587574</v>
      </c>
      <c r="AG15" s="127"/>
      <c r="AH15" s="117" t="s">
        <v>145</v>
      </c>
      <c r="AI15" s="118"/>
      <c r="AJ15" s="166">
        <f>'(2.1)_Proxy Resources'!Q67</f>
        <v>3.1258372991005694</v>
      </c>
      <c r="AK15" s="235"/>
      <c r="AZ15" s="122" t="s">
        <v>108</v>
      </c>
      <c r="BA15" s="123"/>
      <c r="BB15" s="123"/>
      <c r="BC15" s="123"/>
      <c r="BD15" s="136">
        <f>'(2.1)_Proxy Resources'!K68</f>
        <v>7.7667383499954168E-2</v>
      </c>
      <c r="BE15" s="132"/>
    </row>
    <row r="16" spans="1:57" ht="12">
      <c r="A16" t="s">
        <v>325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Resources'!K65</f>
        <v>7.682307239305719E-2</v>
      </c>
      <c r="AG16" s="127"/>
      <c r="AH16" s="117" t="s">
        <v>110</v>
      </c>
      <c r="AI16" s="124"/>
      <c r="AJ16" s="137">
        <f>'(2.1)_Proxy Resources'!D67</f>
        <v>0.7129078014184399</v>
      </c>
      <c r="AK16" s="235"/>
      <c r="AZ16" s="122" t="s">
        <v>100</v>
      </c>
      <c r="BA16" s="124"/>
      <c r="BB16" s="166">
        <f>'(2.1)_Proxy Resources'!N68</f>
        <v>10.728501482152289</v>
      </c>
      <c r="BE16" s="130"/>
    </row>
    <row r="17" spans="1:60" ht="12">
      <c r="A17" t="s">
        <v>325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2014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'(2.2)_Forward_Price_Curve'!AA7</f>
        <v>6.6600000000000006E-2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'(2.2)_Forward_Price_Curve'!K107</f>
        <v>0.32200000000000001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2016</v>
      </c>
      <c r="E28" s="169">
        <f>+INDEX('(2.2)_Forward_Price_Curve'!$U:$U,MATCH($C28,'(2.2)_Forward_Price_Curve'!C:C,0))</f>
        <v>0.02</v>
      </c>
      <c r="G28" s="18">
        <v>129808</v>
      </c>
      <c r="I28" s="268">
        <f>$G$15*(1+E28)</f>
        <v>0</v>
      </c>
      <c r="J28" s="268"/>
      <c r="K28" s="268">
        <v>24.2714</v>
      </c>
      <c r="L28" s="269"/>
      <c r="M28" s="268">
        <f>$G$17</f>
        <v>0</v>
      </c>
      <c r="O28" s="270">
        <f>'(2.2)_Forward_Price_Curve'!AA30</f>
        <v>0.79796948000000001</v>
      </c>
      <c r="Q28" s="28"/>
      <c r="S28" s="18">
        <f>(I28*$G$11*1000+(K28+M28+O28+Q28)*G28)/1000</f>
        <v>3254.2047134598401</v>
      </c>
      <c r="U28" s="18">
        <f t="shared" ref="U28:U47" si="0">AX28</f>
        <v>11247.403155617249</v>
      </c>
      <c r="W28" s="18">
        <f t="shared" ref="W28:W47" si="1">S28-U28</f>
        <v>-7993.1984421574089</v>
      </c>
      <c r="Y28" s="271">
        <f>+W28*1000/G28</f>
        <v>-61.577086482785418</v>
      </c>
      <c r="Z28" s="235"/>
      <c r="AB28" s="146">
        <f>$C$28</f>
        <v>2016</v>
      </c>
      <c r="AC28" s="117"/>
      <c r="AD28" s="151">
        <f t="shared" ref="AD28:AD47" si="2">G28</f>
        <v>129808</v>
      </c>
      <c r="AF28" s="152">
        <f>$AF$15*$AF$16*(1+E28)</f>
        <v>71.670982180175017</v>
      </c>
      <c r="AG28" s="272"/>
      <c r="AH28" s="152">
        <f>$AJ$11*(1+E28)</f>
        <v>7.8621241483907536</v>
      </c>
      <c r="AI28" s="272"/>
      <c r="AJ28" s="152">
        <f>$AJ$13*(1+E28)</f>
        <v>2.6626859418488444</v>
      </c>
      <c r="AK28" s="272"/>
      <c r="AL28" s="153">
        <f>((AF28+AH28)*$AF$11*1000+AJ28*AD28)/1000</f>
        <v>1940.2397758519799</v>
      </c>
      <c r="AN28" s="154">
        <f>INDEX('(2.2)_Forward_Price_Curve'!$J:$J,MATCH($AB28,'(2.2)_Forward_Price_Curve'!$C:$C,0),1)</f>
        <v>8.9541666666666657</v>
      </c>
      <c r="AO28" s="279"/>
      <c r="AP28" s="154">
        <f>AN28*$AF$14/1000+$AJ$14/(1+E29)</f>
        <v>70.820613239408203</v>
      </c>
      <c r="AQ28" s="272"/>
      <c r="AR28" s="152">
        <f>$AJ$15*(1+E28)</f>
        <v>3.1883540450825807</v>
      </c>
      <c r="AS28" s="152"/>
      <c r="AT28" s="153">
        <f>AL28-BF28</f>
        <v>1640.4471303520691</v>
      </c>
      <c r="AU28" s="272"/>
      <c r="AV28" s="153">
        <f t="shared" ref="AV28:AV47" si="3">(AP28+AR28)*AD28/1000</f>
        <v>9606.9560252651791</v>
      </c>
      <c r="AW28" s="273"/>
      <c r="AX28" s="155">
        <f>AT28+AV28</f>
        <v>11247.403155617249</v>
      </c>
      <c r="AZ28" s="146">
        <f>$C$28</f>
        <v>2016</v>
      </c>
      <c r="BA28" s="117"/>
      <c r="BB28" s="152">
        <f>$BD$14*$BD$15*(1+E28)</f>
        <v>64.962726819016325</v>
      </c>
      <c r="BD28" s="152">
        <f>$BB$16*(1+E28)</f>
        <v>10.943071511795335</v>
      </c>
      <c r="BE28" s="272"/>
      <c r="BF28" s="153">
        <f>(BB28+BD28)*$BD$11</f>
        <v>299.79264549991075</v>
      </c>
      <c r="BG28" s="272"/>
      <c r="BH28" s="156"/>
    </row>
    <row r="29" spans="1:60" ht="12">
      <c r="B29" s="2"/>
      <c r="C29">
        <f>+IF(C28&gt;$G$13+$G$14,XX,C28+1)</f>
        <v>2017</v>
      </c>
      <c r="E29" s="169">
        <f>+INDEX('(2.2)_Forward_Price_Curve'!$U:$U,MATCH($C29,'(2.2)_Forward_Price_Curve'!C:C,0))</f>
        <v>1.9E-2</v>
      </c>
      <c r="G29" s="18">
        <v>129158.95236847983</v>
      </c>
      <c r="I29" s="28">
        <f>I28*(1+$E29)</f>
        <v>0</v>
      </c>
      <c r="K29" s="28">
        <v>25.863256375570074</v>
      </c>
      <c r="M29" s="28">
        <f>M28*(1+$E29)</f>
        <v>0</v>
      </c>
      <c r="O29" s="270">
        <f>'(2.2)_Forward_Price_Curve'!AA31</f>
        <v>0.81233293064000001</v>
      </c>
      <c r="Q29" s="28"/>
      <c r="S29" s="18">
        <f t="shared" ref="S29:S47" si="4">(I29*$G$11*1000+(K29+M29+O29+Q29)*G29)/1000</f>
        <v>3445.3911686019169</v>
      </c>
      <c r="U29" s="18">
        <f t="shared" si="0"/>
        <v>11847.155952568593</v>
      </c>
      <c r="W29" s="18">
        <f t="shared" si="1"/>
        <v>-8401.764783966677</v>
      </c>
      <c r="Y29" s="271">
        <f t="shared" ref="Y29:Y47" si="5">+W29*1000/G29</f>
        <v>-65.049805916643976</v>
      </c>
      <c r="Z29" s="235"/>
      <c r="AB29" s="146">
        <f>+IF(AB28&gt;$G$13+$G$14,XX,AB28+1)</f>
        <v>2017</v>
      </c>
      <c r="AC29" s="117"/>
      <c r="AD29" s="151">
        <f t="shared" si="2"/>
        <v>129158.95236847983</v>
      </c>
      <c r="AF29" s="154">
        <f>AF28*(1+$E29)</f>
        <v>73.032730841598337</v>
      </c>
      <c r="AH29" s="154">
        <f>AH28*(1+$E29)</f>
        <v>8.0115045072101765</v>
      </c>
      <c r="AJ29" s="154">
        <f>AJ28*(1+$E29)</f>
        <v>2.7132769747439722</v>
      </c>
      <c r="AL29" s="153">
        <f t="shared" ref="AL29:AL47" si="6">((AF29+AH29)*$AF$11*1000+AJ29*AD29)/1000</f>
        <v>1975.3432855990516</v>
      </c>
      <c r="AN29" s="154">
        <f>INDEX('(2.2)_Forward_Price_Curve'!$J:$J,MATCH($AB29,'(2.2)_Forward_Price_Curve'!$C:$C,0),1)</f>
        <v>9.6420833333333338</v>
      </c>
      <c r="AP29" s="154">
        <f>AN29*$AF$14/1000+$AJ$14</f>
        <v>75.547783879175739</v>
      </c>
      <c r="AR29" s="154">
        <f>AR28*(1+$E29)</f>
        <v>3.2489327719391494</v>
      </c>
      <c r="AS29" s="154"/>
      <c r="AT29" s="153">
        <f t="shared" ref="AT29:AT47" si="7">AL29-BF29</f>
        <v>1669.8545798346427</v>
      </c>
      <c r="AV29" s="153">
        <f t="shared" si="3"/>
        <v>10177.301372733951</v>
      </c>
      <c r="AW29" s="273"/>
      <c r="AX29" s="155">
        <f t="shared" ref="AX29:AX47" si="8">AT29+AV29</f>
        <v>11847.155952568593</v>
      </c>
      <c r="AZ29" s="146">
        <f>+IF(AZ28&gt;$G$13+$G$14,XX,AZ28+1)</f>
        <v>2017</v>
      </c>
      <c r="BA29" s="117"/>
      <c r="BB29" s="154">
        <f>BB28*(1+$E29)</f>
        <v>66.197018628577624</v>
      </c>
      <c r="BD29" s="154">
        <f>BD28*(1+$E29)</f>
        <v>11.150989870519446</v>
      </c>
      <c r="BF29" s="153">
        <f t="shared" ref="BF29:BF47" si="9">(BB29+BD29)*$BD$11</f>
        <v>305.48870576440896</v>
      </c>
      <c r="BH29" s="157"/>
    </row>
    <row r="30" spans="1:60" ht="12">
      <c r="B30" s="2"/>
      <c r="C30">
        <f>+IF(C29&gt;$G$13+$G$14,XX,C29+1)</f>
        <v>2018</v>
      </c>
      <c r="E30" s="169">
        <f>+INDEX('(2.2)_Forward_Price_Curve'!$U:$U,MATCH($C30,'(2.2)_Forward_Price_Curve'!C:C,0))</f>
        <v>1.9E-2</v>
      </c>
      <c r="G30" s="18">
        <v>128509.90473695967</v>
      </c>
      <c r="I30" s="28">
        <f t="shared" ref="I30:I47" si="10">I29*(1+$E30)</f>
        <v>0</v>
      </c>
      <c r="K30" s="28">
        <v>29.36781521786023</v>
      </c>
      <c r="M30" s="28">
        <f t="shared" ref="M30:M46" si="11">M29*(1+$E30)</f>
        <v>0</v>
      </c>
      <c r="O30" s="270">
        <f>'(2.2)_Forward_Price_Curve'!AA32</f>
        <v>0.82695492339151999</v>
      </c>
      <c r="Q30" s="28"/>
      <c r="S30" s="18">
        <f t="shared" si="4"/>
        <v>3880.3270344066564</v>
      </c>
      <c r="U30" s="18">
        <f t="shared" si="0"/>
        <v>13261.282350960704</v>
      </c>
      <c r="W30" s="18">
        <f t="shared" si="1"/>
        <v>-9380.9553165540474</v>
      </c>
      <c r="Y30" s="271">
        <f t="shared" si="5"/>
        <v>-72.997916664520474</v>
      </c>
      <c r="Z30" s="235"/>
      <c r="AB30" s="146">
        <f>+IF(AB29&gt;$G$13+$G$14,XX,AB29+1)</f>
        <v>2018</v>
      </c>
      <c r="AC30" s="117"/>
      <c r="AD30" s="151">
        <f t="shared" si="2"/>
        <v>128509.90473695967</v>
      </c>
      <c r="AF30" s="154">
        <f t="shared" ref="AF30:AF47" si="12">AF29*(1+$E30)</f>
        <v>74.420352727588693</v>
      </c>
      <c r="AH30" s="154">
        <f t="shared" ref="AH30:AH47" si="13">AH29*(1+$E30)</f>
        <v>8.1637230928471691</v>
      </c>
      <c r="AJ30" s="154">
        <f t="shared" ref="AJ30:AJ47" si="14">AJ29*(1+$E30)</f>
        <v>2.7648292372641072</v>
      </c>
      <c r="AL30" s="153">
        <f t="shared" si="6"/>
        <v>2011.0803021574293</v>
      </c>
      <c r="AN30" s="154">
        <f>INDEX('(2.2)_Forward_Price_Curve'!$J:$J,MATCH($AB30,'(2.2)_Forward_Price_Curve'!$C:$C,0),1)</f>
        <v>11.30625</v>
      </c>
      <c r="AP30" s="154">
        <f>AN30*$AF$14/1000+$AJ$14*(1+E30)</f>
        <v>86.655127018987059</v>
      </c>
      <c r="AR30" s="154">
        <f t="shared" ref="AR30:AR47" si="15">AR29*(1+$E30)</f>
        <v>3.3106624946059928</v>
      </c>
      <c r="AS30" s="154"/>
      <c r="AT30" s="153">
        <f t="shared" si="7"/>
        <v>1699.7873109834966</v>
      </c>
      <c r="AV30" s="153">
        <f t="shared" si="3"/>
        <v>11561.495039977208</v>
      </c>
      <c r="AW30" s="273"/>
      <c r="AX30" s="155">
        <f t="shared" si="8"/>
        <v>13261.282350960704</v>
      </c>
      <c r="AZ30" s="146">
        <f>+IF(AZ29&gt;$G$13+$G$14,XX,AZ29+1)</f>
        <v>2018</v>
      </c>
      <c r="BA30" s="117"/>
      <c r="BB30" s="154">
        <f t="shared" ref="BB30:BB47" si="16">BB29*(1+$E30)</f>
        <v>67.454761982520594</v>
      </c>
      <c r="BD30" s="154">
        <f t="shared" ref="BD30:BD47" si="17">BD29*(1+$E30)</f>
        <v>11.362858678059315</v>
      </c>
      <c r="BF30" s="153">
        <f t="shared" si="9"/>
        <v>311.29299117393271</v>
      </c>
      <c r="BH30" s="157"/>
    </row>
    <row r="31" spans="1:60" ht="12">
      <c r="B31" s="2"/>
      <c r="C31">
        <f>+IF(C30&gt;$G$13+$G$14,XX,C30+1)</f>
        <v>2019</v>
      </c>
      <c r="E31" s="169">
        <f>+INDEX('(2.2)_Forward_Price_Curve'!$U:$U,MATCH($C31,'(2.2)_Forward_Price_Curve'!C:C,0))</f>
        <v>1.9E-2</v>
      </c>
      <c r="G31" s="18">
        <v>127860.85710543953</v>
      </c>
      <c r="I31" s="28">
        <f t="shared" si="10"/>
        <v>0</v>
      </c>
      <c r="K31" s="28">
        <v>30.551739549180329</v>
      </c>
      <c r="M31" s="28">
        <f t="shared" si="11"/>
        <v>0</v>
      </c>
      <c r="O31" s="270">
        <f>'(2.2)_Forward_Price_Curve'!AA33</f>
        <v>0.84184011201256737</v>
      </c>
      <c r="Q31" s="28"/>
      <c r="S31" s="18">
        <f t="shared" si="4"/>
        <v>4014.0100030880176</v>
      </c>
      <c r="U31" s="18">
        <f t="shared" si="0"/>
        <v>13613.687619318862</v>
      </c>
      <c r="W31" s="18">
        <f t="shared" si="1"/>
        <v>-9599.6776162308452</v>
      </c>
      <c r="Y31" s="271">
        <f t="shared" si="5"/>
        <v>-75.079096398630753</v>
      </c>
      <c r="Z31" s="235"/>
      <c r="AB31" s="146">
        <f>+IF(AB30&gt;$G$13+$G$14,XX,AB30+1)</f>
        <v>2019</v>
      </c>
      <c r="AC31" s="117"/>
      <c r="AD31" s="151">
        <f t="shared" si="2"/>
        <v>127860.85710543953</v>
      </c>
      <c r="AF31" s="154">
        <f t="shared" si="12"/>
        <v>75.834339429412864</v>
      </c>
      <c r="AH31" s="154">
        <f t="shared" si="13"/>
        <v>8.3188338316112649</v>
      </c>
      <c r="AJ31" s="154">
        <f t="shared" si="14"/>
        <v>2.8173609927721248</v>
      </c>
      <c r="AL31" s="153">
        <f t="shared" si="6"/>
        <v>2047.4622264189243</v>
      </c>
      <c r="AN31" s="154">
        <f>INDEX('(2.2)_Forward_Price_Curve'!$J:$J,MATCH($AB31,'(2.2)_Forward_Price_Curve'!$C:$C,0),1)</f>
        <v>11.752083333333331</v>
      </c>
      <c r="AP31" s="154">
        <f>AN31*$AF$14/1000+$AJ$14*(1+E31)</f>
        <v>89.566786014709294</v>
      </c>
      <c r="AR31" s="154">
        <f t="shared" si="15"/>
        <v>3.3735650820035064</v>
      </c>
      <c r="AS31" s="154"/>
      <c r="AT31" s="153">
        <f t="shared" si="7"/>
        <v>1730.2546684126869</v>
      </c>
      <c r="AV31" s="153">
        <f t="shared" si="3"/>
        <v>11883.432950906175</v>
      </c>
      <c r="AW31" s="273"/>
      <c r="AX31" s="155">
        <f t="shared" si="8"/>
        <v>13613.687619318862</v>
      </c>
      <c r="AZ31" s="146">
        <f>+IF(AZ30&gt;$G$13+$G$14,XX,AZ30+1)</f>
        <v>2019</v>
      </c>
      <c r="BA31" s="117"/>
      <c r="BB31" s="154">
        <f t="shared" si="16"/>
        <v>68.736402460188472</v>
      </c>
      <c r="BD31" s="154">
        <f t="shared" si="17"/>
        <v>11.578752992942441</v>
      </c>
      <c r="BF31" s="153">
        <f t="shared" si="9"/>
        <v>317.20755800623738</v>
      </c>
      <c r="BH31" s="157"/>
    </row>
    <row r="32" spans="1:60" ht="12">
      <c r="B32" s="2"/>
      <c r="C32">
        <f>+IF(C31&gt;$G$13+$G$14,XX,C31+1)</f>
        <v>2020</v>
      </c>
      <c r="E32" s="169">
        <f>+INDEX('(2.2)_Forward_Price_Curve'!$U:$U,MATCH($C32,'(2.2)_Forward_Price_Curve'!C:C,0))</f>
        <v>1.9E-2</v>
      </c>
      <c r="G32" s="18">
        <v>127211.80947391938</v>
      </c>
      <c r="I32" s="28">
        <f t="shared" si="10"/>
        <v>0</v>
      </c>
      <c r="K32" s="28">
        <v>31.574595440958952</v>
      </c>
      <c r="M32" s="28">
        <f t="shared" si="11"/>
        <v>0</v>
      </c>
      <c r="O32" s="270">
        <f>'(2.2)_Forward_Price_Curve'!AA34</f>
        <v>0.85699323402879357</v>
      </c>
      <c r="Q32" s="28"/>
      <c r="S32" s="18">
        <f t="shared" si="4"/>
        <v>4125.6810794590619</v>
      </c>
      <c r="U32" s="18">
        <f t="shared" si="0"/>
        <v>13361.291630876731</v>
      </c>
      <c r="W32" s="18">
        <f t="shared" si="1"/>
        <v>-9235.6105514176688</v>
      </c>
      <c r="Y32" s="271">
        <f t="shared" si="5"/>
        <v>-72.600260853227851</v>
      </c>
      <c r="Z32" s="235"/>
      <c r="AB32" s="146">
        <f>+IF(AB31&gt;$G$13+$G$14,XX,AB31+1)</f>
        <v>2020</v>
      </c>
      <c r="AC32" s="117"/>
      <c r="AD32" s="151">
        <f t="shared" si="2"/>
        <v>127211.80947391938</v>
      </c>
      <c r="AF32" s="154">
        <f t="shared" si="12"/>
        <v>77.275191878571704</v>
      </c>
      <c r="AH32" s="154">
        <f t="shared" si="13"/>
        <v>8.4768916744118776</v>
      </c>
      <c r="AJ32" s="154">
        <f t="shared" si="14"/>
        <v>2.8708908516347948</v>
      </c>
      <c r="AL32" s="153">
        <f t="shared" si="6"/>
        <v>2084.5006638132772</v>
      </c>
      <c r="AN32" s="154">
        <f>INDEX('(2.2)_Forward_Price_Curve'!$J:$J,MATCH($AB32,'(2.2)_Forward_Price_Curve'!$C:$C,0),1)</f>
        <v>11.473750000000003</v>
      </c>
      <c r="AP32" s="154">
        <f t="shared" ref="AP32:AP47" si="18">AN32*$AF$14/1000+$AJ$14*(1+E32)</f>
        <v>87.749040024856555</v>
      </c>
      <c r="AR32" s="154">
        <f t="shared" si="15"/>
        <v>3.4376628185615727</v>
      </c>
      <c r="AS32" s="154"/>
      <c r="AT32" s="153">
        <f t="shared" si="7"/>
        <v>1761.2661622049213</v>
      </c>
      <c r="AV32" s="153">
        <f t="shared" si="3"/>
        <v>11600.025468671809</v>
      </c>
      <c r="AW32" s="273"/>
      <c r="AX32" s="155">
        <f t="shared" si="8"/>
        <v>13361.291630876731</v>
      </c>
      <c r="AZ32" s="146">
        <f>+IF(AZ31&gt;$G$13+$G$14,XX,AZ31+1)</f>
        <v>2020</v>
      </c>
      <c r="BA32" s="117"/>
      <c r="BB32" s="154">
        <f t="shared" si="16"/>
        <v>70.042394106932051</v>
      </c>
      <c r="BD32" s="154">
        <f t="shared" si="17"/>
        <v>11.798749299808346</v>
      </c>
      <c r="BF32" s="153">
        <f t="shared" si="9"/>
        <v>323.23450160835591</v>
      </c>
      <c r="BH32" s="157"/>
    </row>
    <row r="33" spans="2:60" ht="12">
      <c r="B33" s="2"/>
      <c r="C33">
        <f>+IF(C32&gt;$G$13+$G$14,XX,C32+1)</f>
        <v>2021</v>
      </c>
      <c r="E33" s="169">
        <f>+INDEX('(2.2)_Forward_Price_Curve'!$U:$U,MATCH($C33,'(2.2)_Forward_Price_Curve'!C:C,0))</f>
        <v>1.7999999999999999E-2</v>
      </c>
      <c r="G33" s="18">
        <v>126562.76184239922</v>
      </c>
      <c r="I33" s="28">
        <f t="shared" si="10"/>
        <v>0</v>
      </c>
      <c r="K33" s="28">
        <v>34.346687529274</v>
      </c>
      <c r="M33" s="28">
        <f t="shared" si="11"/>
        <v>0</v>
      </c>
      <c r="O33" s="270">
        <f>'(2.2)_Forward_Price_Curve'!AA35</f>
        <v>0.87241911224131186</v>
      </c>
      <c r="Q33" s="28"/>
      <c r="S33" s="18">
        <f t="shared" si="4"/>
        <v>4457.4274061721626</v>
      </c>
      <c r="U33" s="18">
        <f t="shared" si="0"/>
        <v>13518.61808673391</v>
      </c>
      <c r="W33" s="18">
        <f t="shared" si="1"/>
        <v>-9061.1906805617473</v>
      </c>
      <c r="Y33" s="271">
        <f t="shared" si="5"/>
        <v>-71.594444911411514</v>
      </c>
      <c r="Z33" s="235"/>
      <c r="AB33" s="146">
        <f>+IF(AB32&gt;$G$13+$G$14,XX,AB32+1)</f>
        <v>2021</v>
      </c>
      <c r="AC33" s="117"/>
      <c r="AD33" s="151">
        <f t="shared" si="2"/>
        <v>126562.76184239922</v>
      </c>
      <c r="AF33" s="154">
        <f t="shared" si="12"/>
        <v>78.666145332385994</v>
      </c>
      <c r="AH33" s="154">
        <f t="shared" si="13"/>
        <v>8.6294757245512912</v>
      </c>
      <c r="AJ33" s="154">
        <f t="shared" si="14"/>
        <v>2.9225668869642214</v>
      </c>
      <c r="AL33" s="153">
        <f t="shared" si="6"/>
        <v>2120.124790645973</v>
      </c>
      <c r="AN33" s="154">
        <f>INDEX('(2.2)_Forward_Price_Curve'!$J:$J,MATCH($AB33,'(2.2)_Forward_Price_Curve'!$C:$C,0),1)</f>
        <v>11.692083333333334</v>
      </c>
      <c r="AP33" s="154">
        <f>AN33*$AF$14/1000+$AJ$14*(1+E33)</f>
        <v>89.162359544321731</v>
      </c>
      <c r="AR33" s="154">
        <f t="shared" si="15"/>
        <v>3.4995407492956812</v>
      </c>
      <c r="AS33" s="154"/>
      <c r="AT33" s="153">
        <f t="shared" si="7"/>
        <v>1791.0720680086667</v>
      </c>
      <c r="AV33" s="153">
        <f t="shared" si="3"/>
        <v>11727.546018725243</v>
      </c>
      <c r="AW33" s="273"/>
      <c r="AX33" s="155">
        <f t="shared" si="8"/>
        <v>13518.61808673391</v>
      </c>
      <c r="AZ33" s="146">
        <f>+IF(AZ32&gt;$G$13+$G$14,XX,AZ32+1)</f>
        <v>2021</v>
      </c>
      <c r="BA33" s="117"/>
      <c r="BB33" s="154">
        <f t="shared" si="16"/>
        <v>71.30315720085683</v>
      </c>
      <c r="BD33" s="154">
        <f t="shared" si="17"/>
        <v>12.011126787204896</v>
      </c>
      <c r="BF33" s="153">
        <f t="shared" si="9"/>
        <v>329.05272263730632</v>
      </c>
      <c r="BH33" s="157"/>
    </row>
    <row r="34" spans="2:60" ht="12">
      <c r="B34" s="2"/>
      <c r="C34">
        <f>+IF(C33&gt;$G$13+$G$14,XX,C33+1)</f>
        <v>2022</v>
      </c>
      <c r="E34" s="169">
        <f>+INDEX('(2.2)_Forward_Price_Curve'!$U:$U,MATCH($C34,'(2.2)_Forward_Price_Curve'!C:C,0))</f>
        <v>1.7999999999999999E-2</v>
      </c>
      <c r="G34" s="18">
        <v>125913.71421087904</v>
      </c>
      <c r="I34" s="28">
        <f t="shared" si="10"/>
        <v>0</v>
      </c>
      <c r="K34" s="28">
        <v>39.547031552754838</v>
      </c>
      <c r="M34" s="28">
        <f t="shared" si="11"/>
        <v>0</v>
      </c>
      <c r="O34" s="270">
        <f>'(2.2)_Forward_Price_Curve'!AA36</f>
        <v>0.88899507537389666</v>
      </c>
      <c r="Q34" s="28"/>
      <c r="S34" s="18">
        <f t="shared" si="4"/>
        <v>5091.4503006776959</v>
      </c>
      <c r="U34" s="18">
        <f t="shared" si="0"/>
        <v>13678.311623170237</v>
      </c>
      <c r="W34" s="18">
        <f t="shared" si="1"/>
        <v>-8586.8613224925411</v>
      </c>
      <c r="Y34" s="271">
        <f t="shared" si="5"/>
        <v>-68.196394461935668</v>
      </c>
      <c r="Z34" s="235"/>
      <c r="AB34" s="146">
        <f>+IF(AB33&gt;$G$13+$G$14,XX,AB33+1)</f>
        <v>2022</v>
      </c>
      <c r="AC34" s="117"/>
      <c r="AD34" s="151">
        <f t="shared" si="2"/>
        <v>125913.71421087904</v>
      </c>
      <c r="AF34" s="154">
        <f t="shared" si="12"/>
        <v>80.082135948368943</v>
      </c>
      <c r="AH34" s="154">
        <f t="shared" si="13"/>
        <v>8.7848062875932147</v>
      </c>
      <c r="AJ34" s="154">
        <f t="shared" si="14"/>
        <v>2.9751730909295775</v>
      </c>
      <c r="AL34" s="153">
        <f t="shared" si="6"/>
        <v>2156.35600782957</v>
      </c>
      <c r="AN34" s="154">
        <f>INDEX('(2.2)_Forward_Price_Curve'!$J:$J,MATCH($AB34,'(2.2)_Forward_Price_Curve'!$C:$C,0),1)</f>
        <v>11.912916666666668</v>
      </c>
      <c r="AP34" s="154">
        <f t="shared" si="18"/>
        <v>90.604583159025282</v>
      </c>
      <c r="AR34" s="154">
        <f t="shared" si="15"/>
        <v>3.5625324827830034</v>
      </c>
      <c r="AS34" s="154"/>
      <c r="AT34" s="153">
        <f t="shared" si="7"/>
        <v>1821.3803361847922</v>
      </c>
      <c r="AV34" s="153">
        <f t="shared" si="3"/>
        <v>11856.931286985446</v>
      </c>
      <c r="AW34" s="273"/>
      <c r="AX34" s="155">
        <f t="shared" si="8"/>
        <v>13678.311623170237</v>
      </c>
      <c r="AZ34" s="146">
        <f>+IF(AZ33&gt;$G$13+$G$14,XX,AZ33+1)</f>
        <v>2022</v>
      </c>
      <c r="BA34" s="117"/>
      <c r="BB34" s="154">
        <f t="shared" si="16"/>
        <v>72.586614030472248</v>
      </c>
      <c r="BD34" s="154">
        <f t="shared" si="17"/>
        <v>12.227327069374585</v>
      </c>
      <c r="BF34" s="153">
        <f t="shared" si="9"/>
        <v>334.97567164477778</v>
      </c>
      <c r="BH34" s="157"/>
    </row>
    <row r="35" spans="2:60" ht="12">
      <c r="B35" s="2"/>
      <c r="C35">
        <f>+IF(C34&gt;$G$13+$G$14,XX,C34+1)</f>
        <v>2023</v>
      </c>
      <c r="E35" s="169">
        <f>+INDEX('(2.2)_Forward_Price_Curve'!$U:$U,MATCH($C35,'(2.2)_Forward_Price_Curve'!C:C,0))</f>
        <v>1.9E-2</v>
      </c>
      <c r="G35" s="18">
        <v>125264.66657935892</v>
      </c>
      <c r="I35" s="28">
        <f t="shared" si="10"/>
        <v>0</v>
      </c>
      <c r="K35" s="28">
        <v>38.277601366633789</v>
      </c>
      <c r="M35" s="28">
        <f t="shared" si="11"/>
        <v>0</v>
      </c>
      <c r="O35" s="270">
        <f>'(2.2)_Forward_Price_Curve'!AA37</f>
        <v>0.90588598180600066</v>
      </c>
      <c r="Q35" s="28"/>
      <c r="S35" s="18">
        <f t="shared" si="4"/>
        <v>4908.3064781188386</v>
      </c>
      <c r="U35" s="18">
        <f t="shared" si="0"/>
        <v>13844.976510078133</v>
      </c>
      <c r="W35" s="18">
        <f t="shared" si="1"/>
        <v>-8936.6700319592946</v>
      </c>
      <c r="Y35" s="271">
        <f t="shared" si="5"/>
        <v>-71.342304865336047</v>
      </c>
      <c r="Z35" s="235"/>
      <c r="AB35" s="146">
        <f>+IF(AB34&gt;$G$13+$G$14,XX,AB34+1)</f>
        <v>2023</v>
      </c>
      <c r="AC35" s="117"/>
      <c r="AD35" s="151">
        <f t="shared" si="2"/>
        <v>125264.66657935892</v>
      </c>
      <c r="AF35" s="154">
        <f t="shared" si="12"/>
        <v>81.603696531387939</v>
      </c>
      <c r="AH35" s="154">
        <f t="shared" si="13"/>
        <v>8.9517176070574855</v>
      </c>
      <c r="AJ35" s="154">
        <f t="shared" si="14"/>
        <v>3.0317013796572394</v>
      </c>
      <c r="AL35" s="153">
        <f t="shared" si="6"/>
        <v>2195.3590533783886</v>
      </c>
      <c r="AN35" s="154">
        <f>INDEX('(2.2)_Forward_Price_Curve'!$J:$J,MATCH($AB35,'(2.2)_Forward_Price_Curve'!$C:$C,0),1)</f>
        <v>12.139166666666668</v>
      </c>
      <c r="AP35" s="154">
        <f t="shared" si="18"/>
        <v>92.094759105387794</v>
      </c>
      <c r="AR35" s="154">
        <f t="shared" si="15"/>
        <v>3.6302205999558801</v>
      </c>
      <c r="AS35" s="154"/>
      <c r="AT35" s="153">
        <f t="shared" si="7"/>
        <v>1854.0188439723599</v>
      </c>
      <c r="AV35" s="153">
        <f t="shared" si="3"/>
        <v>11990.957666105773</v>
      </c>
      <c r="AW35" s="273"/>
      <c r="AX35" s="155">
        <f t="shared" si="8"/>
        <v>13844.976510078133</v>
      </c>
      <c r="AZ35" s="146">
        <f>+IF(AZ34&gt;$G$13+$G$14,XX,AZ34+1)</f>
        <v>2023</v>
      </c>
      <c r="BA35" s="117"/>
      <c r="BB35" s="154">
        <f t="shared" si="16"/>
        <v>73.965759697051212</v>
      </c>
      <c r="BD35" s="154">
        <f t="shared" si="17"/>
        <v>12.459646283692701</v>
      </c>
      <c r="BF35" s="153">
        <f t="shared" si="9"/>
        <v>341.34020940602858</v>
      </c>
      <c r="BH35" s="157"/>
    </row>
    <row r="36" spans="2:60" ht="12">
      <c r="B36" s="2"/>
      <c r="C36">
        <f>+IF(C35&gt;$G$13+$G$14,XX,C35+1)</f>
        <v>2024</v>
      </c>
      <c r="E36" s="169">
        <f>+INDEX('(2.2)_Forward_Price_Curve'!$U:$U,MATCH($C36,'(2.2)_Forward_Price_Curve'!C:C,0))</f>
        <v>1.9E-2</v>
      </c>
      <c r="G36" s="18">
        <v>124615.61894783875</v>
      </c>
      <c r="I36" s="28">
        <f t="shared" si="10"/>
        <v>0</v>
      </c>
      <c r="K36" s="28">
        <v>42.720615285652649</v>
      </c>
      <c r="M36" s="28">
        <f t="shared" si="11"/>
        <v>0</v>
      </c>
      <c r="O36" s="270">
        <f>'(2.2)_Forward_Price_Curve'!AA38</f>
        <v>0.92309781546031455</v>
      </c>
      <c r="Q36" s="28"/>
      <c r="S36" s="18">
        <f t="shared" si="4"/>
        <v>5438.6883212770908</v>
      </c>
      <c r="U36" s="18">
        <f t="shared" si="0"/>
        <v>14013.54227144078</v>
      </c>
      <c r="W36" s="18">
        <f t="shared" si="1"/>
        <v>-8574.8539501636878</v>
      </c>
      <c r="Y36" s="271">
        <f t="shared" si="5"/>
        <v>-68.81042699593641</v>
      </c>
      <c r="Z36" s="235"/>
      <c r="AB36" s="146">
        <f>+IF(AB35&gt;$G$13+$G$14,XX,AB35+1)</f>
        <v>2024</v>
      </c>
      <c r="AC36" s="117"/>
      <c r="AD36" s="151">
        <f t="shared" si="2"/>
        <v>124615.61894783875</v>
      </c>
      <c r="AF36" s="154">
        <f t="shared" si="12"/>
        <v>83.154166765484305</v>
      </c>
      <c r="AH36" s="154">
        <f t="shared" si="13"/>
        <v>9.1218002415915773</v>
      </c>
      <c r="AJ36" s="154">
        <f t="shared" si="14"/>
        <v>3.0893037058707264</v>
      </c>
      <c r="AL36" s="153">
        <f t="shared" si="6"/>
        <v>2235.0657701392361</v>
      </c>
      <c r="AN36" s="154">
        <f>INDEX('(2.2)_Forward_Price_Curve'!$J:$J,MATCH($AB36,'(2.2)_Forward_Price_Curve'!$C:$C,0),1)</f>
        <v>12.371250000000002</v>
      </c>
      <c r="AP36" s="154">
        <f t="shared" si="18"/>
        <v>93.610454489142285</v>
      </c>
      <c r="AR36" s="154">
        <f t="shared" si="15"/>
        <v>3.6991947913550414</v>
      </c>
      <c r="AS36" s="154"/>
      <c r="AT36" s="153">
        <f t="shared" si="7"/>
        <v>1887.2400967544932</v>
      </c>
      <c r="AV36" s="153">
        <f t="shared" si="3"/>
        <v>12126.302174686287</v>
      </c>
      <c r="AW36" s="273"/>
      <c r="AX36" s="155">
        <f t="shared" si="8"/>
        <v>14013.54227144078</v>
      </c>
      <c r="AZ36" s="146">
        <f>+IF(AZ35&gt;$G$13+$G$14,XX,AZ35+1)</f>
        <v>2024</v>
      </c>
      <c r="BA36" s="117"/>
      <c r="BB36" s="154">
        <f t="shared" si="16"/>
        <v>75.371109131295171</v>
      </c>
      <c r="BD36" s="154">
        <f t="shared" si="17"/>
        <v>12.696379563082861</v>
      </c>
      <c r="BF36" s="153">
        <f t="shared" si="9"/>
        <v>347.82567338474303</v>
      </c>
      <c r="BH36" s="157"/>
    </row>
    <row r="37" spans="2:60" ht="12">
      <c r="B37" s="2"/>
      <c r="C37">
        <f>+IF(C36&gt;$G$13+$G$14,XX,C36+1)</f>
        <v>2025</v>
      </c>
      <c r="E37" s="169">
        <f>+INDEX('(2.2)_Forward_Price_Curve'!$U:$U,MATCH($C37,'(2.2)_Forward_Price_Curve'!C:C,0))</f>
        <v>1.9E-2</v>
      </c>
      <c r="G37" s="18">
        <v>123966.57131631857</v>
      </c>
      <c r="I37" s="28">
        <f t="shared" si="10"/>
        <v>0</v>
      </c>
      <c r="K37" s="28">
        <v>47.530202223283624</v>
      </c>
      <c r="M37" s="28">
        <f t="shared" si="11"/>
        <v>0</v>
      </c>
      <c r="O37" s="270">
        <f>'(2.2)_Forward_Price_Curve'!AA39</f>
        <v>0.94063667395406048</v>
      </c>
      <c r="Q37" s="28"/>
      <c r="S37" s="18">
        <f t="shared" si="4"/>
        <v>6008.7637069162038</v>
      </c>
      <c r="U37" s="18">
        <f t="shared" si="0"/>
        <v>14172.373173499918</v>
      </c>
      <c r="W37" s="18">
        <f t="shared" si="1"/>
        <v>-8163.6094665837145</v>
      </c>
      <c r="Y37" s="271">
        <f t="shared" si="5"/>
        <v>-65.853313356171554</v>
      </c>
      <c r="Z37" s="235"/>
      <c r="AB37" s="146">
        <f>+IF(AB36&gt;$G$13+$G$14,XX,AB36+1)</f>
        <v>2025</v>
      </c>
      <c r="AC37" s="117"/>
      <c r="AD37" s="151">
        <f t="shared" si="2"/>
        <v>123966.57131631857</v>
      </c>
      <c r="AF37" s="154">
        <f t="shared" si="12"/>
        <v>84.734095934028502</v>
      </c>
      <c r="AH37" s="154">
        <f t="shared" si="13"/>
        <v>9.2951144461818167</v>
      </c>
      <c r="AJ37" s="154">
        <f t="shared" si="14"/>
        <v>3.1480004762822698</v>
      </c>
      <c r="AL37" s="153">
        <f t="shared" si="6"/>
        <v>2275.4888175187261</v>
      </c>
      <c r="AN37" s="154">
        <f>INDEX('(2.2)_Forward_Price_Curve'!$J:$J,MATCH($AB37,'(2.2)_Forward_Price_Curve'!$C:$C,0),1)</f>
        <v>12.592916666666667</v>
      </c>
      <c r="AP37" s="154">
        <f t="shared" si="18"/>
        <v>95.058120457108828</v>
      </c>
      <c r="AR37" s="154">
        <f t="shared" si="15"/>
        <v>3.7694794923907868</v>
      </c>
      <c r="AS37" s="154"/>
      <c r="AT37" s="153">
        <f t="shared" si="7"/>
        <v>1921.0544563396729</v>
      </c>
      <c r="AV37" s="153">
        <f t="shared" si="3"/>
        <v>12251.318717160246</v>
      </c>
      <c r="AW37" s="273"/>
      <c r="AX37" s="155">
        <f t="shared" si="8"/>
        <v>14172.373173499918</v>
      </c>
      <c r="AZ37" s="146">
        <f>+IF(AZ36&gt;$G$13+$G$14,XX,AZ36+1)</f>
        <v>2025</v>
      </c>
      <c r="BA37" s="117"/>
      <c r="BB37" s="154">
        <f t="shared" si="16"/>
        <v>76.803160204789776</v>
      </c>
      <c r="BD37" s="154">
        <f t="shared" si="17"/>
        <v>12.937610774781433</v>
      </c>
      <c r="BF37" s="153">
        <f t="shared" si="9"/>
        <v>354.4343611790531</v>
      </c>
      <c r="BH37" s="157"/>
    </row>
    <row r="38" spans="2:60" ht="12">
      <c r="B38" s="2"/>
      <c r="C38">
        <f>+IF(C37&gt;$G$13+$G$14,XX,C37+1)</f>
        <v>2026</v>
      </c>
      <c r="E38" s="169">
        <f>+INDEX('(2.2)_Forward_Price_Curve'!$U:$U,MATCH($C38,'(2.2)_Forward_Price_Curve'!C:C,0))</f>
        <v>1.9E-2</v>
      </c>
      <c r="G38" s="18">
        <v>123317.52368479843</v>
      </c>
      <c r="I38" s="28">
        <f t="shared" si="10"/>
        <v>0</v>
      </c>
      <c r="K38" s="28">
        <v>51.001442849439179</v>
      </c>
      <c r="M38" s="28">
        <f t="shared" si="11"/>
        <v>0</v>
      </c>
      <c r="O38" s="270">
        <f>'(2.2)_Forward_Price_Curve'!AA40</f>
        <v>0.9585087707591875</v>
      </c>
      <c r="Q38" s="28"/>
      <c r="S38" s="18">
        <f t="shared" si="4"/>
        <v>6407.5725645847924</v>
      </c>
      <c r="U38" s="18">
        <f t="shared" si="0"/>
        <v>14333.693218746606</v>
      </c>
      <c r="W38" s="18">
        <f t="shared" si="1"/>
        <v>-7926.1206541618139</v>
      </c>
      <c r="Y38" s="271">
        <f t="shared" si="5"/>
        <v>-64.274082201172845</v>
      </c>
      <c r="Z38" s="235"/>
      <c r="AB38" s="146">
        <f>+IF(AB37&gt;$G$13+$G$14,XX,AB37+1)</f>
        <v>2026</v>
      </c>
      <c r="AC38" s="117"/>
      <c r="AD38" s="151">
        <f t="shared" si="2"/>
        <v>123317.52368479843</v>
      </c>
      <c r="AF38" s="154">
        <f t="shared" si="12"/>
        <v>86.344043756775037</v>
      </c>
      <c r="AH38" s="154">
        <f t="shared" si="13"/>
        <v>9.4717216206592703</v>
      </c>
      <c r="AJ38" s="154">
        <f t="shared" si="14"/>
        <v>3.2078124853316328</v>
      </c>
      <c r="AL38" s="153">
        <f t="shared" si="6"/>
        <v>2316.6410819556163</v>
      </c>
      <c r="AN38" s="154">
        <f>INDEX('(2.2)_Forward_Price_Curve'!$J:$J,MATCH($AB38,'(2.2)_Forward_Price_Curve'!$C:$C,0),1)</f>
        <v>12.819166666666668</v>
      </c>
      <c r="AP38" s="154">
        <f t="shared" si="18"/>
        <v>96.535719368022086</v>
      </c>
      <c r="AR38" s="154">
        <f t="shared" si="15"/>
        <v>3.8410996027462114</v>
      </c>
      <c r="AS38" s="154"/>
      <c r="AT38" s="153">
        <f t="shared" si="7"/>
        <v>1955.4724679141611</v>
      </c>
      <c r="AV38" s="153">
        <f t="shared" si="3"/>
        <v>12378.220750832445</v>
      </c>
      <c r="AW38" s="273"/>
      <c r="AX38" s="155">
        <f t="shared" si="8"/>
        <v>14333.693218746606</v>
      </c>
      <c r="AZ38" s="146">
        <f>+IF(AZ37&gt;$G$13+$G$14,XX,AZ37+1)</f>
        <v>2026</v>
      </c>
      <c r="BA38" s="117"/>
      <c r="BB38" s="154">
        <f t="shared" si="16"/>
        <v>78.262420248680769</v>
      </c>
      <c r="BD38" s="154">
        <f t="shared" si="17"/>
        <v>13.183425379502278</v>
      </c>
      <c r="BF38" s="153">
        <f t="shared" si="9"/>
        <v>361.1686140414551</v>
      </c>
      <c r="BH38" s="157"/>
    </row>
    <row r="39" spans="2:60" ht="12">
      <c r="B39" s="2"/>
      <c r="C39">
        <f>+IF(C38&gt;$G$13+$G$14,XX,C38+1)</f>
        <v>2027</v>
      </c>
      <c r="E39" s="169">
        <f>+INDEX('(2.2)_Forward_Price_Curve'!$U:$U,MATCH($C39,'(2.2)_Forward_Price_Curve'!C:C,0))</f>
        <v>1.9E-2</v>
      </c>
      <c r="G39" s="18">
        <v>122668.4760532783</v>
      </c>
      <c r="I39" s="28">
        <f t="shared" si="10"/>
        <v>0</v>
      </c>
      <c r="K39" s="28">
        <v>51.460675468384075</v>
      </c>
      <c r="M39" s="28">
        <f t="shared" si="11"/>
        <v>0</v>
      </c>
      <c r="O39" s="270">
        <f>'(2.2)_Forward_Price_Curve'!AA41</f>
        <v>0.97672043740361192</v>
      </c>
      <c r="Q39" s="28"/>
      <c r="S39" s="18">
        <f t="shared" si="4"/>
        <v>6432.4154439653903</v>
      </c>
      <c r="U39" s="18">
        <f t="shared" si="0"/>
        <v>14508.470852947745</v>
      </c>
      <c r="W39" s="18">
        <f t="shared" si="1"/>
        <v>-8076.0554089823545</v>
      </c>
      <c r="Y39" s="271">
        <f t="shared" si="5"/>
        <v>-65.836437109357263</v>
      </c>
      <c r="Z39" s="235"/>
      <c r="AB39" s="146">
        <f>+IF(AB38&gt;$G$13+$G$14,XX,AB38+1)</f>
        <v>2027</v>
      </c>
      <c r="AC39" s="117"/>
      <c r="AD39" s="151">
        <f t="shared" si="2"/>
        <v>122668.4760532783</v>
      </c>
      <c r="AF39" s="154">
        <f t="shared" si="12"/>
        <v>87.984580588153747</v>
      </c>
      <c r="AH39" s="154">
        <f t="shared" si="13"/>
        <v>9.6516843314517953</v>
      </c>
      <c r="AJ39" s="154">
        <f t="shared" si="14"/>
        <v>3.2687609225529335</v>
      </c>
      <c r="AL39" s="153">
        <f t="shared" si="6"/>
        <v>2358.5356809779842</v>
      </c>
      <c r="AN39" s="154">
        <f>INDEX('(2.2)_Forward_Price_Curve'!$J:$J,MATCH($AB39,'(2.2)_Forward_Price_Curve'!$C:$C,0),1)</f>
        <v>13.063749999999999</v>
      </c>
      <c r="AP39" s="154">
        <f t="shared" si="18"/>
        <v>98.133050050722034</v>
      </c>
      <c r="AR39" s="154">
        <f t="shared" si="15"/>
        <v>3.9140804951983892</v>
      </c>
      <c r="AS39" s="154"/>
      <c r="AT39" s="153">
        <f t="shared" si="7"/>
        <v>1990.5048632697415</v>
      </c>
      <c r="AV39" s="153">
        <f t="shared" si="3"/>
        <v>12517.965989678003</v>
      </c>
      <c r="AW39" s="273"/>
      <c r="AX39" s="155">
        <f t="shared" si="8"/>
        <v>14508.470852947745</v>
      </c>
      <c r="AZ39" s="146">
        <f>+IF(AZ38&gt;$G$13+$G$14,XX,AZ38+1)</f>
        <v>2027</v>
      </c>
      <c r="BA39" s="117"/>
      <c r="BB39" s="154">
        <f t="shared" si="16"/>
        <v>79.749406233405693</v>
      </c>
      <c r="BD39" s="154">
        <f t="shared" si="17"/>
        <v>13.43391046171282</v>
      </c>
      <c r="BF39" s="153">
        <f t="shared" si="9"/>
        <v>368.03081770824269</v>
      </c>
      <c r="BH39" s="157"/>
    </row>
    <row r="40" spans="2:60" ht="12">
      <c r="B40" s="2"/>
      <c r="C40">
        <f>+IF(C39&gt;$G$13+$G$14,XX,C39+1)</f>
        <v>2028</v>
      </c>
      <c r="E40" s="169">
        <f>+INDEX('(2.2)_Forward_Price_Curve'!$U:$U,MATCH($C40,'(2.2)_Forward_Price_Curve'!C:C,0))</f>
        <v>1.9E-2</v>
      </c>
      <c r="G40" s="18">
        <v>122019.42842175813</v>
      </c>
      <c r="I40" s="28">
        <f t="shared" si="10"/>
        <v>0</v>
      </c>
      <c r="K40" s="28">
        <v>74.590707942499691</v>
      </c>
      <c r="M40" s="28">
        <f t="shared" si="11"/>
        <v>0</v>
      </c>
      <c r="O40" s="270">
        <f>'(2.2)_Forward_Price_Curve'!AA42</f>
        <v>0.99527812571428043</v>
      </c>
      <c r="Q40" s="28"/>
      <c r="S40" s="18">
        <f t="shared" si="4"/>
        <v>9222.9588167384409</v>
      </c>
      <c r="U40" s="18">
        <f t="shared" si="0"/>
        <v>14684.531057054544</v>
      </c>
      <c r="W40" s="18">
        <f t="shared" si="1"/>
        <v>-5461.5722403161035</v>
      </c>
      <c r="Y40" s="271">
        <f t="shared" si="5"/>
        <v>-44.759857597744755</v>
      </c>
      <c r="Z40" s="235"/>
      <c r="AB40" s="146">
        <f>+IF(AB39&gt;$G$13+$G$14,XX,AB39+1)</f>
        <v>2028</v>
      </c>
      <c r="AC40" s="117"/>
      <c r="AD40" s="151">
        <f t="shared" si="2"/>
        <v>122019.42842175813</v>
      </c>
      <c r="AF40" s="154">
        <f t="shared" si="12"/>
        <v>89.656287619328666</v>
      </c>
      <c r="AH40" s="154">
        <f t="shared" si="13"/>
        <v>9.8350663337493778</v>
      </c>
      <c r="AJ40" s="154">
        <f t="shared" si="14"/>
        <v>3.3308673800814388</v>
      </c>
      <c r="AL40" s="153">
        <f t="shared" si="6"/>
        <v>2401.1859673326162</v>
      </c>
      <c r="AN40" s="154">
        <f>INDEX('(2.2)_Forward_Price_Curve'!$J:$J,MATCH($AB40,'(2.2)_Forward_Price_Curve'!$C:$C,0),1)</f>
        <v>13.311666666666667</v>
      </c>
      <c r="AP40" s="154">
        <f t="shared" si="18"/>
        <v>99.75215014647415</v>
      </c>
      <c r="AR40" s="154">
        <f t="shared" si="15"/>
        <v>3.9884480246071581</v>
      </c>
      <c r="AS40" s="154"/>
      <c r="AT40" s="153">
        <f t="shared" si="7"/>
        <v>2026.162564087917</v>
      </c>
      <c r="AV40" s="153">
        <f t="shared" si="3"/>
        <v>12658.368492966627</v>
      </c>
      <c r="AW40" s="273"/>
      <c r="AX40" s="155">
        <f t="shared" si="8"/>
        <v>14684.531057054544</v>
      </c>
      <c r="AZ40" s="146">
        <f>+IF(AZ39&gt;$G$13+$G$14,XX,AZ39+1)</f>
        <v>2028</v>
      </c>
      <c r="BA40" s="117"/>
      <c r="BB40" s="154">
        <f t="shared" si="16"/>
        <v>81.264644951840395</v>
      </c>
      <c r="BD40" s="154">
        <f t="shared" si="17"/>
        <v>13.689154760485362</v>
      </c>
      <c r="BF40" s="153">
        <f t="shared" si="9"/>
        <v>375.02340324469924</v>
      </c>
      <c r="BH40" s="157"/>
    </row>
    <row r="41" spans="2:60" ht="12">
      <c r="B41" s="2"/>
      <c r="C41">
        <f>+IF(C40&gt;$G$13+$G$14,XX,C40+1)</f>
        <v>2029</v>
      </c>
      <c r="E41" s="169">
        <f>+INDEX('(2.2)_Forward_Price_Curve'!$U:$U,MATCH($C41,'(2.2)_Forward_Price_Curve'!C:C,0))</f>
        <v>1.7999999999999999E-2</v>
      </c>
      <c r="G41" s="18">
        <v>121370.38079023796</v>
      </c>
      <c r="I41" s="28">
        <f t="shared" si="10"/>
        <v>0</v>
      </c>
      <c r="K41" s="28">
        <v>78.095042351781117</v>
      </c>
      <c r="M41" s="28">
        <f t="shared" si="11"/>
        <v>0</v>
      </c>
      <c r="O41" s="270">
        <f>'(2.2)_Forward_Price_Curve'!AA43</f>
        <v>1.0141884101028518</v>
      </c>
      <c r="Q41" s="28"/>
      <c r="S41" s="18">
        <f t="shared" si="4"/>
        <v>9601.5174615926626</v>
      </c>
      <c r="U41" s="18">
        <f t="shared" si="0"/>
        <v>14860.120387476116</v>
      </c>
      <c r="W41" s="18">
        <f t="shared" si="1"/>
        <v>-5258.6029258834533</v>
      </c>
      <c r="Y41" s="271">
        <f t="shared" si="5"/>
        <v>-43.32690473280951</v>
      </c>
      <c r="Z41" s="235"/>
      <c r="AB41" s="146">
        <f>+IF(AB40&gt;$G$13+$G$14,XX,AB40+1)</f>
        <v>2029</v>
      </c>
      <c r="AC41" s="117"/>
      <c r="AD41" s="151">
        <f t="shared" si="2"/>
        <v>121370.38079023796</v>
      </c>
      <c r="AF41" s="154">
        <f t="shared" si="12"/>
        <v>91.270100796476584</v>
      </c>
      <c r="AH41" s="154">
        <f t="shared" si="13"/>
        <v>10.012097527756866</v>
      </c>
      <c r="AJ41" s="154">
        <f t="shared" si="14"/>
        <v>3.3908229929229048</v>
      </c>
      <c r="AL41" s="153">
        <f t="shared" si="6"/>
        <v>2442.2065091121426</v>
      </c>
      <c r="AN41" s="154">
        <f>INDEX('(2.2)_Forward_Price_Curve'!$J:$J,MATCH($AB41,'(2.2)_Forward_Price_Curve'!$C:$C,0),1)</f>
        <v>13.565833333333336</v>
      </c>
      <c r="AP41" s="154">
        <f t="shared" si="18"/>
        <v>101.39949085624971</v>
      </c>
      <c r="AR41" s="154">
        <f t="shared" si="15"/>
        <v>4.0602400890500867</v>
      </c>
      <c r="AS41" s="154"/>
      <c r="AT41" s="153">
        <f t="shared" si="7"/>
        <v>2060.4326846090389</v>
      </c>
      <c r="AV41" s="153">
        <f t="shared" si="3"/>
        <v>12799.687702867077</v>
      </c>
      <c r="AW41" s="273"/>
      <c r="AX41" s="155">
        <f t="shared" si="8"/>
        <v>14860.120387476116</v>
      </c>
      <c r="AZ41" s="146">
        <f>+IF(AZ40&gt;$G$13+$G$14,XX,AZ40+1)</f>
        <v>2029</v>
      </c>
      <c r="BA41" s="117"/>
      <c r="BB41" s="154">
        <f t="shared" si="16"/>
        <v>82.727408560973529</v>
      </c>
      <c r="BD41" s="154">
        <f t="shared" si="17"/>
        <v>13.935559546174099</v>
      </c>
      <c r="BF41" s="153">
        <f t="shared" si="9"/>
        <v>381.77382450310387</v>
      </c>
      <c r="BH41" s="157"/>
    </row>
    <row r="42" spans="2:60" ht="12">
      <c r="B42" s="2"/>
      <c r="C42">
        <f>+IF(C41&gt;$G$13+$G$14,XX,C41+1)</f>
        <v>2030</v>
      </c>
      <c r="E42" s="169">
        <f>+INDEX('(2.2)_Forward_Price_Curve'!$U:$U,MATCH($C42,'(2.2)_Forward_Price_Curve'!C:C,0))</f>
        <v>1.7999999999999999E-2</v>
      </c>
      <c r="G42" s="18">
        <v>120721.33315871783</v>
      </c>
      <c r="I42" s="28">
        <f t="shared" si="10"/>
        <v>0</v>
      </c>
      <c r="K42" s="28">
        <v>90.065417169974097</v>
      </c>
      <c r="M42" s="28">
        <f t="shared" si="11"/>
        <v>0</v>
      </c>
      <c r="O42" s="270">
        <f>'(2.2)_Forward_Price_Curve'!AA44</f>
        <v>1.0344721783049089</v>
      </c>
      <c r="Q42" s="28"/>
      <c r="S42" s="18">
        <f t="shared" si="4"/>
        <v>10997.70009273592</v>
      </c>
      <c r="U42" s="18">
        <f t="shared" si="0"/>
        <v>15037.372207302278</v>
      </c>
      <c r="W42" s="18">
        <f t="shared" si="1"/>
        <v>-4039.6721145663578</v>
      </c>
      <c r="Y42" s="271">
        <f t="shared" si="5"/>
        <v>-33.462785813135589</v>
      </c>
      <c r="Z42" s="235"/>
      <c r="AB42" s="146">
        <f>+IF(AB41&gt;$G$13+$G$14,XX,AB41+1)</f>
        <v>2030</v>
      </c>
      <c r="AC42" s="117"/>
      <c r="AD42" s="151">
        <f t="shared" si="2"/>
        <v>120721.33315871783</v>
      </c>
      <c r="AF42" s="154">
        <f t="shared" si="12"/>
        <v>92.912962610813167</v>
      </c>
      <c r="AH42" s="154">
        <f t="shared" si="13"/>
        <v>10.192315283256491</v>
      </c>
      <c r="AJ42" s="154">
        <f t="shared" si="14"/>
        <v>3.451857806795517</v>
      </c>
      <c r="AL42" s="153">
        <f t="shared" si="6"/>
        <v>2483.9258061423161</v>
      </c>
      <c r="AN42" s="154">
        <f>INDEX('(2.2)_Forward_Price_Curve'!$J:$J,MATCH($AB42,'(2.2)_Forward_Price_Curve'!$C:$C,0),1)</f>
        <v>13.822083333333332</v>
      </c>
      <c r="AP42" s="154">
        <f t="shared" si="18"/>
        <v>103.07301448463211</v>
      </c>
      <c r="AR42" s="154">
        <f t="shared" si="15"/>
        <v>4.1333244106529881</v>
      </c>
      <c r="AS42" s="154"/>
      <c r="AT42" s="153">
        <f t="shared" si="7"/>
        <v>2095.2800527981562</v>
      </c>
      <c r="AV42" s="153">
        <f t="shared" si="3"/>
        <v>12942.092154504122</v>
      </c>
      <c r="AW42" s="273"/>
      <c r="AX42" s="155">
        <f t="shared" si="8"/>
        <v>15037.372207302278</v>
      </c>
      <c r="AZ42" s="146">
        <f>+IF(AZ41&gt;$G$13+$G$14,XX,AZ41+1)</f>
        <v>2030</v>
      </c>
      <c r="BA42" s="117"/>
      <c r="BB42" s="154">
        <f t="shared" si="16"/>
        <v>84.216501915071049</v>
      </c>
      <c r="BD42" s="154">
        <f t="shared" si="17"/>
        <v>14.186399618005233</v>
      </c>
      <c r="BF42" s="153">
        <f t="shared" si="9"/>
        <v>388.64575334415974</v>
      </c>
      <c r="BH42" s="157"/>
    </row>
    <row r="43" spans="2:60" ht="12">
      <c r="B43" s="2"/>
      <c r="C43">
        <f>+IF(C42&gt;$G$13+$G$14,XX,C42+1)</f>
        <v>2031</v>
      </c>
      <c r="E43" s="169">
        <f>+INDEX('(2.2)_Forward_Price_Curve'!$U:$U,MATCH($C43,'(2.2)_Forward_Price_Curve'!C:C,0))</f>
        <v>1.7999999999999999E-2</v>
      </c>
      <c r="G43" s="18">
        <v>120072.28552719764</v>
      </c>
      <c r="I43" s="28">
        <f t="shared" si="10"/>
        <v>0</v>
      </c>
      <c r="K43" s="28">
        <v>91.015433603475913</v>
      </c>
      <c r="M43" s="28">
        <f t="shared" si="11"/>
        <v>0</v>
      </c>
      <c r="O43" s="270">
        <f>'(2.2)_Forward_Price_Curve'!AA45</f>
        <v>1.0551616218710071</v>
      </c>
      <c r="Q43" s="28"/>
      <c r="S43" s="18">
        <f t="shared" si="4"/>
        <v>11055.126798556896</v>
      </c>
      <c r="U43" s="18">
        <f t="shared" si="0"/>
        <v>15218.329452274236</v>
      </c>
      <c r="W43" s="18">
        <f t="shared" si="1"/>
        <v>-4163.2026537173406</v>
      </c>
      <c r="Y43" s="271">
        <f t="shared" si="5"/>
        <v>-34.672469466522571</v>
      </c>
      <c r="Z43" s="235"/>
      <c r="AB43" s="146">
        <f>+IF(AB42&gt;$G$13+$G$14,XX,AB42+1)</f>
        <v>2031</v>
      </c>
      <c r="AC43" s="117"/>
      <c r="AD43" s="151">
        <f t="shared" si="2"/>
        <v>120072.28552719764</v>
      </c>
      <c r="AF43" s="154">
        <f t="shared" si="12"/>
        <v>94.585395937807803</v>
      </c>
      <c r="AH43" s="154">
        <f t="shared" si="13"/>
        <v>10.375776958355107</v>
      </c>
      <c r="AJ43" s="154">
        <f t="shared" si="14"/>
        <v>3.5139912473178363</v>
      </c>
      <c r="AL43" s="153">
        <f t="shared" si="6"/>
        <v>2526.355722956624</v>
      </c>
      <c r="AN43" s="154">
        <f>INDEX('(2.2)_Forward_Price_Curve'!$J:$J,MATCH($AB43,'(2.2)_Forward_Price_Curve'!$C:$C,0),1)</f>
        <v>14.084999999999999</v>
      </c>
      <c r="AP43" s="154">
        <f t="shared" si="18"/>
        <v>104.79007693911878</v>
      </c>
      <c r="AR43" s="154">
        <f t="shared" si="15"/>
        <v>4.207724250044742</v>
      </c>
      <c r="AS43" s="154"/>
      <c r="AT43" s="153">
        <f>AL43-BF43</f>
        <v>2130.7143460522693</v>
      </c>
      <c r="AV43" s="153">
        <f t="shared" si="3"/>
        <v>13087.615106221967</v>
      </c>
      <c r="AW43" s="273"/>
      <c r="AX43" s="155">
        <f t="shared" si="8"/>
        <v>15218.329452274236</v>
      </c>
      <c r="AZ43" s="146">
        <f>+IF(AZ42&gt;$G$13+$G$14,XX,AZ42+1)</f>
        <v>2031</v>
      </c>
      <c r="BA43" s="117"/>
      <c r="BB43" s="154">
        <f t="shared" si="16"/>
        <v>85.732398949542329</v>
      </c>
      <c r="BD43" s="154">
        <f t="shared" si="17"/>
        <v>14.441754811129327</v>
      </c>
      <c r="BF43" s="153">
        <f t="shared" si="9"/>
        <v>395.64137690435462</v>
      </c>
      <c r="BH43" s="157"/>
    </row>
    <row r="44" spans="2:60" ht="12">
      <c r="B44" s="2"/>
      <c r="C44">
        <f>+IF(C43&gt;$G$13+$G$14,XX,C43+1)</f>
        <v>2032</v>
      </c>
      <c r="E44" s="169">
        <f>+INDEX('(2.2)_Forward_Price_Curve'!$U:$U,MATCH($C44,'(2.2)_Forward_Price_Curve'!C:C,0))</f>
        <v>1.7999999999999999E-2</v>
      </c>
      <c r="G44" s="18">
        <v>119423.23789567752</v>
      </c>
      <c r="I44" s="28">
        <f t="shared" si="10"/>
        <v>0</v>
      </c>
      <c r="K44" s="28">
        <v>91.77902197091089</v>
      </c>
      <c r="M44" s="28">
        <f t="shared" si="11"/>
        <v>0</v>
      </c>
      <c r="O44" s="270">
        <f>'(2.2)_Forward_Price_Curve'!AA46</f>
        <v>1.0773200159302982</v>
      </c>
      <c r="Q44" s="28"/>
      <c r="S44" s="18">
        <f t="shared" si="4"/>
        <v>11089.205019216924</v>
      </c>
      <c r="U44" s="18">
        <f t="shared" si="0"/>
        <v>15400.642649121579</v>
      </c>
      <c r="W44" s="18">
        <f t="shared" si="1"/>
        <v>-4311.4376299046544</v>
      </c>
      <c r="Y44" s="271">
        <f t="shared" si="5"/>
        <v>-36.102166595674809</v>
      </c>
      <c r="Z44" s="235"/>
      <c r="AB44" s="146">
        <f>+IF(AB43&gt;$G$13+$G$14,XX,AB43+1)</f>
        <v>2032</v>
      </c>
      <c r="AC44" s="117"/>
      <c r="AD44" s="151">
        <f t="shared" si="2"/>
        <v>119423.23789567752</v>
      </c>
      <c r="AF44" s="154">
        <f t="shared" si="12"/>
        <v>96.287933064688346</v>
      </c>
      <c r="AH44" s="154">
        <f t="shared" si="13"/>
        <v>10.5625409436055</v>
      </c>
      <c r="AJ44" s="154">
        <f t="shared" si="14"/>
        <v>3.5772430897695573</v>
      </c>
      <c r="AL44" s="153">
        <f t="shared" si="6"/>
        <v>2569.5083248150559</v>
      </c>
      <c r="AN44" s="154">
        <f>INDEX('(2.2)_Forward_Price_Curve'!$J:$J,MATCH($AB44,'(2.2)_Forward_Price_Curve'!$C:$C,0),1)</f>
        <v>14.351666666666667</v>
      </c>
      <c r="AP44" s="154">
        <f t="shared" si="18"/>
        <v>106.53162998328909</v>
      </c>
      <c r="AR44" s="154">
        <f t="shared" si="15"/>
        <v>4.2834632865455475</v>
      </c>
      <c r="AS44" s="154"/>
      <c r="AT44" s="153">
        <f t="shared" si="7"/>
        <v>2166.7454031264228</v>
      </c>
      <c r="AV44" s="153">
        <f t="shared" si="3"/>
        <v>13233.897245995156</v>
      </c>
      <c r="AW44" s="273"/>
      <c r="AX44" s="155">
        <f t="shared" si="8"/>
        <v>15400.642649121579</v>
      </c>
      <c r="AZ44" s="146">
        <f>+IF(AZ43&gt;$G$13+$G$14,XX,AZ43+1)</f>
        <v>2032</v>
      </c>
      <c r="BA44" s="117"/>
      <c r="BB44" s="154">
        <f t="shared" si="16"/>
        <v>87.275582130634092</v>
      </c>
      <c r="BD44" s="154">
        <f t="shared" si="17"/>
        <v>14.701706397729655</v>
      </c>
      <c r="BF44" s="153">
        <f t="shared" si="9"/>
        <v>402.76292168863296</v>
      </c>
      <c r="BH44" s="157"/>
    </row>
    <row r="45" spans="2:60" ht="12">
      <c r="B45" s="2"/>
      <c r="C45">
        <f>+IF(C44&gt;$G$13+$G$14,XX,C44+1)</f>
        <v>2033</v>
      </c>
      <c r="E45" s="169">
        <f>+INDEX('(2.2)_Forward_Price_Curve'!$U:$U,MATCH($C45,'(2.2)_Forward_Price_Curve'!C:C,0))</f>
        <v>1.9E-2</v>
      </c>
      <c r="G45" s="18">
        <v>118774.19026415733</v>
      </c>
      <c r="I45" s="28">
        <f t="shared" si="10"/>
        <v>0</v>
      </c>
      <c r="K45" s="28">
        <v>92.205057825403685</v>
      </c>
      <c r="M45" s="28">
        <f t="shared" si="11"/>
        <v>0</v>
      </c>
      <c r="O45" s="270">
        <f>'(2.2)_Forward_Price_Curve'!AA47</f>
        <v>1.0999437362648343</v>
      </c>
      <c r="Q45" s="28"/>
      <c r="S45" s="18">
        <f t="shared" si="4"/>
        <v>11082.226008083113</v>
      </c>
      <c r="U45" s="18">
        <f t="shared" si="0"/>
        <v>15579.714835272389</v>
      </c>
      <c r="W45" s="18">
        <f t="shared" si="1"/>
        <v>-4497.488827189276</v>
      </c>
      <c r="Y45" s="271">
        <f t="shared" si="5"/>
        <v>-37.865876561117588</v>
      </c>
      <c r="Z45" s="235"/>
      <c r="AB45" s="146">
        <f>+IF(AB44&gt;$G$13+$G$14,XX,AB44+1)</f>
        <v>2033</v>
      </c>
      <c r="AC45" s="117"/>
      <c r="AD45" s="151">
        <f t="shared" si="2"/>
        <v>118774.19026415733</v>
      </c>
      <c r="AF45" s="154">
        <f t="shared" si="12"/>
        <v>98.117403792917415</v>
      </c>
      <c r="AH45" s="154">
        <f t="shared" si="13"/>
        <v>10.763229221534003</v>
      </c>
      <c r="AJ45" s="154">
        <f t="shared" si="14"/>
        <v>3.6452107084751786</v>
      </c>
      <c r="AL45" s="153">
        <f t="shared" si="6"/>
        <v>2615.9630676098141</v>
      </c>
      <c r="AN45" s="154">
        <f>INDEX('(2.2)_Forward_Price_Curve'!$J:$J,MATCH($AB45,'(2.2)_Forward_Price_Curve'!$C:$C,0),1)</f>
        <v>14.610833333333332</v>
      </c>
      <c r="AP45" s="154">
        <f t="shared" si="18"/>
        <v>108.23677888354138</v>
      </c>
      <c r="AR45" s="154">
        <f t="shared" si="15"/>
        <v>4.3648490889899128</v>
      </c>
      <c r="AS45" s="154"/>
      <c r="AT45" s="153">
        <f t="shared" si="7"/>
        <v>2205.5476504090971</v>
      </c>
      <c r="AV45" s="153">
        <f t="shared" si="3"/>
        <v>13374.167184863292</v>
      </c>
      <c r="AW45" s="273"/>
      <c r="AX45" s="155">
        <f t="shared" si="8"/>
        <v>15579.714835272389</v>
      </c>
      <c r="AZ45" s="146">
        <f>+IF(AZ44&gt;$G$13+$G$14,XX,AZ44+1)</f>
        <v>2033</v>
      </c>
      <c r="BA45" s="117"/>
      <c r="BB45" s="154">
        <f t="shared" si="16"/>
        <v>88.933818191116131</v>
      </c>
      <c r="BD45" s="154">
        <f t="shared" si="17"/>
        <v>14.981038819286518</v>
      </c>
      <c r="BF45" s="153">
        <f t="shared" si="9"/>
        <v>410.41541720071694</v>
      </c>
      <c r="BH45" s="157"/>
    </row>
    <row r="46" spans="2:60" ht="12">
      <c r="B46" s="2"/>
      <c r="C46">
        <f>+IF(C45&gt;$G$13+$G$14,XX,C45+1)</f>
        <v>2034</v>
      </c>
      <c r="E46" s="169">
        <f>+INDEX('(2.2)_Forward_Price_Curve'!$U:$U,MATCH($C46,'(2.2)_Forward_Price_Curve'!C:C,0))</f>
        <v>1.7999999999999999E-2</v>
      </c>
      <c r="G46" s="18">
        <v>118125.14263263717</v>
      </c>
      <c r="I46" s="28">
        <f t="shared" si="10"/>
        <v>0</v>
      </c>
      <c r="K46" s="28">
        <v>92.658601508381608</v>
      </c>
      <c r="M46" s="28">
        <f t="shared" si="11"/>
        <v>0</v>
      </c>
      <c r="O46" s="270">
        <f>'(2.2)_Forward_Price_Curve'!AA48</f>
        <v>1.1230425547263958</v>
      </c>
      <c r="Q46" s="28"/>
      <c r="S46" s="18">
        <f t="shared" si="4"/>
        <v>11077.970081277843</v>
      </c>
      <c r="U46" s="18">
        <f t="shared" si="0"/>
        <v>15755.510044139308</v>
      </c>
      <c r="W46" s="18">
        <f t="shared" si="1"/>
        <v>-4677.539962861465</v>
      </c>
      <c r="Y46" s="271">
        <f t="shared" si="5"/>
        <v>-39.598174094133057</v>
      </c>
      <c r="Z46" s="235"/>
      <c r="AB46" s="146">
        <f>+IF(AB45&gt;$G$13+$G$14,XX,AB45+1)</f>
        <v>2034</v>
      </c>
      <c r="AC46" s="117"/>
      <c r="AD46" s="151">
        <f t="shared" si="2"/>
        <v>118125.14263263717</v>
      </c>
      <c r="AF46" s="154">
        <f t="shared" si="12"/>
        <v>99.883517061189934</v>
      </c>
      <c r="AH46" s="154">
        <f t="shared" si="13"/>
        <v>10.956967347521616</v>
      </c>
      <c r="AJ46" s="154">
        <f t="shared" si="14"/>
        <v>3.7108245012277319</v>
      </c>
      <c r="AL46" s="153">
        <f t="shared" si="6"/>
        <v>2660.6419009732817</v>
      </c>
      <c r="AN46" s="154">
        <f>INDEX('(2.2)_Forward_Price_Curve'!$J:$J,MATCH($AB46,'(2.2)_Forward_Price_Curve'!$C:$C,0),1)</f>
        <v>14.875000000000002</v>
      </c>
      <c r="AP46" s="154">
        <f t="shared" si="18"/>
        <v>109.94942783247336</v>
      </c>
      <c r="AR46" s="154">
        <f t="shared" si="15"/>
        <v>4.4434163725917308</v>
      </c>
      <c r="AS46" s="154"/>
      <c r="AT46" s="153">
        <f t="shared" si="7"/>
        <v>2242.8390062629519</v>
      </c>
      <c r="AV46" s="153">
        <f t="shared" si="3"/>
        <v>13512.671037876356</v>
      </c>
      <c r="AW46" s="273"/>
      <c r="AX46" s="155">
        <f t="shared" si="8"/>
        <v>15755.510044139308</v>
      </c>
      <c r="AZ46" s="146">
        <f>+IF(AZ45&gt;$G$13+$G$14,XX,AZ45+1)</f>
        <v>2034</v>
      </c>
      <c r="BA46" s="117"/>
      <c r="BB46" s="154">
        <f t="shared" si="16"/>
        <v>90.534626918556228</v>
      </c>
      <c r="BD46" s="154">
        <f t="shared" si="17"/>
        <v>15.250697518033675</v>
      </c>
      <c r="BF46" s="153">
        <f t="shared" si="9"/>
        <v>417.80289471032989</v>
      </c>
      <c r="BH46" s="157"/>
    </row>
    <row r="47" spans="2:60" ht="12">
      <c r="B47" s="2"/>
      <c r="C47">
        <f>+IF(C46&gt;$G$13+$G$14,XX,C46+1)</f>
        <v>2035</v>
      </c>
      <c r="E47" s="169">
        <f>+INDEX('(2.2)_Forward_Price_Curve'!$U:$U,MATCH($C47,'(2.2)_Forward_Price_Curve'!C:C,0))</f>
        <v>1.7999999999999999E-2</v>
      </c>
      <c r="G47" s="18">
        <v>117476.09500111702</v>
      </c>
      <c r="I47" s="28">
        <f t="shared" si="10"/>
        <v>0</v>
      </c>
      <c r="K47" s="28">
        <v>92.870577694749159</v>
      </c>
      <c r="M47" s="28"/>
      <c r="O47" s="270">
        <f>'(2.2)_Forward_Price_Curve'!AA49</f>
        <v>1.1466264483756501</v>
      </c>
      <c r="Q47" s="28"/>
      <c r="S47" s="18">
        <f t="shared" si="4"/>
        <v>11044.774005657144</v>
      </c>
      <c r="U47" s="18">
        <f t="shared" si="0"/>
        <v>15932.530304898986</v>
      </c>
      <c r="W47" s="18">
        <f t="shared" si="1"/>
        <v>-4887.7562992418425</v>
      </c>
      <c r="Y47" s="271">
        <f t="shared" si="5"/>
        <v>-41.606390637987815</v>
      </c>
      <c r="Z47" s="235"/>
      <c r="AB47" s="146">
        <f>+IF(AB46&gt;$G$13+$G$14,XX,AB46+1)</f>
        <v>2035</v>
      </c>
      <c r="AC47" s="117"/>
      <c r="AD47" s="151">
        <f t="shared" si="2"/>
        <v>117476.09500111702</v>
      </c>
      <c r="AF47" s="154">
        <f t="shared" si="12"/>
        <v>101.68142036829136</v>
      </c>
      <c r="AH47" s="154">
        <f t="shared" si="13"/>
        <v>11.154192759777004</v>
      </c>
      <c r="AJ47" s="154">
        <f t="shared" si="14"/>
        <v>3.7776193422498312</v>
      </c>
      <c r="AL47" s="153">
        <f t="shared" si="6"/>
        <v>2706.0816003039295</v>
      </c>
      <c r="AN47" s="154">
        <f>INDEX('(2.2)_Forward_Price_Curve'!$J:$J,MATCH($AB47,'(2.2)_Forward_Price_Curve'!$C:$C,0),1)</f>
        <v>15.140833333333333</v>
      </c>
      <c r="AP47" s="154">
        <f t="shared" si="18"/>
        <v>111.68553852338063</v>
      </c>
      <c r="AR47" s="154">
        <f t="shared" si="15"/>
        <v>4.5233978672983817</v>
      </c>
      <c r="AS47" s="154"/>
      <c r="AT47" s="153">
        <f t="shared" si="7"/>
        <v>2280.7582534888134</v>
      </c>
      <c r="AV47" s="153">
        <f t="shared" si="3"/>
        <v>13651.772051410173</v>
      </c>
      <c r="AW47" s="273"/>
      <c r="AX47" s="155">
        <f t="shared" si="8"/>
        <v>15932.530304898986</v>
      </c>
      <c r="AZ47" s="146">
        <f>+IF(AZ46&gt;$G$13+$G$14,XX,AZ46+1)</f>
        <v>2035</v>
      </c>
      <c r="BA47" s="117"/>
      <c r="BB47" s="154">
        <f t="shared" si="16"/>
        <v>92.164250203090248</v>
      </c>
      <c r="BD47" s="154">
        <f t="shared" si="17"/>
        <v>15.525210073358283</v>
      </c>
      <c r="BF47" s="153">
        <f t="shared" si="9"/>
        <v>425.32334681511588</v>
      </c>
      <c r="BH47" s="157"/>
    </row>
    <row r="48" spans="2:60" ht="12">
      <c r="B48" s="2"/>
      <c r="E48" s="169"/>
      <c r="G48" s="18"/>
      <c r="I48" s="28"/>
      <c r="K48" s="28"/>
      <c r="M48" s="28"/>
      <c r="O48" s="270"/>
      <c r="Q48" s="28"/>
      <c r="S48" s="18"/>
      <c r="U48" s="18"/>
      <c r="W48" s="18"/>
      <c r="Y48" s="271"/>
      <c r="Z48" s="235"/>
      <c r="AB48" s="146"/>
      <c r="AC48" s="117"/>
      <c r="AD48" s="151"/>
      <c r="AF48" s="154"/>
      <c r="AH48" s="154"/>
      <c r="AJ48" s="154"/>
      <c r="AL48" s="153"/>
      <c r="AN48" s="154"/>
      <c r="AP48" s="154"/>
      <c r="AR48" s="154"/>
      <c r="AS48" s="154"/>
      <c r="AT48" s="153"/>
      <c r="AV48" s="153"/>
      <c r="AW48" s="273"/>
      <c r="AX48" s="155"/>
      <c r="AZ48" s="146"/>
      <c r="BA48" s="117"/>
      <c r="BB48" s="154"/>
      <c r="BD48" s="154"/>
      <c r="BF48" s="153"/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E50" s="169"/>
      <c r="G50" s="18"/>
      <c r="I50" s="28"/>
      <c r="K50" s="28"/>
      <c r="M50" s="28"/>
      <c r="O50" s="270"/>
      <c r="Q50" s="28"/>
      <c r="S50" s="18"/>
      <c r="U50" s="18"/>
      <c r="W50" s="18"/>
      <c r="Y50" s="271"/>
      <c r="Z50" s="235"/>
      <c r="AB50" s="146"/>
      <c r="AC50" s="117"/>
      <c r="AD50" s="151"/>
      <c r="AF50" s="154"/>
      <c r="AH50" s="154"/>
      <c r="AJ50" s="154"/>
      <c r="AL50" s="153"/>
      <c r="AN50" s="154"/>
      <c r="AP50" s="154"/>
      <c r="AR50" s="154"/>
      <c r="AS50" s="154"/>
      <c r="AT50" s="153"/>
      <c r="AV50" s="153"/>
      <c r="AW50" s="273"/>
      <c r="AX50" s="155"/>
      <c r="AZ50" s="146"/>
      <c r="BA50" s="117"/>
      <c r="BB50" s="154"/>
      <c r="BD50" s="154"/>
      <c r="BF50" s="153"/>
      <c r="BH50" s="157"/>
    </row>
    <row r="51" spans="2:60" ht="12">
      <c r="B51" s="2"/>
      <c r="E51" s="169"/>
      <c r="G51" s="18"/>
      <c r="I51" s="28"/>
      <c r="K51" s="28"/>
      <c r="M51" s="28"/>
      <c r="O51" s="270"/>
      <c r="Q51" s="28"/>
      <c r="S51" s="18"/>
      <c r="U51" s="18"/>
      <c r="W51" s="18"/>
      <c r="Y51" s="271"/>
      <c r="Z51" s="235"/>
      <c r="AB51" s="146"/>
      <c r="AC51" s="117"/>
      <c r="AD51" s="151"/>
      <c r="AF51" s="154"/>
      <c r="AH51" s="154"/>
      <c r="AJ51" s="154"/>
      <c r="AL51" s="153"/>
      <c r="AN51" s="154"/>
      <c r="AP51" s="154"/>
      <c r="AR51" s="154"/>
      <c r="AS51" s="154"/>
      <c r="AT51" s="153"/>
      <c r="AV51" s="153"/>
      <c r="AW51" s="273"/>
      <c r="AX51" s="155"/>
      <c r="AZ51" s="146"/>
      <c r="BA51" s="117"/>
      <c r="BB51" s="154"/>
      <c r="BD51" s="154"/>
      <c r="BF51" s="153"/>
      <c r="BH51" s="157"/>
    </row>
    <row r="52" spans="2:60" ht="12">
      <c r="B52" s="2"/>
      <c r="E52" s="169"/>
      <c r="G52" s="18"/>
      <c r="I52" s="28"/>
      <c r="K52" s="28"/>
      <c r="M52" s="28"/>
      <c r="O52" s="270"/>
      <c r="Q52" s="28" t="s">
        <v>299</v>
      </c>
      <c r="S52" s="18"/>
      <c r="U52" s="18"/>
      <c r="W52" s="18"/>
      <c r="Y52" s="271"/>
      <c r="Z52" s="235"/>
      <c r="AB52" s="146"/>
      <c r="AC52" s="117"/>
      <c r="AD52" s="151"/>
      <c r="AF52" s="154"/>
      <c r="AH52" s="154"/>
      <c r="AJ52" s="154"/>
      <c r="AL52" s="153"/>
      <c r="AN52" s="154"/>
      <c r="AP52" s="154"/>
      <c r="AR52" s="154"/>
      <c r="AS52" s="154"/>
      <c r="AT52" s="153"/>
      <c r="AV52" s="153"/>
      <c r="AW52" s="273"/>
      <c r="AX52" s="155"/>
      <c r="AZ52" s="146"/>
      <c r="BA52" s="117"/>
      <c r="BB52" s="154"/>
      <c r="BD52" s="154"/>
      <c r="BF52" s="153"/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20-year Nominal Levelized at 6.66%</v>
      </c>
      <c r="E58" s="169"/>
      <c r="G58" s="285">
        <f>+-PMT($G$18,$G$14,NPV($G$18,G28:G56))</f>
        <v>124996.30382150566</v>
      </c>
      <c r="I58" s="28">
        <f>+-PMT($G$18,$G$14,NPV($G$18,I28:I56))</f>
        <v>0</v>
      </c>
      <c r="J58" s="28"/>
      <c r="K58" s="28">
        <f>+-PMT($G$18,$G$14,NPV($G$18,K28:K56))</f>
        <v>48.54711497849015</v>
      </c>
      <c r="M58" s="28">
        <f>+-PMT($G$18,$G$14,NPV($G$18,M28:M56))</f>
        <v>0</v>
      </c>
      <c r="O58" s="28">
        <f>+-PMT($G$18,$G$14,NPV($G$18,O28:O56))</f>
        <v>0.91989632023798074</v>
      </c>
      <c r="Q58" s="28">
        <f>+-PMT($G$18,$G$14,NPV($G$18,Q28:Q56))</f>
        <v>0</v>
      </c>
      <c r="S58" s="18">
        <f>+-PMT($G$18,$G$14,NPV($G$18,S28:S56))</f>
        <v>6099.5727164523514</v>
      </c>
      <c r="U58" s="18">
        <f>+-PMT($G$18,$G$14,NPV($G$18,U28:U56))</f>
        <v>13771.474997509195</v>
      </c>
      <c r="W58" s="18">
        <f>+-PMT($G$18,$G$14,NPV($G$18,W28:W56))</f>
        <v>-7671.9022810568467</v>
      </c>
      <c r="Y58" s="271">
        <f>+-PMT($G$18,$G$14,NPV($G$18,Y28:Y56))</f>
        <v>-61.068508183530625</v>
      </c>
      <c r="Z58" s="235"/>
      <c r="AB58" s="2"/>
      <c r="AD58" s="151">
        <f>+-PMT($G$18,$G$14,NPV($G$18,AD28:AD56))</f>
        <v>124996.30382150566</v>
      </c>
      <c r="AF58" s="154">
        <f>+-PMT($G$18,$G$14,NPV($G$18,AF28:AF56))</f>
        <v>82.685631868945421</v>
      </c>
      <c r="AH58" s="154">
        <f>+-PMT($G$18,$G$14,NPV($G$18,AH28:AH56))</f>
        <v>9.0704031571316257</v>
      </c>
      <c r="AJ58" s="154">
        <f>+-PMT($G$18,$G$14,NPV($G$18,AJ28:AJ56))</f>
        <v>3.0718969221999886</v>
      </c>
      <c r="AL58" s="153">
        <f>+-PMT($G$18,$G$14,NPV($G$18,AL28:AL56))</f>
        <v>2222.4900213311867</v>
      </c>
      <c r="AN58" s="154">
        <f>+-PMT($G$18,$G$14,NPV($G$18,AN28:AN56))</f>
        <v>12.102008187620727</v>
      </c>
      <c r="AP58" s="154">
        <f>+-PMT($G$18,$G$14,NPV($G$18,AP28:AP56))</f>
        <v>91.788090335742382</v>
      </c>
      <c r="AR58" s="154">
        <f>+-PMT($G$18,$G$14,NPV($G$18,AR28:AR56))</f>
        <v>3.6783515562381197</v>
      </c>
      <c r="AS58" s="154"/>
      <c r="AT58" s="153">
        <f>+-PMT($G$18,$G$14,NPV($G$18,AT28:AT56))</f>
        <v>1876.6241831805878</v>
      </c>
      <c r="AV58" s="153">
        <f>+-PMT($G$18,$G$14,NPV($G$18,AV28:AV56))</f>
        <v>11894.850814328609</v>
      </c>
      <c r="AW58" s="273"/>
      <c r="AX58" s="155">
        <f>+-PMT($G$18,$G$14,NPV($G$18,AX28:AX56))</f>
        <v>13771.474997509195</v>
      </c>
      <c r="AZ58" s="2"/>
      <c r="BB58" s="154">
        <f>+-PMT($G$18,$G$14,NPV($G$18,BB28:BB56))</f>
        <v>74.946428129819381</v>
      </c>
      <c r="BD58" s="154">
        <f>+-PMT($G$18,$G$14,NPV($G$18,BD28:BD56))</f>
        <v>12.624841393482965</v>
      </c>
      <c r="BF58" s="153">
        <f>+-PMT($G$18,$G$14,NPV($G$18,BF28:BF56))</f>
        <v>345.86583815059896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4544D-58BE-4D15-B631-EFD084DB6AB2}">
  <sheetPr codeName="Sheet10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308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338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79.8</v>
      </c>
      <c r="H11" s="252"/>
      <c r="AB11" s="122" t="s">
        <v>99</v>
      </c>
      <c r="AC11" s="123"/>
      <c r="AD11" s="123"/>
      <c r="AE11" s="123"/>
      <c r="AF11" s="281">
        <f>+G11*(G12/AJ16)</f>
        <v>45.114940740507585</v>
      </c>
      <c r="AG11" s="127"/>
      <c r="AH11" s="123" t="s">
        <v>100</v>
      </c>
      <c r="AI11" s="124"/>
      <c r="AJ11" s="166">
        <f>'(2.1)_Proxy Resources'!L67</f>
        <v>7.7079648513634842</v>
      </c>
      <c r="AK11" s="235"/>
      <c r="AZ11" s="122" t="s">
        <v>99</v>
      </c>
      <c r="BA11" s="123"/>
      <c r="BB11" s="123"/>
      <c r="BC11" s="123"/>
      <c r="BD11" s="134">
        <f>(AF11*AF13-G11*G19)</f>
        <v>33.543940740507587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0.40304252148419134</v>
      </c>
      <c r="H12" s="252"/>
      <c r="AB12" s="122" t="s">
        <v>32</v>
      </c>
      <c r="AC12" s="123"/>
      <c r="AD12" s="123"/>
      <c r="AE12" s="123"/>
      <c r="AF12" s="131">
        <f>+AD58/8760/AF11</f>
        <v>0.71290572534711616</v>
      </c>
      <c r="AG12" s="127"/>
      <c r="AH12" s="117" t="s">
        <v>101</v>
      </c>
      <c r="AI12" s="118"/>
      <c r="AJ12" s="117">
        <v>2014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2016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Resources'!O67</f>
        <v>2.6104764135772984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20</v>
      </c>
      <c r="H14" s="252"/>
      <c r="AB14" s="122" t="s">
        <v>104</v>
      </c>
      <c r="AC14" s="123"/>
      <c r="AD14" s="123"/>
      <c r="AE14" s="123"/>
      <c r="AF14" s="134">
        <f>'(2.1)_Proxy Resources'!H67</f>
        <v>6530.8239156386799</v>
      </c>
      <c r="AG14" s="127"/>
      <c r="AH14" s="117" t="s">
        <v>326</v>
      </c>
      <c r="AI14" s="118"/>
      <c r="AJ14" s="166">
        <f>'(2.1)_Proxy Resources'!P67</f>
        <v>12.577035449261281</v>
      </c>
      <c r="AK14" s="235"/>
      <c r="AZ14" s="122" t="s">
        <v>192</v>
      </c>
      <c r="BA14" s="123"/>
      <c r="BB14" s="123"/>
      <c r="BC14" s="123"/>
      <c r="BD14" s="167">
        <f>'(2.1)_Proxy Resources'!J68</f>
        <v>820.02180312689813</v>
      </c>
      <c r="BE14" s="132"/>
    </row>
    <row r="15" spans="1:57" ht="12">
      <c r="A15" t="s">
        <v>325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192</v>
      </c>
      <c r="AC15" s="123"/>
      <c r="AD15" s="123"/>
      <c r="AE15" s="123"/>
      <c r="AF15" s="167">
        <f>'(2.1)_Proxy Resources'!J67</f>
        <v>914.64278393587574</v>
      </c>
      <c r="AG15" s="127"/>
      <c r="AH15" s="117" t="s">
        <v>145</v>
      </c>
      <c r="AI15" s="118"/>
      <c r="AJ15" s="166">
        <f>'(2.1)_Proxy Resources'!Q67</f>
        <v>3.1258372991005694</v>
      </c>
      <c r="AK15" s="235"/>
      <c r="AZ15" s="122" t="s">
        <v>108</v>
      </c>
      <c r="BA15" s="123"/>
      <c r="BB15" s="123"/>
      <c r="BC15" s="123"/>
      <c r="BD15" s="136">
        <f>'(2.1)_Proxy Resources'!K68</f>
        <v>7.7667383499954168E-2</v>
      </c>
      <c r="BE15" s="132"/>
    </row>
    <row r="16" spans="1:57" ht="12">
      <c r="A16" t="s">
        <v>325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Resources'!K65</f>
        <v>7.682307239305719E-2</v>
      </c>
      <c r="AG16" s="127"/>
      <c r="AH16" s="117" t="s">
        <v>110</v>
      </c>
      <c r="AI16" s="124"/>
      <c r="AJ16" s="137">
        <f>'(2.1)_Proxy Resources'!D67</f>
        <v>0.7129078014184399</v>
      </c>
      <c r="AK16" s="235"/>
      <c r="AZ16" s="122" t="s">
        <v>100</v>
      </c>
      <c r="BA16" s="124"/>
      <c r="BB16" s="166">
        <f>'(2.1)_Proxy Resources'!N68</f>
        <v>10.728501482152289</v>
      </c>
      <c r="BE16" s="130"/>
    </row>
    <row r="17" spans="1:60" ht="12">
      <c r="A17" t="s">
        <v>325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2014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'(2.2)_Forward_Price_Curve'!AA7</f>
        <v>6.6600000000000006E-2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'(2.2)_Forward_Price_Curve'!K103</f>
        <v>0.14499999999999999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2016</v>
      </c>
      <c r="E28" s="169">
        <f>+INDEX('(2.2)_Forward_Price_Curve'!$U:$U,MATCH($C28,'(2.2)_Forward_Price_Curve'!C:C,0))</f>
        <v>0.02</v>
      </c>
      <c r="G28" s="18">
        <v>282371.75</v>
      </c>
      <c r="I28" s="268">
        <f>$G$15*(1+E28)</f>
        <v>0</v>
      </c>
      <c r="J28" s="268"/>
      <c r="K28" s="268">
        <v>60.327279878937979</v>
      </c>
      <c r="L28" s="269"/>
      <c r="M28" s="268">
        <f>$G$17</f>
        <v>0</v>
      </c>
      <c r="O28" s="270">
        <f>'(2.2)_Forward_Price_Curve'!Z29</f>
        <v>3.1150800000000003</v>
      </c>
      <c r="Q28" s="28"/>
      <c r="S28" s="18">
        <f>(I28*$G$11*1000+(K28+M28+O28+Q28)*G28)/1000</f>
        <v>17914.330183145503</v>
      </c>
      <c r="U28" s="18">
        <f t="shared" ref="U28:U47" si="0">AX28</f>
        <v>22691.860674766733</v>
      </c>
      <c r="W28" s="18">
        <f t="shared" ref="W28:W47" si="1">S28-U28</f>
        <v>-4777.5304916212299</v>
      </c>
      <c r="Y28" s="271">
        <f>+W28*1000/G28</f>
        <v>-16.919293419477089</v>
      </c>
      <c r="Z28" s="235"/>
      <c r="AB28" s="146">
        <f>$C$28</f>
        <v>2016</v>
      </c>
      <c r="AC28" s="117"/>
      <c r="AD28" s="151">
        <f t="shared" ref="AD28:AD47" si="2">G28</f>
        <v>282371.75</v>
      </c>
      <c r="AF28" s="152">
        <f>$AF$15*$AF$16*(1+E28)</f>
        <v>71.670982180175017</v>
      </c>
      <c r="AG28" s="272"/>
      <c r="AH28" s="152">
        <f>$AJ$11*(1+E28)</f>
        <v>7.8621241483907536</v>
      </c>
      <c r="AI28" s="272"/>
      <c r="AJ28" s="152">
        <f>$AJ$13*(1+E28)</f>
        <v>2.6626859418488444</v>
      </c>
      <c r="AK28" s="272"/>
      <c r="AL28" s="153">
        <f>((AF28+AH28)*$AF$11*1000+AJ28*AD28)/1000</f>
        <v>4339.9986680219899</v>
      </c>
      <c r="AN28" s="154">
        <f>INDEX('(2.2)_Forward_Price_Curve'!$J:$J,MATCH($AB28,'(2.2)_Forward_Price_Curve'!$C:$C,0),1)</f>
        <v>8.9541666666666657</v>
      </c>
      <c r="AO28" s="279"/>
      <c r="AP28" s="154">
        <f>AN28*$AF$14/1000+$AJ$14/(1+E29)</f>
        <v>70.820613239408203</v>
      </c>
      <c r="AQ28" s="272"/>
      <c r="AR28" s="152">
        <f>$AJ$15*(1+E28)</f>
        <v>3.1883540450825807</v>
      </c>
      <c r="AS28" s="152"/>
      <c r="AT28" s="153">
        <f>AL28-BF28</f>
        <v>1793.8190669523237</v>
      </c>
      <c r="AU28" s="272"/>
      <c r="AV28" s="153">
        <f t="shared" ref="AV28:AV47" si="3">(AP28+AR28)*AD28/1000</f>
        <v>20898.041607814408</v>
      </c>
      <c r="AW28" s="273"/>
      <c r="AX28" s="155">
        <f>AT28+AV28</f>
        <v>22691.860674766733</v>
      </c>
      <c r="AZ28" s="146">
        <f>$C$28</f>
        <v>2016</v>
      </c>
      <c r="BA28" s="117"/>
      <c r="BB28" s="152">
        <f>$BD$14*$BD$15*(1+E28)</f>
        <v>64.962726819016325</v>
      </c>
      <c r="BD28" s="152">
        <f>$BB$16*(1+E28)</f>
        <v>10.943071511795335</v>
      </c>
      <c r="BE28" s="272"/>
      <c r="BF28" s="153">
        <f>(BB28+BD28)*$BD$11</f>
        <v>2546.1796010696662</v>
      </c>
      <c r="BG28" s="272"/>
      <c r="BH28" s="156"/>
    </row>
    <row r="29" spans="1:60" ht="12">
      <c r="B29" s="2"/>
      <c r="C29">
        <f>+IF(C28&gt;$G$13+$G$14,XX,C28+1)</f>
        <v>2017</v>
      </c>
      <c r="E29" s="169">
        <f>+INDEX('(2.2)_Forward_Price_Curve'!$U:$U,MATCH($C29,'(2.2)_Forward_Price_Curve'!C:C,0))</f>
        <v>1.9E-2</v>
      </c>
      <c r="G29" s="18">
        <v>281508</v>
      </c>
      <c r="I29" s="28">
        <f>I28*(1+$E29)</f>
        <v>0</v>
      </c>
      <c r="K29" s="28">
        <v>60.327279878937979</v>
      </c>
      <c r="M29" s="28">
        <f>M28*(1+$E29)</f>
        <v>0</v>
      </c>
      <c r="O29" s="270">
        <f>'(2.2)_Forward_Price_Curve'!Z30</f>
        <v>3.1711514400000005</v>
      </c>
      <c r="Q29" s="28"/>
      <c r="S29" s="18">
        <f t="shared" ref="S29:S47" si="4">(I29*$G$11*1000+(K29+M29+O29+Q29)*G29)/1000</f>
        <v>17875.316403731591</v>
      </c>
      <c r="U29" s="18">
        <f t="shared" si="0"/>
        <v>24007.464147259532</v>
      </c>
      <c r="W29" s="18">
        <f t="shared" si="1"/>
        <v>-6132.1477435279412</v>
      </c>
      <c r="Y29" s="271">
        <f t="shared" ref="Y29:Y47" si="5">+W29*1000/G29</f>
        <v>-21.783209512795164</v>
      </c>
      <c r="Z29" s="235"/>
      <c r="AB29" s="146">
        <f>+IF(AB28&gt;$G$13+$G$14,XX,AB28+1)</f>
        <v>2017</v>
      </c>
      <c r="AC29" s="117"/>
      <c r="AD29" s="151">
        <f t="shared" si="2"/>
        <v>281508</v>
      </c>
      <c r="AF29" s="154">
        <f>AF28*(1+$E29)</f>
        <v>73.032730841598337</v>
      </c>
      <c r="AH29" s="154">
        <f>AH28*(1+$E29)</f>
        <v>8.0115045072101765</v>
      </c>
      <c r="AJ29" s="154">
        <f>AJ28*(1+$E29)</f>
        <v>2.7132769747439722</v>
      </c>
      <c r="AL29" s="153">
        <f t="shared" ref="AL29:AL47" si="6">((AF29+AH29)*$AF$11*1000+AJ29*AD29)/1000</f>
        <v>4420.1150497274721</v>
      </c>
      <c r="AN29" s="154">
        <f>INDEX('(2.2)_Forward_Price_Curve'!$J:$J,MATCH($AB29,'(2.2)_Forward_Price_Curve'!$C:$C,0),1)</f>
        <v>9.6420833333333338</v>
      </c>
      <c r="AP29" s="154">
        <f>AN29*$AF$14/1000+$AJ$14</f>
        <v>75.547783879175739</v>
      </c>
      <c r="AR29" s="154">
        <f>AR28*(1+$E29)</f>
        <v>3.2489327719391494</v>
      </c>
      <c r="AS29" s="154"/>
      <c r="AT29" s="153">
        <f t="shared" ref="AT29:AT47" si="7">AL29-BF29</f>
        <v>1825.5580362374831</v>
      </c>
      <c r="AV29" s="153">
        <f t="shared" si="3"/>
        <v>22181.90611102205</v>
      </c>
      <c r="AW29" s="273"/>
      <c r="AX29" s="155">
        <f t="shared" ref="AX29:AX47" si="8">AT29+AV29</f>
        <v>24007.464147259532</v>
      </c>
      <c r="AZ29" s="146">
        <f>+IF(AZ28&gt;$G$13+$G$14,XX,AZ28+1)</f>
        <v>2017</v>
      </c>
      <c r="BA29" s="117"/>
      <c r="BB29" s="154">
        <f>BB28*(1+$E29)</f>
        <v>66.197018628577624</v>
      </c>
      <c r="BD29" s="154">
        <f>BD28*(1+$E29)</f>
        <v>11.150989870519446</v>
      </c>
      <c r="BF29" s="153">
        <f t="shared" ref="BF29:BF47" si="9">(BB29+BD29)*$BD$11</f>
        <v>2594.557013489989</v>
      </c>
      <c r="BH29" s="157"/>
    </row>
    <row r="30" spans="1:60" ht="12">
      <c r="B30" s="2"/>
      <c r="C30">
        <f>+IF(C29&gt;$G$13+$G$14,XX,C29+1)</f>
        <v>2018</v>
      </c>
      <c r="E30" s="169">
        <f>+INDEX('(2.2)_Forward_Price_Curve'!$U:$U,MATCH($C30,'(2.2)_Forward_Price_Curve'!C:C,0))</f>
        <v>1.9E-2</v>
      </c>
      <c r="G30" s="18">
        <v>281508</v>
      </c>
      <c r="I30" s="28">
        <f t="shared" ref="I30:I47" si="10">I29*(1+$E30)</f>
        <v>0</v>
      </c>
      <c r="K30" s="28">
        <v>60.327279878937979</v>
      </c>
      <c r="M30" s="28">
        <f t="shared" ref="M30:M46" si="11">M29*(1+$E30)</f>
        <v>0</v>
      </c>
      <c r="O30" s="270">
        <f>'(2.2)_Forward_Price_Curve'!Z31</f>
        <v>3.2282321659200006</v>
      </c>
      <c r="Q30" s="28"/>
      <c r="S30" s="18">
        <f t="shared" si="4"/>
        <v>17891.385084723879</v>
      </c>
      <c r="U30" s="18">
        <f t="shared" si="0"/>
        <v>27186.333113318546</v>
      </c>
      <c r="W30" s="18">
        <f t="shared" si="1"/>
        <v>-9294.9480285946665</v>
      </c>
      <c r="Y30" s="271">
        <f t="shared" si="5"/>
        <v>-33.018415208785072</v>
      </c>
      <c r="Z30" s="235"/>
      <c r="AB30" s="146">
        <f>+IF(AB29&gt;$G$13+$G$14,XX,AB29+1)</f>
        <v>2018</v>
      </c>
      <c r="AC30" s="117"/>
      <c r="AD30" s="151">
        <f t="shared" si="2"/>
        <v>281508</v>
      </c>
      <c r="AF30" s="154">
        <f t="shared" ref="AF30:AF47" si="12">AF29*(1+$E30)</f>
        <v>74.420352727588693</v>
      </c>
      <c r="AH30" s="154">
        <f t="shared" ref="AH30:AH47" si="13">AH29*(1+$E30)</f>
        <v>8.1637230928471691</v>
      </c>
      <c r="AJ30" s="154">
        <f t="shared" ref="AJ30:AJ47" si="14">AJ29*(1+$E30)</f>
        <v>2.7648292372641072</v>
      </c>
      <c r="AL30" s="153">
        <f t="shared" si="6"/>
        <v>4504.0972356722932</v>
      </c>
      <c r="AN30" s="154">
        <f>INDEX('(2.2)_Forward_Price_Curve'!$J:$J,MATCH($AB30,'(2.2)_Forward_Price_Curve'!$C:$C,0),1)</f>
        <v>11.30625</v>
      </c>
      <c r="AP30" s="154">
        <f>AN30*$AF$14/1000+$AJ$14*(1+E30)</f>
        <v>86.655127018987059</v>
      </c>
      <c r="AR30" s="154">
        <f t="shared" ref="AR30:AR47" si="15">AR29*(1+$E30)</f>
        <v>3.3106624946059928</v>
      </c>
      <c r="AS30" s="154"/>
      <c r="AT30" s="153">
        <f t="shared" si="7"/>
        <v>1860.2436389259942</v>
      </c>
      <c r="AV30" s="153">
        <f t="shared" si="3"/>
        <v>25326.089474392553</v>
      </c>
      <c r="AW30" s="273"/>
      <c r="AX30" s="155">
        <f t="shared" si="8"/>
        <v>27186.333113318546</v>
      </c>
      <c r="AZ30" s="146">
        <f>+IF(AZ29&gt;$G$13+$G$14,XX,AZ29+1)</f>
        <v>2018</v>
      </c>
      <c r="BA30" s="117"/>
      <c r="BB30" s="154">
        <f t="shared" ref="BB30:BB47" si="16">BB29*(1+$E30)</f>
        <v>67.454761982520594</v>
      </c>
      <c r="BD30" s="154">
        <f t="shared" ref="BD30:BD47" si="17">BD29*(1+$E30)</f>
        <v>11.362858678059315</v>
      </c>
      <c r="BF30" s="153">
        <f t="shared" si="9"/>
        <v>2643.853596746299</v>
      </c>
      <c r="BH30" s="157"/>
    </row>
    <row r="31" spans="1:60" ht="12">
      <c r="B31" s="2"/>
      <c r="C31">
        <f>+IF(C30&gt;$G$13+$G$14,XX,C30+1)</f>
        <v>2019</v>
      </c>
      <c r="E31" s="169">
        <f>+INDEX('(2.2)_Forward_Price_Curve'!$U:$U,MATCH($C31,'(2.2)_Forward_Price_Curve'!C:C,0))</f>
        <v>1.9E-2</v>
      </c>
      <c r="G31" s="18">
        <v>281508</v>
      </c>
      <c r="I31" s="28">
        <f t="shared" si="10"/>
        <v>0</v>
      </c>
      <c r="K31" s="28">
        <v>60.327279878937979</v>
      </c>
      <c r="M31" s="28">
        <f t="shared" si="11"/>
        <v>0</v>
      </c>
      <c r="O31" s="270">
        <f>'(2.2)_Forward_Price_Curve'!Z32</f>
        <v>3.2863403449065607</v>
      </c>
      <c r="Q31" s="28"/>
      <c r="S31" s="18">
        <f t="shared" si="4"/>
        <v>17907.743001974028</v>
      </c>
      <c r="U31" s="18">
        <f t="shared" si="0"/>
        <v>28059.040624599016</v>
      </c>
      <c r="W31" s="18">
        <f t="shared" si="1"/>
        <v>-10151.297622624988</v>
      </c>
      <c r="Y31" s="271">
        <f t="shared" si="5"/>
        <v>-36.060423229979214</v>
      </c>
      <c r="Z31" s="235"/>
      <c r="AB31" s="146">
        <f>+IF(AB30&gt;$G$13+$G$14,XX,AB30+1)</f>
        <v>2019</v>
      </c>
      <c r="AC31" s="117"/>
      <c r="AD31" s="151">
        <f t="shared" si="2"/>
        <v>281508</v>
      </c>
      <c r="AF31" s="154">
        <f t="shared" si="12"/>
        <v>75.834339429412864</v>
      </c>
      <c r="AH31" s="154">
        <f t="shared" si="13"/>
        <v>8.3188338316112649</v>
      </c>
      <c r="AJ31" s="154">
        <f t="shared" si="14"/>
        <v>2.8173609927721248</v>
      </c>
      <c r="AL31" s="153">
        <f t="shared" si="6"/>
        <v>4589.6750831500667</v>
      </c>
      <c r="AN31" s="154">
        <f>INDEX('(2.2)_Forward_Price_Curve'!$J:$J,MATCH($AB31,'(2.2)_Forward_Price_Curve'!$C:$C,0),1)</f>
        <v>11.752083333333331</v>
      </c>
      <c r="AP31" s="154">
        <f>AN31*$AF$14/1000+$AJ$14*(1+E31)</f>
        <v>89.566786014709294</v>
      </c>
      <c r="AR31" s="154">
        <f t="shared" si="15"/>
        <v>3.3735650820035064</v>
      </c>
      <c r="AS31" s="154"/>
      <c r="AT31" s="153">
        <f t="shared" si="7"/>
        <v>1895.5882680655886</v>
      </c>
      <c r="AV31" s="153">
        <f t="shared" si="3"/>
        <v>26163.452356533428</v>
      </c>
      <c r="AW31" s="273"/>
      <c r="AX31" s="155">
        <f t="shared" si="8"/>
        <v>28059.040624599016</v>
      </c>
      <c r="AZ31" s="146">
        <f>+IF(AZ30&gt;$G$13+$G$14,XX,AZ30+1)</f>
        <v>2019</v>
      </c>
      <c r="BA31" s="117"/>
      <c r="BB31" s="154">
        <f t="shared" si="16"/>
        <v>68.736402460188472</v>
      </c>
      <c r="BD31" s="154">
        <f t="shared" si="17"/>
        <v>11.578752992942441</v>
      </c>
      <c r="BF31" s="153">
        <f t="shared" si="9"/>
        <v>2694.0868150844781</v>
      </c>
      <c r="BH31" s="157"/>
    </row>
    <row r="32" spans="1:60" ht="12">
      <c r="B32" s="2"/>
      <c r="C32">
        <f>+IF(C31&gt;$G$13+$G$14,XX,C31+1)</f>
        <v>2020</v>
      </c>
      <c r="E32" s="169">
        <f>+INDEX('(2.2)_Forward_Price_Curve'!$U:$U,MATCH($C32,'(2.2)_Forward_Price_Curve'!C:C,0))</f>
        <v>1.9E-2</v>
      </c>
      <c r="G32" s="18">
        <v>282371.75</v>
      </c>
      <c r="I32" s="28">
        <f t="shared" si="10"/>
        <v>0</v>
      </c>
      <c r="K32" s="28">
        <v>60.327279878937979</v>
      </c>
      <c r="M32" s="28">
        <f t="shared" si="11"/>
        <v>0</v>
      </c>
      <c r="O32" s="270">
        <f>'(2.2)_Forward_Price_Curve'!Z33</f>
        <v>3.3454944711148786</v>
      </c>
      <c r="Q32" s="28"/>
      <c r="S32" s="18">
        <f t="shared" si="4"/>
        <v>17979.392720579537</v>
      </c>
      <c r="U32" s="18">
        <f t="shared" si="0"/>
        <v>27682.633035757888</v>
      </c>
      <c r="W32" s="18">
        <f t="shared" si="1"/>
        <v>-9703.240315178351</v>
      </c>
      <c r="Y32" s="271">
        <f t="shared" si="5"/>
        <v>-34.363353682435836</v>
      </c>
      <c r="Z32" s="235"/>
      <c r="AB32" s="146">
        <f>+IF(AB31&gt;$G$13+$G$14,XX,AB31+1)</f>
        <v>2020</v>
      </c>
      <c r="AC32" s="117"/>
      <c r="AD32" s="151">
        <f t="shared" si="2"/>
        <v>282371.75</v>
      </c>
      <c r="AF32" s="154">
        <f t="shared" si="12"/>
        <v>77.275191878571704</v>
      </c>
      <c r="AH32" s="154">
        <f t="shared" si="13"/>
        <v>8.4768916744118776</v>
      </c>
      <c r="AJ32" s="154">
        <f t="shared" si="14"/>
        <v>2.8708908516347948</v>
      </c>
      <c r="AL32" s="153">
        <f t="shared" si="6"/>
        <v>4679.3586417030174</v>
      </c>
      <c r="AN32" s="154">
        <f>INDEX('(2.2)_Forward_Price_Curve'!$J:$J,MATCH($AB32,'(2.2)_Forward_Price_Curve'!$C:$C,0),1)</f>
        <v>11.473750000000003</v>
      </c>
      <c r="AP32" s="154">
        <f t="shared" ref="AP32:AP47" si="18">AN32*$AF$14/1000+$AJ$14*(1+E32)</f>
        <v>87.749040024856555</v>
      </c>
      <c r="AR32" s="154">
        <f t="shared" si="15"/>
        <v>3.4376628185615727</v>
      </c>
      <c r="AS32" s="154"/>
      <c r="AT32" s="153">
        <f t="shared" si="7"/>
        <v>1934.0841771319342</v>
      </c>
      <c r="AV32" s="153">
        <f t="shared" si="3"/>
        <v>25748.548858625953</v>
      </c>
      <c r="AW32" s="273"/>
      <c r="AX32" s="155">
        <f t="shared" si="8"/>
        <v>27682.633035757888</v>
      </c>
      <c r="AZ32" s="146">
        <f>+IF(AZ31&gt;$G$13+$G$14,XX,AZ31+1)</f>
        <v>2020</v>
      </c>
      <c r="BA32" s="117"/>
      <c r="BB32" s="154">
        <f t="shared" si="16"/>
        <v>70.042394106932051</v>
      </c>
      <c r="BD32" s="154">
        <f t="shared" si="17"/>
        <v>11.798749299808346</v>
      </c>
      <c r="BF32" s="153">
        <f t="shared" si="9"/>
        <v>2745.2744645710832</v>
      </c>
      <c r="BH32" s="157"/>
    </row>
    <row r="33" spans="2:60" ht="12">
      <c r="B33" s="2"/>
      <c r="C33">
        <f>+IF(C32&gt;$G$13+$G$14,XX,C32+1)</f>
        <v>2021</v>
      </c>
      <c r="E33" s="169">
        <f>+INDEX('(2.2)_Forward_Price_Curve'!$U:$U,MATCH($C33,'(2.2)_Forward_Price_Curve'!C:C,0))</f>
        <v>1.7999999999999999E-2</v>
      </c>
      <c r="G33" s="18">
        <v>281508</v>
      </c>
      <c r="I33" s="28">
        <f t="shared" si="10"/>
        <v>0</v>
      </c>
      <c r="K33" s="28">
        <v>60.327279878937979</v>
      </c>
      <c r="M33" s="28">
        <f t="shared" si="11"/>
        <v>0</v>
      </c>
      <c r="O33" s="270">
        <f>'(2.2)_Forward_Price_Curve'!Z34</f>
        <v>3.4057133715949464</v>
      </c>
      <c r="Q33" s="28"/>
      <c r="S33" s="18">
        <f t="shared" si="4"/>
        <v>17941.347463971022</v>
      </c>
      <c r="U33" s="18">
        <f t="shared" si="0"/>
        <v>28051.43955302734</v>
      </c>
      <c r="W33" s="18">
        <f t="shared" si="1"/>
        <v>-10110.092089056317</v>
      </c>
      <c r="Y33" s="271">
        <f t="shared" si="5"/>
        <v>-35.914048940194654</v>
      </c>
      <c r="Z33" s="235"/>
      <c r="AB33" s="146">
        <f>+IF(AB32&gt;$G$13+$G$14,XX,AB32+1)</f>
        <v>2021</v>
      </c>
      <c r="AC33" s="117"/>
      <c r="AD33" s="151">
        <f t="shared" si="2"/>
        <v>281508</v>
      </c>
      <c r="AF33" s="154">
        <f t="shared" si="12"/>
        <v>78.666145332385994</v>
      </c>
      <c r="AH33" s="154">
        <f t="shared" si="13"/>
        <v>8.6294757245512912</v>
      </c>
      <c r="AJ33" s="154">
        <f t="shared" si="14"/>
        <v>2.9225668869642214</v>
      </c>
      <c r="AL33" s="153">
        <f t="shared" si="6"/>
        <v>4761.0627301050554</v>
      </c>
      <c r="AN33" s="154">
        <f>INDEX('(2.2)_Forward_Price_Curve'!$J:$J,MATCH($AB33,'(2.2)_Forward_Price_Curve'!$C:$C,0),1)</f>
        <v>11.692083333333334</v>
      </c>
      <c r="AP33" s="154">
        <f>AN33*$AF$14/1000+$AJ$14*(1+E33)</f>
        <v>89.162359544321731</v>
      </c>
      <c r="AR33" s="154">
        <f t="shared" si="15"/>
        <v>3.4995407492956812</v>
      </c>
      <c r="AS33" s="154"/>
      <c r="AT33" s="153">
        <f t="shared" si="7"/>
        <v>1966.3733251716926</v>
      </c>
      <c r="AV33" s="153">
        <f t="shared" si="3"/>
        <v>26085.066227855648</v>
      </c>
      <c r="AW33" s="273"/>
      <c r="AX33" s="155">
        <f t="shared" si="8"/>
        <v>28051.43955302734</v>
      </c>
      <c r="AZ33" s="146">
        <f>+IF(AZ32&gt;$G$13+$G$14,XX,AZ32+1)</f>
        <v>2021</v>
      </c>
      <c r="BA33" s="117"/>
      <c r="BB33" s="154">
        <f t="shared" si="16"/>
        <v>71.30315720085683</v>
      </c>
      <c r="BD33" s="154">
        <f t="shared" si="17"/>
        <v>12.011126787204896</v>
      </c>
      <c r="BF33" s="153">
        <f t="shared" si="9"/>
        <v>2794.6894049333628</v>
      </c>
      <c r="BH33" s="157"/>
    </row>
    <row r="34" spans="2:60" ht="12">
      <c r="B34" s="2"/>
      <c r="C34">
        <f>+IF(C33&gt;$G$13+$G$14,XX,C33+1)</f>
        <v>2022</v>
      </c>
      <c r="E34" s="169">
        <f>+INDEX('(2.2)_Forward_Price_Curve'!$U:$U,MATCH($C34,'(2.2)_Forward_Price_Curve'!C:C,0))</f>
        <v>1.7999999999999999E-2</v>
      </c>
      <c r="G34" s="18">
        <v>281508</v>
      </c>
      <c r="I34" s="28">
        <f t="shared" si="10"/>
        <v>0</v>
      </c>
      <c r="K34" s="28">
        <v>60.327279878937979</v>
      </c>
      <c r="M34" s="28">
        <f t="shared" si="11"/>
        <v>0</v>
      </c>
      <c r="O34" s="270">
        <f>'(2.2)_Forward_Price_Curve'!Z35</f>
        <v>3.4670162122836556</v>
      </c>
      <c r="Q34" s="28"/>
      <c r="S34" s="18">
        <f t="shared" si="4"/>
        <v>17958.604704047619</v>
      </c>
      <c r="U34" s="18">
        <f t="shared" si="0"/>
        <v>28510.564435118948</v>
      </c>
      <c r="W34" s="18">
        <f t="shared" si="1"/>
        <v>-10551.959731071329</v>
      </c>
      <c r="Y34" s="271">
        <f t="shared" si="5"/>
        <v>-37.48369400184481</v>
      </c>
      <c r="Z34" s="235"/>
      <c r="AB34" s="146">
        <f>+IF(AB33&gt;$G$13+$G$14,XX,AB33+1)</f>
        <v>2022</v>
      </c>
      <c r="AC34" s="117"/>
      <c r="AD34" s="151">
        <f t="shared" si="2"/>
        <v>281508</v>
      </c>
      <c r="AF34" s="154">
        <f t="shared" si="12"/>
        <v>80.082135948368943</v>
      </c>
      <c r="AH34" s="154">
        <f t="shared" si="13"/>
        <v>8.7848062875932147</v>
      </c>
      <c r="AJ34" s="154">
        <f t="shared" si="14"/>
        <v>2.9751730909295775</v>
      </c>
      <c r="AL34" s="153">
        <f t="shared" si="6"/>
        <v>4846.7618592469471</v>
      </c>
      <c r="AN34" s="154">
        <f>INDEX('(2.2)_Forward_Price_Curve'!$J:$J,MATCH($AB34,'(2.2)_Forward_Price_Curve'!$C:$C,0),1)</f>
        <v>11.912916666666668</v>
      </c>
      <c r="AP34" s="154">
        <f t="shared" si="18"/>
        <v>90.604583159025282</v>
      </c>
      <c r="AR34" s="154">
        <f t="shared" si="15"/>
        <v>3.5625324827830034</v>
      </c>
      <c r="AS34" s="154"/>
      <c r="AT34" s="153">
        <f t="shared" si="7"/>
        <v>2001.768045024784</v>
      </c>
      <c r="AV34" s="153">
        <f t="shared" si="3"/>
        <v>26508.796390094165</v>
      </c>
      <c r="AW34" s="273"/>
      <c r="AX34" s="155">
        <f t="shared" si="8"/>
        <v>28510.564435118948</v>
      </c>
      <c r="AZ34" s="146">
        <f>+IF(AZ33&gt;$G$13+$G$14,XX,AZ33+1)</f>
        <v>2022</v>
      </c>
      <c r="BA34" s="117"/>
      <c r="BB34" s="154">
        <f t="shared" si="16"/>
        <v>72.586614030472248</v>
      </c>
      <c r="BD34" s="154">
        <f t="shared" si="17"/>
        <v>12.227327069374585</v>
      </c>
      <c r="BF34" s="153">
        <f t="shared" si="9"/>
        <v>2844.9938142221631</v>
      </c>
      <c r="BH34" s="157"/>
    </row>
    <row r="35" spans="2:60" ht="12">
      <c r="B35" s="2"/>
      <c r="C35">
        <f>+IF(C34&gt;$G$13+$G$14,XX,C34+1)</f>
        <v>2023</v>
      </c>
      <c r="E35" s="169">
        <f>+INDEX('(2.2)_Forward_Price_Curve'!$U:$U,MATCH($C35,'(2.2)_Forward_Price_Curve'!C:C,0))</f>
        <v>1.9E-2</v>
      </c>
      <c r="G35" s="18">
        <v>281508</v>
      </c>
      <c r="I35" s="28">
        <f t="shared" si="10"/>
        <v>0</v>
      </c>
      <c r="K35" s="28">
        <v>60.327279878937979</v>
      </c>
      <c r="M35" s="28">
        <f t="shared" si="11"/>
        <v>0</v>
      </c>
      <c r="O35" s="270">
        <f>'(2.2)_Forward_Price_Curve'!Z36</f>
        <v>3.532889520317045</v>
      </c>
      <c r="Q35" s="28"/>
      <c r="S35" s="18">
        <f t="shared" si="4"/>
        <v>17977.148567245484</v>
      </c>
      <c r="U35" s="18">
        <f t="shared" si="0"/>
        <v>28987.14922477214</v>
      </c>
      <c r="W35" s="18">
        <f t="shared" si="1"/>
        <v>-11010.000657526656</v>
      </c>
      <c r="Y35" s="271">
        <f t="shared" si="5"/>
        <v>-39.110791371920719</v>
      </c>
      <c r="Z35" s="235"/>
      <c r="AB35" s="146">
        <f>+IF(AB34&gt;$G$13+$G$14,XX,AB34+1)</f>
        <v>2023</v>
      </c>
      <c r="AC35" s="117"/>
      <c r="AD35" s="151">
        <f t="shared" si="2"/>
        <v>281508</v>
      </c>
      <c r="AF35" s="154">
        <f t="shared" si="12"/>
        <v>81.603696531387939</v>
      </c>
      <c r="AH35" s="154">
        <f t="shared" si="13"/>
        <v>8.9517176070574855</v>
      </c>
      <c r="AJ35" s="154">
        <f t="shared" si="14"/>
        <v>3.0317013796572394</v>
      </c>
      <c r="AL35" s="153">
        <f t="shared" si="6"/>
        <v>4938.8503345726385</v>
      </c>
      <c r="AN35" s="154">
        <f>INDEX('(2.2)_Forward_Price_Curve'!$J:$J,MATCH($AB35,'(2.2)_Forward_Price_Curve'!$C:$C,0),1)</f>
        <v>12.139166666666668</v>
      </c>
      <c r="AP35" s="154">
        <f t="shared" si="18"/>
        <v>92.094759105387794</v>
      </c>
      <c r="AR35" s="154">
        <f t="shared" si="15"/>
        <v>3.6302205999558801</v>
      </c>
      <c r="AS35" s="154"/>
      <c r="AT35" s="153">
        <f t="shared" si="7"/>
        <v>2039.8016378802545</v>
      </c>
      <c r="AV35" s="153">
        <f t="shared" si="3"/>
        <v>26947.347586891887</v>
      </c>
      <c r="AW35" s="273"/>
      <c r="AX35" s="155">
        <f t="shared" si="8"/>
        <v>28987.14922477214</v>
      </c>
      <c r="AZ35" s="146">
        <f>+IF(AZ34&gt;$G$13+$G$14,XX,AZ34+1)</f>
        <v>2023</v>
      </c>
      <c r="BA35" s="117"/>
      <c r="BB35" s="154">
        <f t="shared" si="16"/>
        <v>73.965759697051212</v>
      </c>
      <c r="BD35" s="154">
        <f t="shared" si="17"/>
        <v>12.459646283692701</v>
      </c>
      <c r="BF35" s="153">
        <f t="shared" si="9"/>
        <v>2899.0486966923841</v>
      </c>
      <c r="BH35" s="157"/>
    </row>
    <row r="36" spans="2:60" ht="12">
      <c r="B36" s="2"/>
      <c r="C36">
        <f>+IF(C35&gt;$G$13+$G$14,XX,C35+1)</f>
        <v>2024</v>
      </c>
      <c r="E36" s="169">
        <f>+INDEX('(2.2)_Forward_Price_Curve'!$U:$U,MATCH($C36,'(2.2)_Forward_Price_Curve'!C:C,0))</f>
        <v>1.9E-2</v>
      </c>
      <c r="G36" s="18">
        <v>282371.75</v>
      </c>
      <c r="I36" s="28">
        <f t="shared" si="10"/>
        <v>0</v>
      </c>
      <c r="K36" s="28">
        <v>60.327279878937979</v>
      </c>
      <c r="M36" s="28">
        <f t="shared" si="11"/>
        <v>0</v>
      </c>
      <c r="O36" s="270">
        <f>'(2.2)_Forward_Price_Curve'!Z37</f>
        <v>3.6000144212030687</v>
      </c>
      <c r="Q36" s="28"/>
      <c r="S36" s="18">
        <f t="shared" si="4"/>
        <v>18051.261964295853</v>
      </c>
      <c r="U36" s="18">
        <f t="shared" si="0"/>
        <v>29558.722214296198</v>
      </c>
      <c r="W36" s="18">
        <f t="shared" si="1"/>
        <v>-11507.460250000346</v>
      </c>
      <c r="Y36" s="271">
        <f t="shared" si="5"/>
        <v>-40.75287364972008</v>
      </c>
      <c r="Z36" s="235"/>
      <c r="AB36" s="146">
        <f>+IF(AB35&gt;$G$13+$G$14,XX,AB35+1)</f>
        <v>2024</v>
      </c>
      <c r="AC36" s="117"/>
      <c r="AD36" s="151">
        <f t="shared" si="2"/>
        <v>282371.75</v>
      </c>
      <c r="AF36" s="154">
        <f t="shared" si="12"/>
        <v>83.154166765484305</v>
      </c>
      <c r="AH36" s="154">
        <f t="shared" si="13"/>
        <v>9.1218002415915773</v>
      </c>
      <c r="AJ36" s="154">
        <f t="shared" si="14"/>
        <v>3.0893037058707264</v>
      </c>
      <c r="AL36" s="153">
        <f t="shared" si="6"/>
        <v>5035.3568770054635</v>
      </c>
      <c r="AN36" s="154">
        <f>INDEX('(2.2)_Forward_Price_Curve'!$J:$J,MATCH($AB36,'(2.2)_Forward_Price_Curve'!$C:$C,0),1)</f>
        <v>12.371250000000002</v>
      </c>
      <c r="AP36" s="154">
        <f t="shared" si="18"/>
        <v>93.610454489142285</v>
      </c>
      <c r="AR36" s="154">
        <f t="shared" si="15"/>
        <v>3.6991947913550414</v>
      </c>
      <c r="AS36" s="154"/>
      <c r="AT36" s="153">
        <f t="shared" si="7"/>
        <v>2081.2262550759251</v>
      </c>
      <c r="AV36" s="153">
        <f t="shared" si="3"/>
        <v>27477.495959220272</v>
      </c>
      <c r="AW36" s="273"/>
      <c r="AX36" s="155">
        <f t="shared" si="8"/>
        <v>29558.722214296198</v>
      </c>
      <c r="AZ36" s="146">
        <f>+IF(AZ35&gt;$G$13+$G$14,XX,AZ35+1)</f>
        <v>2024</v>
      </c>
      <c r="BA36" s="117"/>
      <c r="BB36" s="154">
        <f t="shared" si="16"/>
        <v>75.371109131295171</v>
      </c>
      <c r="BD36" s="154">
        <f t="shared" si="17"/>
        <v>12.696379563082861</v>
      </c>
      <c r="BF36" s="153">
        <f t="shared" si="9"/>
        <v>2954.1306219295384</v>
      </c>
      <c r="BH36" s="157"/>
    </row>
    <row r="37" spans="2:60" ht="12">
      <c r="B37" s="2"/>
      <c r="C37">
        <f>+IF(C36&gt;$G$13+$G$14,XX,C36+1)</f>
        <v>2025</v>
      </c>
      <c r="E37" s="169">
        <f>+INDEX('(2.2)_Forward_Price_Curve'!$U:$U,MATCH($C37,'(2.2)_Forward_Price_Curve'!C:C,0))</f>
        <v>1.9E-2</v>
      </c>
      <c r="G37" s="18">
        <v>281508</v>
      </c>
      <c r="I37" s="28">
        <f t="shared" si="10"/>
        <v>0</v>
      </c>
      <c r="K37" s="28">
        <v>60.327279878937979</v>
      </c>
      <c r="M37" s="28">
        <f t="shared" si="11"/>
        <v>0</v>
      </c>
      <c r="O37" s="270">
        <f>'(2.2)_Forward_Price_Curve'!Z38</f>
        <v>3.6684146952059264</v>
      </c>
      <c r="Q37" s="28"/>
      <c r="S37" s="18">
        <f t="shared" si="4"/>
        <v>18015.2999881781</v>
      </c>
      <c r="U37" s="18">
        <f t="shared" si="0"/>
        <v>29938.810475094717</v>
      </c>
      <c r="W37" s="18">
        <f t="shared" si="1"/>
        <v>-11923.510486916617</v>
      </c>
      <c r="Y37" s="271">
        <f t="shared" si="5"/>
        <v>-42.355849520854171</v>
      </c>
      <c r="Z37" s="235"/>
      <c r="AB37" s="146">
        <f>+IF(AB36&gt;$G$13+$G$14,XX,AB36+1)</f>
        <v>2025</v>
      </c>
      <c r="AC37" s="117"/>
      <c r="AD37" s="151">
        <f t="shared" si="2"/>
        <v>281508</v>
      </c>
      <c r="AF37" s="154">
        <f t="shared" si="12"/>
        <v>84.734095934028502</v>
      </c>
      <c r="AH37" s="154">
        <f t="shared" si="13"/>
        <v>9.2951144461818167</v>
      </c>
      <c r="AJ37" s="154">
        <f t="shared" si="14"/>
        <v>3.1480004762822698</v>
      </c>
      <c r="AL37" s="153">
        <f t="shared" si="6"/>
        <v>5128.3095722571779</v>
      </c>
      <c r="AN37" s="154">
        <f>INDEX('(2.2)_Forward_Price_Curve'!$J:$J,MATCH($AB37,'(2.2)_Forward_Price_Curve'!$C:$C,0),1)</f>
        <v>12.592916666666667</v>
      </c>
      <c r="AP37" s="154">
        <f t="shared" si="18"/>
        <v>95.058120457108828</v>
      </c>
      <c r="AR37" s="154">
        <f t="shared" si="15"/>
        <v>3.7694794923907868</v>
      </c>
      <c r="AS37" s="154"/>
      <c r="AT37" s="153">
        <f t="shared" si="7"/>
        <v>2118.0504685109781</v>
      </c>
      <c r="AV37" s="153">
        <f t="shared" si="3"/>
        <v>27820.76000658374</v>
      </c>
      <c r="AW37" s="273"/>
      <c r="AX37" s="155">
        <f t="shared" si="8"/>
        <v>29938.810475094717</v>
      </c>
      <c r="AZ37" s="146">
        <f>+IF(AZ36&gt;$G$13+$G$14,XX,AZ36+1)</f>
        <v>2025</v>
      </c>
      <c r="BA37" s="117"/>
      <c r="BB37" s="154">
        <f t="shared" si="16"/>
        <v>76.803160204789776</v>
      </c>
      <c r="BD37" s="154">
        <f t="shared" si="17"/>
        <v>12.937610774781433</v>
      </c>
      <c r="BF37" s="153">
        <f t="shared" si="9"/>
        <v>3010.2591037461998</v>
      </c>
      <c r="BH37" s="157"/>
    </row>
    <row r="38" spans="2:60" ht="12">
      <c r="B38" s="2"/>
      <c r="C38">
        <f>+IF(C37&gt;$G$13+$G$14,XX,C37+1)</f>
        <v>2026</v>
      </c>
      <c r="E38" s="169">
        <f>+INDEX('(2.2)_Forward_Price_Curve'!$U:$U,MATCH($C38,'(2.2)_Forward_Price_Curve'!C:C,0))</f>
        <v>1.9E-2</v>
      </c>
      <c r="G38" s="18">
        <v>281508</v>
      </c>
      <c r="I38" s="28">
        <f t="shared" si="10"/>
        <v>0</v>
      </c>
      <c r="K38" s="28">
        <v>60.327279878937979</v>
      </c>
      <c r="M38" s="28">
        <f t="shared" si="11"/>
        <v>0</v>
      </c>
      <c r="O38" s="270">
        <f>'(2.2)_Forward_Price_Curve'!Z39</f>
        <v>3.7381145744148387</v>
      </c>
      <c r="Q38" s="28"/>
      <c r="S38" s="18">
        <f t="shared" si="4"/>
        <v>18034.921061774447</v>
      </c>
      <c r="U38" s="18">
        <f t="shared" si="0"/>
        <v>30415.17098223573</v>
      </c>
      <c r="W38" s="18">
        <f t="shared" si="1"/>
        <v>-12380.249920461283</v>
      </c>
      <c r="Y38" s="271">
        <f t="shared" si="5"/>
        <v>-43.978323601678404</v>
      </c>
      <c r="Z38" s="235"/>
      <c r="AB38" s="146">
        <f>+IF(AB37&gt;$G$13+$G$14,XX,AB37+1)</f>
        <v>2026</v>
      </c>
      <c r="AC38" s="117"/>
      <c r="AD38" s="151">
        <f t="shared" si="2"/>
        <v>281508</v>
      </c>
      <c r="AF38" s="154">
        <f t="shared" si="12"/>
        <v>86.344043756775037</v>
      </c>
      <c r="AH38" s="154">
        <f t="shared" si="13"/>
        <v>9.4717216206592703</v>
      </c>
      <c r="AJ38" s="154">
        <f t="shared" si="14"/>
        <v>3.2078124853316328</v>
      </c>
      <c r="AL38" s="153">
        <f t="shared" si="6"/>
        <v>5225.7474541300644</v>
      </c>
      <c r="AN38" s="154">
        <f>INDEX('(2.2)_Forward_Price_Curve'!$J:$J,MATCH($AB38,'(2.2)_Forward_Price_Curve'!$C:$C,0),1)</f>
        <v>12.819166666666668</v>
      </c>
      <c r="AP38" s="154">
        <f t="shared" si="18"/>
        <v>96.535719368022086</v>
      </c>
      <c r="AR38" s="154">
        <f t="shared" si="15"/>
        <v>3.8410996027462114</v>
      </c>
      <c r="AS38" s="154"/>
      <c r="AT38" s="153">
        <f t="shared" si="7"/>
        <v>2158.2934274126874</v>
      </c>
      <c r="AV38" s="153">
        <f t="shared" si="3"/>
        <v>28256.877554823041</v>
      </c>
      <c r="AW38" s="273"/>
      <c r="AX38" s="155">
        <f t="shared" si="8"/>
        <v>30415.17098223573</v>
      </c>
      <c r="AZ38" s="146">
        <f>+IF(AZ37&gt;$G$13+$G$14,XX,AZ37+1)</f>
        <v>2026</v>
      </c>
      <c r="BA38" s="117"/>
      <c r="BB38" s="154">
        <f t="shared" si="16"/>
        <v>78.262420248680769</v>
      </c>
      <c r="BD38" s="154">
        <f t="shared" si="17"/>
        <v>13.183425379502278</v>
      </c>
      <c r="BF38" s="153">
        <f t="shared" si="9"/>
        <v>3067.454026717377</v>
      </c>
      <c r="BH38" s="157"/>
    </row>
    <row r="39" spans="2:60" ht="12">
      <c r="B39" s="2"/>
      <c r="C39">
        <f>+IF(C38&gt;$G$13+$G$14,XX,C38+1)</f>
        <v>2027</v>
      </c>
      <c r="E39" s="169">
        <f>+INDEX('(2.2)_Forward_Price_Curve'!$U:$U,MATCH($C39,'(2.2)_Forward_Price_Curve'!C:C,0))</f>
        <v>1.9E-2</v>
      </c>
      <c r="G39" s="18">
        <v>281508</v>
      </c>
      <c r="I39" s="28">
        <f t="shared" si="10"/>
        <v>0</v>
      </c>
      <c r="K39" s="28">
        <v>60.327279878937979</v>
      </c>
      <c r="M39" s="28">
        <f t="shared" si="11"/>
        <v>0</v>
      </c>
      <c r="O39" s="270">
        <f>'(2.2)_Forward_Price_Curve'!Z40</f>
        <v>3.8091387513287205</v>
      </c>
      <c r="Q39" s="28"/>
      <c r="S39" s="18">
        <f t="shared" si="4"/>
        <v>18054.914935769117</v>
      </c>
      <c r="U39" s="18">
        <f t="shared" si="0"/>
        <v>30926.384628254495</v>
      </c>
      <c r="W39" s="18">
        <f t="shared" si="1"/>
        <v>-12871.469692485378</v>
      </c>
      <c r="Y39" s="271">
        <f t="shared" si="5"/>
        <v>-45.723282082517642</v>
      </c>
      <c r="Z39" s="235"/>
      <c r="AB39" s="146">
        <f>+IF(AB38&gt;$G$13+$G$14,XX,AB38+1)</f>
        <v>2027</v>
      </c>
      <c r="AC39" s="117"/>
      <c r="AD39" s="151">
        <f t="shared" si="2"/>
        <v>281508</v>
      </c>
      <c r="AF39" s="154">
        <f t="shared" si="12"/>
        <v>87.984580588153747</v>
      </c>
      <c r="AH39" s="154">
        <f t="shared" si="13"/>
        <v>9.6516843314517953</v>
      </c>
      <c r="AJ39" s="154">
        <f t="shared" si="14"/>
        <v>3.2687609225529335</v>
      </c>
      <c r="AL39" s="153">
        <f t="shared" si="6"/>
        <v>5325.0366557585348</v>
      </c>
      <c r="AN39" s="154">
        <f>INDEX('(2.2)_Forward_Price_Curve'!$J:$J,MATCH($AB39,'(2.2)_Forward_Price_Curve'!$C:$C,0),1)</f>
        <v>13.063749999999999</v>
      </c>
      <c r="AP39" s="154">
        <f t="shared" si="18"/>
        <v>98.133050050722034</v>
      </c>
      <c r="AR39" s="154">
        <f t="shared" si="15"/>
        <v>3.9140804951983892</v>
      </c>
      <c r="AS39" s="154"/>
      <c r="AT39" s="153">
        <f t="shared" si="7"/>
        <v>2199.3010025335279</v>
      </c>
      <c r="AV39" s="153">
        <f t="shared" si="3"/>
        <v>28727.083625720967</v>
      </c>
      <c r="AW39" s="273"/>
      <c r="AX39" s="155">
        <f t="shared" si="8"/>
        <v>30926.384628254495</v>
      </c>
      <c r="AZ39" s="146">
        <f>+IF(AZ38&gt;$G$13+$G$14,XX,AZ38+1)</f>
        <v>2027</v>
      </c>
      <c r="BA39" s="117"/>
      <c r="BB39" s="154">
        <f t="shared" si="16"/>
        <v>79.749406233405693</v>
      </c>
      <c r="BD39" s="154">
        <f t="shared" si="17"/>
        <v>13.43391046171282</v>
      </c>
      <c r="BF39" s="153">
        <f t="shared" si="9"/>
        <v>3125.7356532250069</v>
      </c>
      <c r="BH39" s="157"/>
    </row>
    <row r="40" spans="2:60" ht="12">
      <c r="B40" s="2"/>
      <c r="C40">
        <f>+IF(C39&gt;$G$13+$G$14,XX,C39+1)</f>
        <v>2028</v>
      </c>
      <c r="E40" s="169">
        <f>+INDEX('(2.2)_Forward_Price_Curve'!$U:$U,MATCH($C40,'(2.2)_Forward_Price_Curve'!C:C,0))</f>
        <v>1.9E-2</v>
      </c>
      <c r="G40" s="18">
        <v>282371.75</v>
      </c>
      <c r="I40" s="28">
        <f t="shared" si="10"/>
        <v>0</v>
      </c>
      <c r="K40" s="28">
        <v>60.327279878937979</v>
      </c>
      <c r="M40" s="28">
        <f t="shared" si="11"/>
        <v>0</v>
      </c>
      <c r="O40" s="270">
        <f>'(2.2)_Forward_Price_Curve'!Z41</f>
        <v>3.8815123876039657</v>
      </c>
      <c r="Q40" s="28"/>
      <c r="S40" s="18">
        <f t="shared" si="4"/>
        <v>18130.749037689915</v>
      </c>
      <c r="U40" s="18">
        <f t="shared" si="0"/>
        <v>31537.379009896234</v>
      </c>
      <c r="W40" s="18">
        <f t="shared" si="1"/>
        <v>-13406.62997220632</v>
      </c>
      <c r="Y40" s="271">
        <f t="shared" si="5"/>
        <v>-47.478651714296205</v>
      </c>
      <c r="Z40" s="235"/>
      <c r="AB40" s="146">
        <f>+IF(AB39&gt;$G$13+$G$14,XX,AB39+1)</f>
        <v>2028</v>
      </c>
      <c r="AC40" s="117"/>
      <c r="AD40" s="151">
        <f t="shared" si="2"/>
        <v>282371.75</v>
      </c>
      <c r="AF40" s="154">
        <f t="shared" si="12"/>
        <v>89.656287619328666</v>
      </c>
      <c r="AH40" s="154">
        <f t="shared" si="13"/>
        <v>9.8350663337493778</v>
      </c>
      <c r="AJ40" s="154">
        <f t="shared" si="14"/>
        <v>3.3308673800814388</v>
      </c>
      <c r="AL40" s="153">
        <f t="shared" si="6"/>
        <v>5429.0893889174922</v>
      </c>
      <c r="AN40" s="154">
        <f>INDEX('(2.2)_Forward_Price_Curve'!$J:$J,MATCH($AB40,'(2.2)_Forward_Price_Curve'!$C:$C,0),1)</f>
        <v>13.311666666666667</v>
      </c>
      <c r="AP40" s="154">
        <f t="shared" si="18"/>
        <v>99.75215014647415</v>
      </c>
      <c r="AR40" s="154">
        <f t="shared" si="15"/>
        <v>3.9884480246071581</v>
      </c>
      <c r="AS40" s="154"/>
      <c r="AT40" s="153">
        <f t="shared" si="7"/>
        <v>2243.9647582812104</v>
      </c>
      <c r="AV40" s="153">
        <f t="shared" si="3"/>
        <v>29293.414251615024</v>
      </c>
      <c r="AW40" s="273"/>
      <c r="AX40" s="155">
        <f t="shared" si="8"/>
        <v>31537.379009896234</v>
      </c>
      <c r="AZ40" s="146">
        <f>+IF(AZ39&gt;$G$13+$G$14,XX,AZ39+1)</f>
        <v>2028</v>
      </c>
      <c r="BA40" s="117"/>
      <c r="BB40" s="154">
        <f t="shared" si="16"/>
        <v>81.264644951840395</v>
      </c>
      <c r="BD40" s="154">
        <f t="shared" si="17"/>
        <v>13.689154760485362</v>
      </c>
      <c r="BF40" s="153">
        <f t="shared" si="9"/>
        <v>3185.1246306362818</v>
      </c>
      <c r="BH40" s="157"/>
    </row>
    <row r="41" spans="2:60" ht="12">
      <c r="B41" s="2"/>
      <c r="C41">
        <f>+IF(C40&gt;$G$13+$G$14,XX,C40+1)</f>
        <v>2029</v>
      </c>
      <c r="E41" s="169">
        <f>+INDEX('(2.2)_Forward_Price_Curve'!$U:$U,MATCH($C41,'(2.2)_Forward_Price_Curve'!C:C,0))</f>
        <v>1.7999999999999999E-2</v>
      </c>
      <c r="G41" s="18">
        <v>281508</v>
      </c>
      <c r="I41" s="28">
        <f t="shared" si="10"/>
        <v>0</v>
      </c>
      <c r="K41" s="28">
        <v>60.327279878937979</v>
      </c>
      <c r="M41" s="28">
        <f t="shared" si="11"/>
        <v>0</v>
      </c>
      <c r="O41" s="270">
        <f>'(2.2)_Forward_Price_Curve'!Z42</f>
        <v>3.9552611229684405</v>
      </c>
      <c r="Q41" s="28"/>
      <c r="S41" s="18">
        <f t="shared" si="4"/>
        <v>18096.049552364675</v>
      </c>
      <c r="U41" s="18">
        <f t="shared" si="0"/>
        <v>31969.185239519589</v>
      </c>
      <c r="W41" s="18">
        <f t="shared" si="1"/>
        <v>-13873.135687154914</v>
      </c>
      <c r="Y41" s="271">
        <f t="shared" si="5"/>
        <v>-49.281497105428315</v>
      </c>
      <c r="Z41" s="235"/>
      <c r="AB41" s="146">
        <f>+IF(AB40&gt;$G$13+$G$14,XX,AB40+1)</f>
        <v>2029</v>
      </c>
      <c r="AC41" s="117"/>
      <c r="AD41" s="151">
        <f t="shared" si="2"/>
        <v>281508</v>
      </c>
      <c r="AF41" s="154">
        <f t="shared" si="12"/>
        <v>91.270100796476584</v>
      </c>
      <c r="AH41" s="154">
        <f t="shared" si="13"/>
        <v>10.012097527756866</v>
      </c>
      <c r="AJ41" s="154">
        <f t="shared" si="14"/>
        <v>3.3908229929229048</v>
      </c>
      <c r="AL41" s="153">
        <f t="shared" si="6"/>
        <v>5523.8841745578702</v>
      </c>
      <c r="AN41" s="154">
        <f>INDEX('(2.2)_Forward_Price_Curve'!$J:$J,MATCH($AB41,'(2.2)_Forward_Price_Curve'!$C:$C,0),1)</f>
        <v>13.565833333333336</v>
      </c>
      <c r="AP41" s="154">
        <f t="shared" si="18"/>
        <v>101.39949085624971</v>
      </c>
      <c r="AR41" s="154">
        <f t="shared" si="15"/>
        <v>4.0602400890500867</v>
      </c>
      <c r="AS41" s="154"/>
      <c r="AT41" s="153">
        <f t="shared" si="7"/>
        <v>2281.4273005701352</v>
      </c>
      <c r="AV41" s="153">
        <f t="shared" si="3"/>
        <v>29687.757938949453</v>
      </c>
      <c r="AW41" s="273"/>
      <c r="AX41" s="155">
        <f t="shared" si="8"/>
        <v>31969.185239519589</v>
      </c>
      <c r="AZ41" s="146">
        <f>+IF(AZ40&gt;$G$13+$G$14,XX,AZ40+1)</f>
        <v>2029</v>
      </c>
      <c r="BA41" s="117"/>
      <c r="BB41" s="154">
        <f t="shared" si="16"/>
        <v>82.727408560973529</v>
      </c>
      <c r="BD41" s="154">
        <f t="shared" si="17"/>
        <v>13.935559546174099</v>
      </c>
      <c r="BF41" s="153">
        <f t="shared" si="9"/>
        <v>3242.456873987735</v>
      </c>
      <c r="BH41" s="157"/>
    </row>
    <row r="42" spans="2:60" ht="12">
      <c r="B42" s="2"/>
      <c r="C42">
        <f>+IF(C41&gt;$G$13+$G$14,XX,C41+1)</f>
        <v>2030</v>
      </c>
      <c r="E42" s="169">
        <f>+INDEX('(2.2)_Forward_Price_Curve'!$U:$U,MATCH($C42,'(2.2)_Forward_Price_Curve'!C:C,0))</f>
        <v>1.7999999999999999E-2</v>
      </c>
      <c r="G42" s="18">
        <v>281508</v>
      </c>
      <c r="I42" s="28">
        <f t="shared" si="10"/>
        <v>0</v>
      </c>
      <c r="K42" s="28">
        <v>60.327279878937979</v>
      </c>
      <c r="M42" s="28">
        <f t="shared" si="11"/>
        <v>0</v>
      </c>
      <c r="O42" s="270">
        <f>'(2.2)_Forward_Price_Curve'!Z43</f>
        <v>4.0304110843048404</v>
      </c>
      <c r="Q42" s="28"/>
      <c r="S42" s="18">
        <f t="shared" si="4"/>
        <v>18117.204867680557</v>
      </c>
      <c r="U42" s="18">
        <f t="shared" si="0"/>
        <v>32501.935041714318</v>
      </c>
      <c r="W42" s="18">
        <f t="shared" si="1"/>
        <v>-14384.730174033761</v>
      </c>
      <c r="Y42" s="271">
        <f t="shared" si="5"/>
        <v>-51.098832622993882</v>
      </c>
      <c r="Z42" s="235"/>
      <c r="AB42" s="146">
        <f>+IF(AB41&gt;$G$13+$G$14,XX,AB41+1)</f>
        <v>2030</v>
      </c>
      <c r="AC42" s="117"/>
      <c r="AD42" s="151">
        <f t="shared" si="2"/>
        <v>281508</v>
      </c>
      <c r="AF42" s="154">
        <f t="shared" si="12"/>
        <v>92.912962610813167</v>
      </c>
      <c r="AH42" s="154">
        <f t="shared" si="13"/>
        <v>10.192315283256491</v>
      </c>
      <c r="AJ42" s="154">
        <f t="shared" si="14"/>
        <v>3.451857806795517</v>
      </c>
      <c r="AL42" s="153">
        <f t="shared" si="6"/>
        <v>5623.3140896999112</v>
      </c>
      <c r="AN42" s="154">
        <f>INDEX('(2.2)_Forward_Price_Curve'!$J:$J,MATCH($AB42,'(2.2)_Forward_Price_Curve'!$C:$C,0),1)</f>
        <v>13.822083333333332</v>
      </c>
      <c r="AP42" s="154">
        <f t="shared" si="18"/>
        <v>103.07301448463211</v>
      </c>
      <c r="AR42" s="154">
        <f t="shared" si="15"/>
        <v>4.1333244106529881</v>
      </c>
      <c r="AS42" s="154"/>
      <c r="AT42" s="153">
        <f t="shared" si="7"/>
        <v>2322.4929919803972</v>
      </c>
      <c r="AV42" s="153">
        <f t="shared" si="3"/>
        <v>30179.44204973392</v>
      </c>
      <c r="AW42" s="273"/>
      <c r="AX42" s="155">
        <f t="shared" si="8"/>
        <v>32501.935041714318</v>
      </c>
      <c r="AZ42" s="146">
        <f>+IF(AZ41&gt;$G$13+$G$14,XX,AZ41+1)</f>
        <v>2030</v>
      </c>
      <c r="BA42" s="117"/>
      <c r="BB42" s="154">
        <f t="shared" si="16"/>
        <v>84.216501915071049</v>
      </c>
      <c r="BD42" s="154">
        <f t="shared" si="17"/>
        <v>14.186399618005233</v>
      </c>
      <c r="BF42" s="153">
        <f t="shared" si="9"/>
        <v>3300.821097719514</v>
      </c>
      <c r="BH42" s="157"/>
    </row>
    <row r="43" spans="2:60" ht="12">
      <c r="B43" s="2"/>
      <c r="C43">
        <f>+IF(C42&gt;$G$13+$G$14,XX,C42+1)</f>
        <v>2031</v>
      </c>
      <c r="E43" s="169">
        <f>+INDEX('(2.2)_Forward_Price_Curve'!$U:$U,MATCH($C43,'(2.2)_Forward_Price_Curve'!C:C,0))</f>
        <v>1.7999999999999999E-2</v>
      </c>
      <c r="G43" s="18">
        <v>281508</v>
      </c>
      <c r="I43" s="28">
        <f t="shared" si="10"/>
        <v>0</v>
      </c>
      <c r="K43" s="28">
        <v>60.327279878937979</v>
      </c>
      <c r="M43" s="28">
        <f t="shared" si="11"/>
        <v>0</v>
      </c>
      <c r="O43" s="270">
        <f>'(2.2)_Forward_Price_Curve'!Z44</f>
        <v>4.1110193059909372</v>
      </c>
      <c r="Q43" s="28"/>
      <c r="S43" s="18">
        <f t="shared" si="4"/>
        <v>18139.89672695097</v>
      </c>
      <c r="U43" s="18">
        <f t="shared" si="0"/>
        <v>33048.050882995092</v>
      </c>
      <c r="W43" s="18">
        <f t="shared" si="1"/>
        <v>-14908.154156044122</v>
      </c>
      <c r="Y43" s="271">
        <f t="shared" si="5"/>
        <v>-52.958190019623324</v>
      </c>
      <c r="Z43" s="235"/>
      <c r="AB43" s="146">
        <f>+IF(AB42&gt;$G$13+$G$14,XX,AB42+1)</f>
        <v>2031</v>
      </c>
      <c r="AC43" s="117"/>
      <c r="AD43" s="151">
        <f t="shared" si="2"/>
        <v>281508</v>
      </c>
      <c r="AF43" s="154">
        <f t="shared" si="12"/>
        <v>94.585395937807803</v>
      </c>
      <c r="AH43" s="154">
        <f t="shared" si="13"/>
        <v>10.375776958355107</v>
      </c>
      <c r="AJ43" s="154">
        <f t="shared" si="14"/>
        <v>3.5139912473178363</v>
      </c>
      <c r="AL43" s="153">
        <f t="shared" si="6"/>
        <v>5724.5337433145105</v>
      </c>
      <c r="AN43" s="154">
        <f>INDEX('(2.2)_Forward_Price_Curve'!$J:$J,MATCH($AB43,'(2.2)_Forward_Price_Curve'!$C:$C,0),1)</f>
        <v>14.084999999999999</v>
      </c>
      <c r="AP43" s="154">
        <f t="shared" si="18"/>
        <v>104.79007693911878</v>
      </c>
      <c r="AR43" s="154">
        <f t="shared" si="15"/>
        <v>4.207724250044742</v>
      </c>
      <c r="AS43" s="154"/>
      <c r="AT43" s="153">
        <f>AL43-BF43</f>
        <v>2364.2978658360453</v>
      </c>
      <c r="AV43" s="153">
        <f t="shared" si="3"/>
        <v>30683.753017159044</v>
      </c>
      <c r="AW43" s="273"/>
      <c r="AX43" s="155">
        <f t="shared" si="8"/>
        <v>33048.050882995092</v>
      </c>
      <c r="AZ43" s="146">
        <f>+IF(AZ42&gt;$G$13+$G$14,XX,AZ42+1)</f>
        <v>2031</v>
      </c>
      <c r="BA43" s="117"/>
      <c r="BB43" s="154">
        <f t="shared" si="16"/>
        <v>85.732398949542329</v>
      </c>
      <c r="BD43" s="154">
        <f t="shared" si="17"/>
        <v>14.441754811129327</v>
      </c>
      <c r="BF43" s="153">
        <f t="shared" si="9"/>
        <v>3360.2358774784652</v>
      </c>
      <c r="BH43" s="157"/>
    </row>
    <row r="44" spans="2:60" ht="12">
      <c r="B44" s="2"/>
      <c r="C44">
        <f>+IF(C43&gt;$G$13+$G$14,XX,C43+1)</f>
        <v>2032</v>
      </c>
      <c r="E44" s="169">
        <f>+INDEX('(2.2)_Forward_Price_Curve'!$U:$U,MATCH($C44,'(2.2)_Forward_Price_Curve'!C:C,0))</f>
        <v>1.7999999999999999E-2</v>
      </c>
      <c r="G44" s="18">
        <v>282371.75</v>
      </c>
      <c r="I44" s="28">
        <f t="shared" si="10"/>
        <v>0</v>
      </c>
      <c r="K44" s="28">
        <v>60.327279878937979</v>
      </c>
      <c r="M44" s="28">
        <f t="shared" si="11"/>
        <v>0</v>
      </c>
      <c r="O44" s="270">
        <f>'(2.2)_Forward_Price_Curve'!Z45</f>
        <v>4.1932396921107564</v>
      </c>
      <c r="Q44" s="28"/>
      <c r="S44" s="18">
        <f t="shared" si="4"/>
        <v>18218.772022186284</v>
      </c>
      <c r="U44" s="18">
        <f t="shared" si="0"/>
        <v>33700.996884156317</v>
      </c>
      <c r="W44" s="18">
        <f t="shared" si="1"/>
        <v>-15482.224861970033</v>
      </c>
      <c r="Y44" s="271">
        <f t="shared" si="5"/>
        <v>-54.82922729334657</v>
      </c>
      <c r="Z44" s="235"/>
      <c r="AB44" s="146">
        <f>+IF(AB43&gt;$G$13+$G$14,XX,AB43+1)</f>
        <v>2032</v>
      </c>
      <c r="AC44" s="117"/>
      <c r="AD44" s="151">
        <f t="shared" si="2"/>
        <v>282371.75</v>
      </c>
      <c r="AF44" s="154">
        <f t="shared" si="12"/>
        <v>96.287933064688346</v>
      </c>
      <c r="AH44" s="154">
        <f t="shared" si="13"/>
        <v>10.5625409436055</v>
      </c>
      <c r="AJ44" s="154">
        <f t="shared" si="14"/>
        <v>3.5772430897695573</v>
      </c>
      <c r="AL44" s="153">
        <f t="shared" si="6"/>
        <v>5830.6651944129599</v>
      </c>
      <c r="AN44" s="154">
        <f>INDEX('(2.2)_Forward_Price_Curve'!$J:$J,MATCH($AB44,'(2.2)_Forward_Price_Curve'!$C:$C,0),1)</f>
        <v>14.351666666666667</v>
      </c>
      <c r="AP44" s="154">
        <f t="shared" si="18"/>
        <v>106.53162998328909</v>
      </c>
      <c r="AR44" s="154">
        <f t="shared" si="15"/>
        <v>4.2834632865455475</v>
      </c>
      <c r="AS44" s="154"/>
      <c r="AT44" s="153">
        <f t="shared" si="7"/>
        <v>2409.9450711398822</v>
      </c>
      <c r="AV44" s="153">
        <f t="shared" si="3"/>
        <v>31291.051813016435</v>
      </c>
      <c r="AW44" s="273"/>
      <c r="AX44" s="155">
        <f t="shared" si="8"/>
        <v>33700.996884156317</v>
      </c>
      <c r="AZ44" s="146">
        <f>+IF(AZ43&gt;$G$13+$G$14,XX,AZ43+1)</f>
        <v>2032</v>
      </c>
      <c r="BA44" s="117"/>
      <c r="BB44" s="154">
        <f t="shared" si="16"/>
        <v>87.275582130634092</v>
      </c>
      <c r="BD44" s="154">
        <f t="shared" si="17"/>
        <v>14.701706397729655</v>
      </c>
      <c r="BF44" s="153">
        <f t="shared" si="9"/>
        <v>3420.7201232730777</v>
      </c>
      <c r="BH44" s="157"/>
    </row>
    <row r="45" spans="2:60" ht="12">
      <c r="B45" s="2"/>
      <c r="C45">
        <f>+IF(C44&gt;$G$13+$G$14,XX,C44+1)</f>
        <v>2033</v>
      </c>
      <c r="E45" s="169">
        <f>+INDEX('(2.2)_Forward_Price_Curve'!$U:$U,MATCH($C45,'(2.2)_Forward_Price_Curve'!C:C,0))</f>
        <v>1.9E-2</v>
      </c>
      <c r="G45" s="18">
        <v>281508</v>
      </c>
      <c r="I45" s="28">
        <f t="shared" si="10"/>
        <v>0</v>
      </c>
      <c r="K45" s="28">
        <v>60.327279878937979</v>
      </c>
      <c r="M45" s="28">
        <f t="shared" si="11"/>
        <v>0</v>
      </c>
      <c r="O45" s="270">
        <f>'(2.2)_Forward_Price_Curve'!Z46</f>
        <v>4.2812977256450822</v>
      </c>
      <c r="Q45" s="28"/>
      <c r="S45" s="18">
        <f t="shared" si="4"/>
        <v>18187.83146431097</v>
      </c>
      <c r="U45" s="18">
        <f t="shared" si="0"/>
        <v>34150.844564033432</v>
      </c>
      <c r="W45" s="18">
        <f t="shared" si="1"/>
        <v>-15963.013099722462</v>
      </c>
      <c r="Y45" s="271">
        <f t="shared" si="5"/>
        <v>-56.705362191207577</v>
      </c>
      <c r="Z45" s="235"/>
      <c r="AB45" s="146">
        <f>+IF(AB44&gt;$G$13+$G$14,XX,AB44+1)</f>
        <v>2033</v>
      </c>
      <c r="AC45" s="117"/>
      <c r="AD45" s="151">
        <f t="shared" si="2"/>
        <v>281508</v>
      </c>
      <c r="AF45" s="154">
        <f t="shared" si="12"/>
        <v>98.117403792917415</v>
      </c>
      <c r="AH45" s="154">
        <f t="shared" si="13"/>
        <v>10.763229221534003</v>
      </c>
      <c r="AJ45" s="154">
        <f t="shared" si="14"/>
        <v>3.6452107084751786</v>
      </c>
      <c r="AL45" s="153">
        <f t="shared" si="6"/>
        <v>5938.2992823573595</v>
      </c>
      <c r="AN45" s="154">
        <f>INDEX('(2.2)_Forward_Price_Curve'!$J:$J,MATCH($AB45,'(2.2)_Forward_Price_Curve'!$C:$C,0),1)</f>
        <v>14.610833333333332</v>
      </c>
      <c r="AP45" s="154">
        <f t="shared" si="18"/>
        <v>108.23677888354138</v>
      </c>
      <c r="AR45" s="154">
        <f t="shared" si="15"/>
        <v>4.3648490889899128</v>
      </c>
      <c r="AS45" s="154"/>
      <c r="AT45" s="153">
        <f t="shared" si="7"/>
        <v>2452.5854767420938</v>
      </c>
      <c r="AV45" s="153">
        <f t="shared" si="3"/>
        <v>31698.259087291339</v>
      </c>
      <c r="AW45" s="273"/>
      <c r="AX45" s="155">
        <f t="shared" si="8"/>
        <v>34150.844564033432</v>
      </c>
      <c r="AZ45" s="146">
        <f>+IF(AZ44&gt;$G$13+$G$14,XX,AZ44+1)</f>
        <v>2033</v>
      </c>
      <c r="BA45" s="117"/>
      <c r="BB45" s="154">
        <f t="shared" si="16"/>
        <v>88.933818191116131</v>
      </c>
      <c r="BD45" s="154">
        <f t="shared" si="17"/>
        <v>14.981038819286518</v>
      </c>
      <c r="BF45" s="153">
        <f t="shared" si="9"/>
        <v>3485.7138056152658</v>
      </c>
      <c r="BH45" s="157"/>
    </row>
    <row r="46" spans="2:60" ht="12">
      <c r="B46" s="2"/>
      <c r="C46">
        <f>+IF(C45&gt;$G$13+$G$14,XX,C45+1)</f>
        <v>2034</v>
      </c>
      <c r="E46" s="169">
        <f>+INDEX('(2.2)_Forward_Price_Curve'!$U:$U,MATCH($C46,'(2.2)_Forward_Price_Curve'!C:C,0))</f>
        <v>1.7999999999999999E-2</v>
      </c>
      <c r="G46" s="18">
        <v>281508</v>
      </c>
      <c r="I46" s="28">
        <f t="shared" si="10"/>
        <v>0</v>
      </c>
      <c r="K46" s="28">
        <v>60.327279878937979</v>
      </c>
      <c r="M46" s="28">
        <f t="shared" si="11"/>
        <v>0</v>
      </c>
      <c r="O46" s="270">
        <f>'(2.2)_Forward_Price_Curve'!Z47</f>
        <v>4.3712049778836288</v>
      </c>
      <c r="Q46" s="28"/>
      <c r="S46" s="18">
        <f t="shared" si="4"/>
        <v>18213.141075074138</v>
      </c>
      <c r="U46" s="18">
        <f t="shared" si="0"/>
        <v>34699.232801802915</v>
      </c>
      <c r="W46" s="18">
        <f t="shared" si="1"/>
        <v>-16486.091726728777</v>
      </c>
      <c r="Y46" s="271">
        <f t="shared" si="5"/>
        <v>-58.563492784321497</v>
      </c>
      <c r="Z46" s="235"/>
      <c r="AB46" s="146">
        <f>+IF(AB45&gt;$G$13+$G$14,XX,AB45+1)</f>
        <v>2034</v>
      </c>
      <c r="AC46" s="117"/>
      <c r="AD46" s="151">
        <f t="shared" si="2"/>
        <v>281508</v>
      </c>
      <c r="AF46" s="154">
        <f t="shared" si="12"/>
        <v>99.883517061189934</v>
      </c>
      <c r="AH46" s="154">
        <f t="shared" si="13"/>
        <v>10.956967347521616</v>
      </c>
      <c r="AJ46" s="154">
        <f t="shared" si="14"/>
        <v>3.7108245012277319</v>
      </c>
      <c r="AL46" s="153">
        <f t="shared" si="6"/>
        <v>6045.1886694397926</v>
      </c>
      <c r="AN46" s="154">
        <f>INDEX('(2.2)_Forward_Price_Curve'!$J:$J,MATCH($AB46,'(2.2)_Forward_Price_Curve'!$C:$C,0),1)</f>
        <v>14.875000000000002</v>
      </c>
      <c r="AP46" s="154">
        <f t="shared" si="18"/>
        <v>109.94942783247336</v>
      </c>
      <c r="AR46" s="154">
        <f t="shared" si="15"/>
        <v>4.4434163725917308</v>
      </c>
      <c r="AS46" s="154"/>
      <c r="AT46" s="153">
        <f t="shared" si="7"/>
        <v>2496.7320153234518</v>
      </c>
      <c r="AV46" s="153">
        <f t="shared" si="3"/>
        <v>32202.500786479461</v>
      </c>
      <c r="AW46" s="273"/>
      <c r="AX46" s="155">
        <f t="shared" si="8"/>
        <v>34699.232801802915</v>
      </c>
      <c r="AZ46" s="146">
        <f>+IF(AZ45&gt;$G$13+$G$14,XX,AZ45+1)</f>
        <v>2034</v>
      </c>
      <c r="BA46" s="117"/>
      <c r="BB46" s="154">
        <f t="shared" si="16"/>
        <v>90.534626918556228</v>
      </c>
      <c r="BD46" s="154">
        <f t="shared" si="17"/>
        <v>15.250697518033675</v>
      </c>
      <c r="BF46" s="153">
        <f t="shared" si="9"/>
        <v>3548.4566541163408</v>
      </c>
      <c r="BH46" s="157"/>
    </row>
    <row r="47" spans="2:60" ht="12">
      <c r="B47" s="2"/>
      <c r="C47">
        <f>+IF(C46&gt;$G$13+$G$14,XX,C46+1)</f>
        <v>2035</v>
      </c>
      <c r="E47" s="169">
        <f>+INDEX('(2.2)_Forward_Price_Curve'!$U:$U,MATCH($C47,'(2.2)_Forward_Price_Curve'!C:C,0))</f>
        <v>1.7999999999999999E-2</v>
      </c>
      <c r="G47" s="18">
        <v>281508</v>
      </c>
      <c r="I47" s="28">
        <f t="shared" si="10"/>
        <v>0</v>
      </c>
      <c r="K47" s="28">
        <v>60.327279878937979</v>
      </c>
      <c r="M47" s="28"/>
      <c r="O47" s="270">
        <f>'(2.2)_Forward_Price_Curve'!Z48</f>
        <v>4.463000282419185</v>
      </c>
      <c r="Q47" s="28"/>
      <c r="S47" s="18">
        <f t="shared" si="4"/>
        <v>18238.982187663332</v>
      </c>
      <c r="U47" s="18">
        <f t="shared" si="0"/>
        <v>35255.418457066538</v>
      </c>
      <c r="W47" s="18">
        <f t="shared" si="1"/>
        <v>-17016.436269403206</v>
      </c>
      <c r="Y47" s="271">
        <f t="shared" si="5"/>
        <v>-60.447434067249262</v>
      </c>
      <c r="Z47" s="235"/>
      <c r="AB47" s="146">
        <f>+IF(AB46&gt;$G$13+$G$14,XX,AB46+1)</f>
        <v>2035</v>
      </c>
      <c r="AC47" s="117"/>
      <c r="AD47" s="151">
        <f t="shared" si="2"/>
        <v>281508</v>
      </c>
      <c r="AF47" s="154">
        <f t="shared" si="12"/>
        <v>101.68142036829136</v>
      </c>
      <c r="AH47" s="154">
        <f t="shared" si="13"/>
        <v>11.154192759777004</v>
      </c>
      <c r="AJ47" s="154">
        <f t="shared" si="14"/>
        <v>3.7776193422498312</v>
      </c>
      <c r="AL47" s="153">
        <f t="shared" si="6"/>
        <v>6154.0020654897098</v>
      </c>
      <c r="AN47" s="154">
        <f>INDEX('(2.2)_Forward_Price_Curve'!$J:$J,MATCH($AB47,'(2.2)_Forward_Price_Curve'!$C:$C,0),1)</f>
        <v>15.140833333333333</v>
      </c>
      <c r="AP47" s="154">
        <f t="shared" si="18"/>
        <v>111.68553852338063</v>
      </c>
      <c r="AR47" s="154">
        <f t="shared" si="15"/>
        <v>4.5233978672983817</v>
      </c>
      <c r="AS47" s="154"/>
      <c r="AT47" s="153">
        <f t="shared" si="7"/>
        <v>2541.6731915992746</v>
      </c>
      <c r="AV47" s="153">
        <f t="shared" si="3"/>
        <v>32713.745265467267</v>
      </c>
      <c r="AW47" s="273"/>
      <c r="AX47" s="155">
        <f t="shared" si="8"/>
        <v>35255.418457066538</v>
      </c>
      <c r="AZ47" s="146">
        <f>+IF(AZ46&gt;$G$13+$G$14,XX,AZ46+1)</f>
        <v>2035</v>
      </c>
      <c r="BA47" s="117"/>
      <c r="BB47" s="154">
        <f t="shared" si="16"/>
        <v>92.164250203090248</v>
      </c>
      <c r="BD47" s="154">
        <f t="shared" si="17"/>
        <v>15.525210073358283</v>
      </c>
      <c r="BF47" s="153">
        <f t="shared" si="9"/>
        <v>3612.3288738904353</v>
      </c>
      <c r="BH47" s="157"/>
    </row>
    <row r="48" spans="2:60" ht="12">
      <c r="B48" s="2"/>
      <c r="E48" s="169"/>
      <c r="G48" s="18"/>
      <c r="I48" s="28"/>
      <c r="K48" s="28"/>
      <c r="M48" s="28"/>
      <c r="O48" s="270"/>
      <c r="Q48" s="28"/>
      <c r="S48" s="18"/>
      <c r="U48" s="18"/>
      <c r="W48" s="18"/>
      <c r="Y48" s="271"/>
      <c r="Z48" s="235"/>
      <c r="AB48" s="146"/>
      <c r="AC48" s="117"/>
      <c r="AD48" s="151"/>
      <c r="AF48" s="154"/>
      <c r="AH48" s="154"/>
      <c r="AJ48" s="154"/>
      <c r="AL48" s="153"/>
      <c r="AN48" s="154"/>
      <c r="AP48" s="154"/>
      <c r="AR48" s="154"/>
      <c r="AS48" s="154"/>
      <c r="AT48" s="153"/>
      <c r="AV48" s="153"/>
      <c r="AW48" s="273"/>
      <c r="AX48" s="155"/>
      <c r="AZ48" s="146"/>
      <c r="BA48" s="117"/>
      <c r="BB48" s="154"/>
      <c r="BD48" s="154"/>
      <c r="BF48" s="153"/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E50" s="169"/>
      <c r="G50" s="18"/>
      <c r="I50" s="28"/>
      <c r="K50" s="28"/>
      <c r="M50" s="28"/>
      <c r="O50" s="270"/>
      <c r="Q50" s="28"/>
      <c r="S50" s="18"/>
      <c r="U50" s="18"/>
      <c r="W50" s="18"/>
      <c r="Y50" s="271"/>
      <c r="Z50" s="235"/>
      <c r="AB50" s="146"/>
      <c r="AC50" s="117"/>
      <c r="AD50" s="151"/>
      <c r="AF50" s="154"/>
      <c r="AH50" s="154"/>
      <c r="AJ50" s="154"/>
      <c r="AL50" s="153"/>
      <c r="AN50" s="154"/>
      <c r="AP50" s="154"/>
      <c r="AR50" s="154"/>
      <c r="AS50" s="154"/>
      <c r="AT50" s="153"/>
      <c r="AV50" s="153"/>
      <c r="AW50" s="273"/>
      <c r="AX50" s="155"/>
      <c r="AZ50" s="146"/>
      <c r="BA50" s="117"/>
      <c r="BB50" s="154"/>
      <c r="BD50" s="154"/>
      <c r="BF50" s="153"/>
      <c r="BH50" s="157"/>
    </row>
    <row r="51" spans="2:60" ht="12">
      <c r="B51" s="2"/>
      <c r="E51" s="169"/>
      <c r="G51" s="18"/>
      <c r="I51" s="28"/>
      <c r="K51" s="28"/>
      <c r="M51" s="28"/>
      <c r="O51" s="270"/>
      <c r="Q51" s="28"/>
      <c r="S51" s="18"/>
      <c r="U51" s="18"/>
      <c r="W51" s="18"/>
      <c r="Y51" s="271"/>
      <c r="Z51" s="235"/>
      <c r="AB51" s="146"/>
      <c r="AC51" s="117"/>
      <c r="AD51" s="151"/>
      <c r="AF51" s="154"/>
      <c r="AH51" s="154"/>
      <c r="AJ51" s="154"/>
      <c r="AL51" s="153"/>
      <c r="AN51" s="154"/>
      <c r="AP51" s="154"/>
      <c r="AR51" s="154"/>
      <c r="AS51" s="154"/>
      <c r="AT51" s="153"/>
      <c r="AV51" s="153"/>
      <c r="AW51" s="273"/>
      <c r="AX51" s="155"/>
      <c r="AZ51" s="146"/>
      <c r="BA51" s="117"/>
      <c r="BB51" s="154"/>
      <c r="BD51" s="154"/>
      <c r="BF51" s="153"/>
      <c r="BH51" s="157"/>
    </row>
    <row r="52" spans="2:60" ht="12">
      <c r="B52" s="2"/>
      <c r="E52" s="169"/>
      <c r="G52" s="18"/>
      <c r="I52" s="28"/>
      <c r="K52" s="28"/>
      <c r="M52" s="28"/>
      <c r="O52" s="270"/>
      <c r="Q52" s="28" t="s">
        <v>299</v>
      </c>
      <c r="S52" s="18"/>
      <c r="U52" s="18"/>
      <c r="W52" s="18"/>
      <c r="Y52" s="271"/>
      <c r="Z52" s="235"/>
      <c r="AB52" s="146"/>
      <c r="AC52" s="117"/>
      <c r="AD52" s="151"/>
      <c r="AF52" s="154"/>
      <c r="AH52" s="154"/>
      <c r="AJ52" s="154"/>
      <c r="AL52" s="153"/>
      <c r="AN52" s="154"/>
      <c r="AP52" s="154"/>
      <c r="AR52" s="154"/>
      <c r="AS52" s="154"/>
      <c r="AT52" s="153"/>
      <c r="AV52" s="153"/>
      <c r="AW52" s="273"/>
      <c r="AX52" s="155"/>
      <c r="AZ52" s="146"/>
      <c r="BA52" s="117"/>
      <c r="BB52" s="154"/>
      <c r="BD52" s="154"/>
      <c r="BF52" s="153"/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20-year Nominal Levelized at 6.66%</v>
      </c>
      <c r="E58" s="169"/>
      <c r="G58" s="18">
        <f>+-PMT($G$18,$G$14,NPV($G$18,G28:G56))</f>
        <v>281745.24808080855</v>
      </c>
      <c r="I58" s="28">
        <f>+-PMT($G$18,$G$14,NPV($G$18,I28:I56))</f>
        <v>0</v>
      </c>
      <c r="J58" s="28"/>
      <c r="K58" s="28">
        <f>+-PMT($G$18,$G$14,NPV($G$18,K28:K56))</f>
        <v>60.327279878937993</v>
      </c>
      <c r="M58" s="28">
        <f>+-PMT($G$18,$G$14,NPV($G$18,M28:M56))</f>
        <v>0</v>
      </c>
      <c r="O58" s="28">
        <f>+-PMT($G$18,$G$14,NPV($G$18,O28:O56))</f>
        <v>3.5877214328050853</v>
      </c>
      <c r="Q58" s="28">
        <f>+-PMT($G$18,$G$14,NPV($G$18,Q28:Q56))</f>
        <v>0</v>
      </c>
      <c r="S58" s="18">
        <f>+-PMT($G$18,$G$14,NPV($G$18,S28:S56))</f>
        <v>18007.725487954118</v>
      </c>
      <c r="U58" s="18">
        <f>+-PMT($G$18,$G$14,NPV($G$18,U28:U56))</f>
        <v>28963.70230801063</v>
      </c>
      <c r="W58" s="18">
        <f>+-PMT($G$18,$G$14,NPV($G$18,W28:W56))</f>
        <v>-10955.976820056512</v>
      </c>
      <c r="Y58" s="271">
        <f>+-PMT($G$18,$G$14,NPV($G$18,Y28:Y56))</f>
        <v>-38.889997337800139</v>
      </c>
      <c r="Z58" s="235"/>
      <c r="AB58" s="2"/>
      <c r="AD58" s="151">
        <f>+-PMT($G$18,$G$14,NPV($G$18,AD28:AD56))</f>
        <v>281745.24808080855</v>
      </c>
      <c r="AF58" s="154">
        <f>+-PMT($G$18,$G$14,NPV($G$18,AF28:AF56))</f>
        <v>82.685631868945421</v>
      </c>
      <c r="AH58" s="154">
        <f>+-PMT($G$18,$G$14,NPV($G$18,AH28:AH56))</f>
        <v>9.0704031571316257</v>
      </c>
      <c r="AJ58" s="154">
        <f>+-PMT($G$18,$G$14,NPV($G$18,AJ28:AJ56))</f>
        <v>3.0718969221999886</v>
      </c>
      <c r="AL58" s="153">
        <f>+-PMT($G$18,$G$14,NPV($G$18,AL28:AL56))</f>
        <v>5005.0414965824921</v>
      </c>
      <c r="AN58" s="154">
        <f>+-PMT($G$18,$G$14,NPV($G$18,AN28:AN56))</f>
        <v>12.102008187620727</v>
      </c>
      <c r="AP58" s="154">
        <f>+-PMT($G$18,$G$14,NPV($G$18,AP28:AP56))</f>
        <v>91.788090335742382</v>
      </c>
      <c r="AR58" s="154">
        <f>+-PMT($G$18,$G$14,NPV($G$18,AR28:AR56))</f>
        <v>3.6783515562381197</v>
      </c>
      <c r="AS58" s="154"/>
      <c r="AT58" s="153">
        <f>+-PMT($G$18,$G$14,NPV($G$18,AT28:AT56))</f>
        <v>2067.5560211218212</v>
      </c>
      <c r="AV58" s="153">
        <f>+-PMT($G$18,$G$14,NPV($G$18,AV28:AV56))</f>
        <v>26896.146286888812</v>
      </c>
      <c r="AW58" s="273"/>
      <c r="AX58" s="155">
        <f>+-PMT($G$18,$G$14,NPV($G$18,AX28:AX56))</f>
        <v>28963.70230801063</v>
      </c>
      <c r="AZ58" s="2"/>
      <c r="BB58" s="154">
        <f>+-PMT($G$18,$G$14,NPV($G$18,BB28:BB56))</f>
        <v>74.946428129819381</v>
      </c>
      <c r="BD58" s="154">
        <f>+-PMT($G$18,$G$14,NPV($G$18,BD28:BD56))</f>
        <v>12.624841393482965</v>
      </c>
      <c r="BF58" s="153">
        <f>+-PMT($G$18,$G$14,NPV($G$18,BF28:BF56))</f>
        <v>2937.4854754606713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2">
    <tabColor theme="0" tint="-0.249977111117893"/>
    <pageSetUpPr fitToPage="1"/>
  </sheetPr>
  <dimension ref="A1:BH92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3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195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1.6</v>
      </c>
      <c r="H11" s="252"/>
      <c r="AB11" s="122" t="s">
        <v>99</v>
      </c>
      <c r="AC11" s="123"/>
      <c r="AD11" s="123"/>
      <c r="AE11" s="123"/>
      <c r="AF11" s="281">
        <f>+G11*(G12/AJ16)</f>
        <v>1.3669664617983466</v>
      </c>
      <c r="AG11" s="127"/>
      <c r="AH11" s="123" t="s">
        <v>100</v>
      </c>
      <c r="AI11" s="124"/>
      <c r="AJ11" s="166">
        <f>'(2.1)_Proxy Resources'!$N$106</f>
        <v>6.6035087719298247</v>
      </c>
      <c r="AK11" s="235"/>
      <c r="AZ11" s="122" t="s">
        <v>99</v>
      </c>
      <c r="BA11" s="123"/>
      <c r="BB11" s="123"/>
      <c r="BC11" s="123"/>
      <c r="BD11" s="281">
        <f>(AF11*AF13-G11*G19)</f>
        <v>0.31224391811604368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0.65920158980143928</v>
      </c>
      <c r="H12" s="252"/>
      <c r="AB12" s="122" t="s">
        <v>32</v>
      </c>
      <c r="AC12" s="123"/>
      <c r="AD12" s="123"/>
      <c r="AE12" s="123"/>
      <c r="AF12" s="131">
        <f>+AD66/8760/AF11</f>
        <v>0.75638624229954932</v>
      </c>
      <c r="AG12" s="127"/>
      <c r="AH12" s="117" t="s">
        <v>101</v>
      </c>
      <c r="AI12" s="118"/>
      <c r="AJ12" s="117">
        <v>2002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1999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Resources'!$O$106</f>
        <v>1.5426421100500227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39</v>
      </c>
      <c r="H14" s="252"/>
      <c r="AB14" s="122" t="s">
        <v>104</v>
      </c>
      <c r="AC14" s="123"/>
      <c r="AD14" s="123"/>
      <c r="AE14" s="123"/>
      <c r="AF14" s="134">
        <f>'(2.1)_Proxy Resources'!$H$106</f>
        <v>7163.7407912687586</v>
      </c>
      <c r="AG14" s="127"/>
      <c r="AH14" s="117"/>
      <c r="AI14" s="118"/>
      <c r="AJ14" s="166"/>
      <c r="AK14" s="235"/>
      <c r="AZ14" s="122" t="s">
        <v>105</v>
      </c>
      <c r="BA14" s="123"/>
      <c r="BB14" s="123"/>
      <c r="BC14" s="123"/>
      <c r="BD14" s="167">
        <f>'(2.1)_Proxy Resources'!$J$107</f>
        <v>482</v>
      </c>
      <c r="BE14" s="132"/>
    </row>
    <row r="15" spans="1:57" ht="12">
      <c r="A15" t="s">
        <v>196</v>
      </c>
      <c r="B15" s="250"/>
      <c r="C15" s="231" t="s">
        <v>107</v>
      </c>
      <c r="D15" s="231"/>
      <c r="E15" s="231"/>
      <c r="F15" s="231"/>
      <c r="G15" s="283">
        <f>S28*1000/(G11*1000)</f>
        <v>318.75</v>
      </c>
      <c r="H15" s="252"/>
      <c r="AB15" s="122" t="s">
        <v>197</v>
      </c>
      <c r="AC15" s="123"/>
      <c r="AD15" s="123"/>
      <c r="AE15" s="123"/>
      <c r="AF15" s="167">
        <f>'(2.1)_Proxy Resources'!$J$106</f>
        <v>625</v>
      </c>
      <c r="AG15" s="127"/>
      <c r="AH15" s="117" t="s">
        <v>145</v>
      </c>
      <c r="AI15" s="118"/>
      <c r="AJ15" s="166">
        <f>'(2.1)_Proxy Resources'!$P$106</f>
        <v>3.1491524416152528</v>
      </c>
      <c r="AK15" s="235"/>
      <c r="AZ15" s="122" t="s">
        <v>108</v>
      </c>
      <c r="BA15" s="123"/>
      <c r="BB15" s="123"/>
      <c r="BC15" s="123"/>
      <c r="BD15" s="136">
        <f>'(2.1)_Proxy Resources'!$K$107</f>
        <v>9.5899999999999999E-2</v>
      </c>
      <c r="BE15" s="132"/>
    </row>
    <row r="16" spans="1:57" ht="12">
      <c r="A16" t="s">
        <v>196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Resources'!$K$104</f>
        <v>8.6099999999999996E-2</v>
      </c>
      <c r="AG16" s="127"/>
      <c r="AH16" s="117" t="s">
        <v>110</v>
      </c>
      <c r="AI16" s="124"/>
      <c r="AJ16" s="137">
        <f>'(2.1)_Proxy Resources'!$D$106</f>
        <v>0.77157894736842092</v>
      </c>
      <c r="AK16" s="235"/>
      <c r="AZ16" s="122" t="s">
        <v>100</v>
      </c>
      <c r="BA16" s="124"/>
      <c r="BB16" s="166">
        <f>'(2.1)_Proxy Resources'!N107</f>
        <v>10.050000000000001</v>
      </c>
      <c r="BE16" s="130"/>
    </row>
    <row r="17" spans="1:60" ht="12">
      <c r="A17" t="s">
        <v>196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2002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v>7.8200000000000006E-2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v>0.65920158980143928</v>
      </c>
      <c r="H19" s="259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1999</v>
      </c>
      <c r="E28" s="169">
        <f>'(2.2)_Forward_Price_Curve'!$CZ$42</f>
        <v>2.5000000000000001E-2</v>
      </c>
      <c r="G28" s="18">
        <v>9239.3694826569736</v>
      </c>
      <c r="I28" s="284">
        <f>$G$15</f>
        <v>318.75</v>
      </c>
      <c r="J28" s="268"/>
      <c r="K28" s="268">
        <f>$G$16</f>
        <v>0</v>
      </c>
      <c r="L28" s="269"/>
      <c r="M28" s="268">
        <f>$G$17</f>
        <v>0</v>
      </c>
      <c r="O28" s="270"/>
      <c r="Q28" s="28"/>
      <c r="S28" s="18">
        <v>510</v>
      </c>
      <c r="U28" s="18">
        <f>AX28</f>
        <v>323.51601894429632</v>
      </c>
      <c r="W28" s="18">
        <f>S28-U28</f>
        <v>186.48398105570368</v>
      </c>
      <c r="Y28" s="271">
        <f>+W28*1000/G28</f>
        <v>20.183626318413701</v>
      </c>
      <c r="Z28" s="235"/>
      <c r="AB28" s="146">
        <f>$C$28</f>
        <v>1999</v>
      </c>
      <c r="AC28" s="117"/>
      <c r="AD28" s="151">
        <f t="shared" ref="AD28:AD62" si="0">G28</f>
        <v>9239.3694826569736</v>
      </c>
      <c r="AF28" s="228">
        <f>AF29/(1+E28)</f>
        <v>49.970255800118991</v>
      </c>
      <c r="AG28" s="272"/>
      <c r="AH28" s="228">
        <f>AH29/(1+$E28)</f>
        <v>6.1320143556174296</v>
      </c>
      <c r="AI28" s="272"/>
      <c r="AJ28" s="228">
        <f>AJ29/(1+$E28)</f>
        <v>1.4324965546524495</v>
      </c>
      <c r="AK28" s="272"/>
      <c r="AL28" s="153">
        <f>((AF28+AH28)*$AF$11*1000+AJ28*AD28)/1000</f>
        <v>89.925286684709093</v>
      </c>
      <c r="AN28" s="228">
        <f>AN29/(1+E28)</f>
        <v>3.3674848357922609</v>
      </c>
      <c r="AO28" s="279"/>
      <c r="AP28" s="154">
        <f>AN28*$AF$14/1000</f>
        <v>24.123788482143993</v>
      </c>
      <c r="AQ28" s="272"/>
      <c r="AR28" s="228">
        <f>AR29/(1+$E28)</f>
        <v>2.9243011021804128</v>
      </c>
      <c r="AS28" s="152"/>
      <c r="AT28" s="153">
        <f t="shared" ref="AT28:AT62" si="1">AL28-BF28</f>
        <v>73.608725474717488</v>
      </c>
      <c r="AU28" s="272"/>
      <c r="AV28" s="153">
        <f t="shared" ref="AV28:AV62" si="2">(AP28+AR28)*AD28/1000</f>
        <v>249.90729346957883</v>
      </c>
      <c r="AW28" s="273"/>
      <c r="AX28" s="155">
        <f>AT28+AV28</f>
        <v>323.51601894429632</v>
      </c>
      <c r="AZ28" s="146">
        <f>$C$28</f>
        <v>1999</v>
      </c>
      <c r="BA28" s="117"/>
      <c r="BB28" s="228">
        <f>BB29/(1+$E28)</f>
        <v>42.92339345047229</v>
      </c>
      <c r="BD28" s="228">
        <f t="shared" ref="BD28:BD30" si="3">BD29/(1+$E28)</f>
        <v>9.3324240797434772</v>
      </c>
      <c r="BE28" s="272"/>
      <c r="BF28" s="153">
        <f>(BB28+BD28)*$BD$11</f>
        <v>16.316561209991612</v>
      </c>
      <c r="BG28" s="272"/>
      <c r="BH28" s="156"/>
    </row>
    <row r="29" spans="1:60" ht="12">
      <c r="B29" s="2"/>
      <c r="C29">
        <f>+IF(C28&gt;$G$13+$G$14,XX,C28+1)</f>
        <v>2000</v>
      </c>
      <c r="E29" s="169">
        <f>E28</f>
        <v>2.5000000000000001E-2</v>
      </c>
      <c r="G29" s="18">
        <f>$G$28</f>
        <v>9239.3694826569736</v>
      </c>
      <c r="I29" s="28">
        <f>I28*(1+$E29)</f>
        <v>326.71875</v>
      </c>
      <c r="K29" s="28">
        <f>K28*(1+$E29)</f>
        <v>0</v>
      </c>
      <c r="M29" s="28">
        <f>M28*(1+$E29)</f>
        <v>0</v>
      </c>
      <c r="O29" s="270"/>
      <c r="Q29" s="28"/>
      <c r="S29" s="18">
        <v>0</v>
      </c>
      <c r="U29" s="18">
        <f t="shared" ref="U29:U62" si="4">AX29</f>
        <v>331.60391941790374</v>
      </c>
      <c r="W29" s="18">
        <f t="shared" ref="W29:W62" si="5">S29-U29</f>
        <v>-331.60391941790374</v>
      </c>
      <c r="Y29" s="271">
        <f t="shared" ref="Y29:Y62" si="6">+W29*1000/G29</f>
        <v>-35.890319143568242</v>
      </c>
      <c r="Z29" s="235"/>
      <c r="AB29" s="146">
        <f>+IF(AB28&gt;$G$13+$G$14,XX,AB28+1)</f>
        <v>2000</v>
      </c>
      <c r="AC29" s="117"/>
      <c r="AD29" s="151">
        <f t="shared" si="0"/>
        <v>9239.3694826569736</v>
      </c>
      <c r="AF29" s="228">
        <f>AF30/(1+E29)</f>
        <v>51.219512195121965</v>
      </c>
      <c r="AH29" s="228">
        <f>AH30/(1+$E29)</f>
        <v>6.2853147145078649</v>
      </c>
      <c r="AJ29" s="228">
        <f>AJ30/(1+$E29)</f>
        <v>1.4683089685187607</v>
      </c>
      <c r="AL29" s="153">
        <f t="shared" ref="AL29:AL62" si="7">((AF29+AH29)*$AF$11*1000+AJ29*AD29)/1000</f>
        <v>92.17341885182681</v>
      </c>
      <c r="AN29" s="228">
        <f>AN30/(1+E29)</f>
        <v>3.4516719566870671</v>
      </c>
      <c r="AP29" s="154">
        <f t="shared" ref="AP29:AP62" si="8">AN29*$AF$14/1000</f>
        <v>24.726883194197594</v>
      </c>
      <c r="AR29" s="228">
        <f>AR30/(1+$E29)</f>
        <v>2.9974086297349229</v>
      </c>
      <c r="AS29" s="154"/>
      <c r="AT29" s="153">
        <f t="shared" si="1"/>
        <v>75.448943611585406</v>
      </c>
      <c r="AV29" s="153">
        <f t="shared" si="2"/>
        <v>256.15497580631836</v>
      </c>
      <c r="AW29" s="273"/>
      <c r="AX29" s="155">
        <f t="shared" ref="AX29:AX62" si="9">AT29+AV29</f>
        <v>331.60391941790374</v>
      </c>
      <c r="AZ29" s="146">
        <f>+IF(AZ28&gt;$G$13+$G$14,XX,AZ28+1)</f>
        <v>2000</v>
      </c>
      <c r="BA29" s="117"/>
      <c r="BB29" s="228">
        <f>BB30/(1+$E29)</f>
        <v>43.996478286734096</v>
      </c>
      <c r="BD29" s="228">
        <f t="shared" si="3"/>
        <v>9.5657346817370641</v>
      </c>
      <c r="BF29" s="153">
        <f t="shared" ref="BF29:BF62" si="10">(BB29+BD29)*$BD$11</f>
        <v>16.7244752402414</v>
      </c>
      <c r="BH29" s="157"/>
    </row>
    <row r="30" spans="1:60" ht="12">
      <c r="B30" s="2"/>
      <c r="C30">
        <f>+IF(C29&gt;$G$13+$G$14,XX,C29+1)</f>
        <v>2001</v>
      </c>
      <c r="E30" s="169">
        <f t="shared" ref="E30:E62" si="11">E29</f>
        <v>2.5000000000000001E-2</v>
      </c>
      <c r="G30" s="18">
        <f t="shared" ref="G30:G62" si="12">$G$28</f>
        <v>9239.3694826569736</v>
      </c>
      <c r="I30" s="28">
        <f t="shared" ref="I30:I62" si="13">I29*(1+$E30)</f>
        <v>334.88671874999994</v>
      </c>
      <c r="K30" s="28">
        <f t="shared" ref="K30:K62" si="14">K29*(1+$E30)</f>
        <v>0</v>
      </c>
      <c r="M30" s="28">
        <f t="shared" ref="M30:M62" si="15">M29*(1+$E30)</f>
        <v>0</v>
      </c>
      <c r="O30" s="270"/>
      <c r="Q30" s="28"/>
      <c r="S30" s="18">
        <v>0</v>
      </c>
      <c r="U30" s="18">
        <f t="shared" si="4"/>
        <v>339.89401740335137</v>
      </c>
      <c r="W30" s="18">
        <f t="shared" si="5"/>
        <v>-339.89401740335137</v>
      </c>
      <c r="Y30" s="271">
        <f t="shared" si="6"/>
        <v>-36.787577122157451</v>
      </c>
      <c r="Z30" s="235"/>
      <c r="AB30" s="146">
        <f>+IF(AB29&gt;$G$13+$G$14,XX,AB29+1)</f>
        <v>2001</v>
      </c>
      <c r="AC30" s="117"/>
      <c r="AD30" s="151">
        <f t="shared" si="0"/>
        <v>9239.3694826569736</v>
      </c>
      <c r="AF30" s="228">
        <f>AF31/(1+$E30)</f>
        <v>52.500000000000007</v>
      </c>
      <c r="AH30" s="228">
        <f>AH31/(1+$E30)</f>
        <v>6.4424475823705611</v>
      </c>
      <c r="AJ30" s="228">
        <f>AJ31/(1+$E30)</f>
        <v>1.5050166927317297</v>
      </c>
      <c r="AL30" s="153">
        <f t="shared" si="7"/>
        <v>94.477754323122468</v>
      </c>
      <c r="AN30" s="228">
        <f>AN31/(1+E30)</f>
        <v>3.5379637556042436</v>
      </c>
      <c r="AP30" s="154">
        <f t="shared" si="8"/>
        <v>25.345055274052534</v>
      </c>
      <c r="AR30" s="228">
        <f>AR31/(1+$E30)</f>
        <v>3.0723438454782959</v>
      </c>
      <c r="AS30" s="154"/>
      <c r="AT30" s="153">
        <f t="shared" si="1"/>
        <v>77.335167201875038</v>
      </c>
      <c r="AV30" s="153">
        <f t="shared" si="2"/>
        <v>262.55885020147633</v>
      </c>
      <c r="AW30" s="273"/>
      <c r="AX30" s="155">
        <f t="shared" si="9"/>
        <v>339.89401740335137</v>
      </c>
      <c r="AZ30" s="146">
        <f>+IF(AZ29&gt;$G$13+$G$14,XX,AZ29+1)</f>
        <v>2001</v>
      </c>
      <c r="BA30" s="117"/>
      <c r="BB30" s="228">
        <f>BB31/(1+$E30)</f>
        <v>45.096390243902441</v>
      </c>
      <c r="BD30" s="228">
        <f t="shared" si="3"/>
        <v>9.8048780487804894</v>
      </c>
      <c r="BF30" s="153">
        <f t="shared" si="10"/>
        <v>17.142587121247434</v>
      </c>
      <c r="BH30" s="157"/>
    </row>
    <row r="31" spans="1:60" ht="12">
      <c r="B31" s="2"/>
      <c r="C31">
        <f>+IF(C30&gt;$G$13+$G$14,XX,C30+1)</f>
        <v>2002</v>
      </c>
      <c r="E31" s="169">
        <f t="shared" si="11"/>
        <v>2.5000000000000001E-2</v>
      </c>
      <c r="G31" s="18">
        <f t="shared" si="12"/>
        <v>9239.3694826569736</v>
      </c>
      <c r="I31" s="28">
        <f t="shared" si="13"/>
        <v>343.25888671874992</v>
      </c>
      <c r="K31" s="28">
        <f t="shared" si="14"/>
        <v>0</v>
      </c>
      <c r="M31" s="28">
        <f t="shared" si="15"/>
        <v>0</v>
      </c>
      <c r="O31" s="270"/>
      <c r="Q31" s="28"/>
      <c r="S31" s="18">
        <v>0</v>
      </c>
      <c r="U31" s="18">
        <f t="shared" si="4"/>
        <v>348.39136783843503</v>
      </c>
      <c r="W31" s="18">
        <f t="shared" si="5"/>
        <v>-348.39136783843503</v>
      </c>
      <c r="Y31" s="271">
        <f t="shared" si="6"/>
        <v>-37.707266550211372</v>
      </c>
      <c r="Z31" s="235"/>
      <c r="AB31" s="146">
        <f>+IF(AB30&gt;$G$13+$G$14,XX,AB30+1)</f>
        <v>2002</v>
      </c>
      <c r="AC31" s="117"/>
      <c r="AD31" s="151">
        <f t="shared" si="0"/>
        <v>9239.3694826569736</v>
      </c>
      <c r="AF31" s="152">
        <f>$AF$15*$AF$16</f>
        <v>53.8125</v>
      </c>
      <c r="AH31" s="152">
        <f>$AJ$11</f>
        <v>6.6035087719298247</v>
      </c>
      <c r="AJ31" s="152">
        <f>$AJ$13</f>
        <v>1.5426421100500227</v>
      </c>
      <c r="AL31" s="153">
        <f t="shared" si="7"/>
        <v>96.839698181200504</v>
      </c>
      <c r="AN31" s="228">
        <f>AN32/(1+E31)</f>
        <v>3.6264128494943493</v>
      </c>
      <c r="AP31" s="154">
        <f t="shared" si="8"/>
        <v>25.978681655903841</v>
      </c>
      <c r="AR31" s="152">
        <f>$AJ$15</f>
        <v>3.1491524416152528</v>
      </c>
      <c r="AS31" s="154"/>
      <c r="AT31" s="153">
        <f t="shared" si="1"/>
        <v>79.26854638192188</v>
      </c>
      <c r="AV31" s="153">
        <f t="shared" si="2"/>
        <v>269.12282145651312</v>
      </c>
      <c r="AW31" s="273"/>
      <c r="AX31" s="155">
        <f t="shared" si="9"/>
        <v>348.39136783843503</v>
      </c>
      <c r="AZ31" s="146">
        <f>+IF(AZ30&gt;$G$13+$G$14,XX,AZ30+1)</f>
        <v>2002</v>
      </c>
      <c r="BA31" s="117"/>
      <c r="BB31" s="152">
        <f>$BD$14*$BD$15</f>
        <v>46.223799999999997</v>
      </c>
      <c r="BD31" s="152">
        <f>$BB$16</f>
        <v>10.050000000000001</v>
      </c>
      <c r="BF31" s="153">
        <f t="shared" si="10"/>
        <v>17.571151799278617</v>
      </c>
      <c r="BH31" s="157"/>
    </row>
    <row r="32" spans="1:60" ht="12">
      <c r="B32" s="2"/>
      <c r="C32">
        <f>+IF(C31&gt;$G$13+$G$14,XX,C31+1)</f>
        <v>2003</v>
      </c>
      <c r="E32" s="169">
        <f t="shared" si="11"/>
        <v>2.5000000000000001E-2</v>
      </c>
      <c r="G32" s="18">
        <f t="shared" si="12"/>
        <v>9239.3694826569736</v>
      </c>
      <c r="I32" s="28">
        <f t="shared" si="13"/>
        <v>351.84035888671866</v>
      </c>
      <c r="K32" s="28">
        <f t="shared" si="14"/>
        <v>0</v>
      </c>
      <c r="M32" s="28">
        <f t="shared" si="15"/>
        <v>0</v>
      </c>
      <c r="O32" s="270"/>
      <c r="Q32" s="28"/>
      <c r="S32" s="18">
        <v>0</v>
      </c>
      <c r="U32" s="18">
        <f t="shared" si="4"/>
        <v>357.10115203439591</v>
      </c>
      <c r="W32" s="18">
        <f t="shared" si="5"/>
        <v>-357.10115203439591</v>
      </c>
      <c r="Y32" s="271">
        <f t="shared" si="6"/>
        <v>-38.649948213966653</v>
      </c>
      <c r="Z32" s="235"/>
      <c r="AB32" s="146">
        <f>+IF(AB31&gt;$G$13+$G$14,XX,AB31+1)</f>
        <v>2003</v>
      </c>
      <c r="AC32" s="117"/>
      <c r="AD32" s="151">
        <f t="shared" si="0"/>
        <v>9239.3694826569736</v>
      </c>
      <c r="AF32" s="154">
        <f t="shared" ref="AF32:AF62" si="16">AF31*(1+$E32)</f>
        <v>55.157812499999999</v>
      </c>
      <c r="AH32" s="154">
        <f t="shared" ref="AH32:AH62" si="17">AH31*(1+$E32)</f>
        <v>6.7685964912280694</v>
      </c>
      <c r="AJ32" s="154">
        <f t="shared" ref="AJ32:AJ62" si="18">AJ31*(1+$E32)</f>
        <v>1.5812081628012731</v>
      </c>
      <c r="AL32" s="153">
        <f t="shared" si="7"/>
        <v>99.260690635730526</v>
      </c>
      <c r="AN32" s="154">
        <f>INDEX('(2.2)_Forward_Price_Curve'!$G:$G,MATCH($AB32,'(2.2)_Forward_Price_Curve'!$C:$C,0),1)</f>
        <v>3.7170731707317075</v>
      </c>
      <c r="AP32" s="154">
        <f t="shared" si="8"/>
        <v>26.628148697301437</v>
      </c>
      <c r="AR32" s="154">
        <f t="shared" ref="AR32:AR62" si="19">AR31*(1+$E32)</f>
        <v>3.2278812526556337</v>
      </c>
      <c r="AS32" s="154"/>
      <c r="AT32" s="153">
        <f t="shared" si="1"/>
        <v>81.250260041469943</v>
      </c>
      <c r="AV32" s="153">
        <f t="shared" si="2"/>
        <v>275.85089199292594</v>
      </c>
      <c r="AW32" s="273"/>
      <c r="AX32" s="155">
        <f t="shared" si="9"/>
        <v>357.10115203439591</v>
      </c>
      <c r="AZ32" s="146">
        <f>+IF(AZ31&gt;$G$13+$G$14,XX,AZ31+1)</f>
        <v>2003</v>
      </c>
      <c r="BA32" s="117"/>
      <c r="BB32" s="154">
        <f t="shared" ref="BB32:BB62" si="20">BB31*(1+$E32)</f>
        <v>47.379394999999995</v>
      </c>
      <c r="BD32" s="154">
        <f t="shared" ref="BD32:BD62" si="21">BD31*(1+$E32)</f>
        <v>10.30125</v>
      </c>
      <c r="BF32" s="153">
        <f t="shared" si="10"/>
        <v>18.010430594260583</v>
      </c>
      <c r="BH32" s="157"/>
    </row>
    <row r="33" spans="2:60" ht="12">
      <c r="B33" s="2"/>
      <c r="C33">
        <f>+IF(C32&gt;$G$13+$G$14,XX,C32+1)</f>
        <v>2004</v>
      </c>
      <c r="E33" s="169">
        <f t="shared" si="11"/>
        <v>2.5000000000000001E-2</v>
      </c>
      <c r="G33" s="18">
        <f t="shared" si="12"/>
        <v>9239.3694826569736</v>
      </c>
      <c r="I33" s="28">
        <f t="shared" si="13"/>
        <v>360.63636785888662</v>
      </c>
      <c r="K33" s="28">
        <f t="shared" si="14"/>
        <v>0</v>
      </c>
      <c r="M33" s="28">
        <f t="shared" si="15"/>
        <v>0</v>
      </c>
      <c r="O33" s="270"/>
      <c r="Q33" s="28"/>
      <c r="S33" s="18">
        <v>0</v>
      </c>
      <c r="U33" s="18">
        <f t="shared" si="4"/>
        <v>366.02868083525573</v>
      </c>
      <c r="W33" s="18">
        <f t="shared" si="5"/>
        <v>-366.02868083525573</v>
      </c>
      <c r="Y33" s="271">
        <f t="shared" si="6"/>
        <v>-39.616196919315811</v>
      </c>
      <c r="Z33" s="235"/>
      <c r="AB33" s="146">
        <f>+IF(AB32&gt;$G$13+$G$14,XX,AB32+1)</f>
        <v>2004</v>
      </c>
      <c r="AC33" s="117"/>
      <c r="AD33" s="151">
        <f t="shared" si="0"/>
        <v>9239.3694826569736</v>
      </c>
      <c r="AF33" s="154">
        <f t="shared" si="16"/>
        <v>56.536757812499992</v>
      </c>
      <c r="AH33" s="154">
        <f t="shared" si="17"/>
        <v>6.9378114035087703</v>
      </c>
      <c r="AJ33" s="154">
        <f t="shared" si="18"/>
        <v>1.6207383668713047</v>
      </c>
      <c r="AL33" s="153">
        <f t="shared" si="7"/>
        <v>101.74220790162379</v>
      </c>
      <c r="AN33" s="154">
        <f>INDEX('(2.2)_Forward_Price_Curve'!$G:$G,MATCH($AB33,'(2.2)_Forward_Price_Curve'!$C:$C,0),1)</f>
        <v>3.81</v>
      </c>
      <c r="AP33" s="154">
        <f t="shared" si="8"/>
        <v>27.293852414733969</v>
      </c>
      <c r="AR33" s="154">
        <f t="shared" si="19"/>
        <v>3.3085782839720244</v>
      </c>
      <c r="AS33" s="154"/>
      <c r="AT33" s="153">
        <f t="shared" si="1"/>
        <v>83.281516542506694</v>
      </c>
      <c r="AV33" s="153">
        <f t="shared" si="2"/>
        <v>282.74716429274906</v>
      </c>
      <c r="AW33" s="273"/>
      <c r="AX33" s="155">
        <f t="shared" si="9"/>
        <v>366.02868083525573</v>
      </c>
      <c r="AZ33" s="146">
        <f>+IF(AZ32&gt;$G$13+$G$14,XX,AZ32+1)</f>
        <v>2004</v>
      </c>
      <c r="BA33" s="117"/>
      <c r="BB33" s="154">
        <f t="shared" si="20"/>
        <v>48.563879874999991</v>
      </c>
      <c r="BD33" s="154">
        <f t="shared" si="21"/>
        <v>10.558781249999999</v>
      </c>
      <c r="BF33" s="153">
        <f t="shared" si="10"/>
        <v>18.460691359117096</v>
      </c>
      <c r="BH33" s="157"/>
    </row>
    <row r="34" spans="2:60" ht="12">
      <c r="B34" s="2"/>
      <c r="C34">
        <f>+IF(C33&gt;$G$13+$G$14,XX,C33+1)</f>
        <v>2005</v>
      </c>
      <c r="E34" s="169">
        <f t="shared" si="11"/>
        <v>2.5000000000000001E-2</v>
      </c>
      <c r="G34" s="18">
        <f t="shared" si="12"/>
        <v>9239.3694826569736</v>
      </c>
      <c r="I34" s="28">
        <f t="shared" si="13"/>
        <v>369.65227705535875</v>
      </c>
      <c r="K34" s="28">
        <f t="shared" si="14"/>
        <v>0</v>
      </c>
      <c r="M34" s="28">
        <f t="shared" si="15"/>
        <v>0</v>
      </c>
      <c r="O34" s="270"/>
      <c r="Q34" s="28"/>
      <c r="S34" s="18">
        <v>0</v>
      </c>
      <c r="U34" s="18">
        <f t="shared" si="4"/>
        <v>378.80321538679323</v>
      </c>
      <c r="W34" s="18">
        <f t="shared" si="5"/>
        <v>-378.80321538679323</v>
      </c>
      <c r="Y34" s="271">
        <f t="shared" si="6"/>
        <v>-40.998816650620675</v>
      </c>
      <c r="Z34" s="235"/>
      <c r="AB34" s="146">
        <f>+IF(AB33&gt;$G$13+$G$14,XX,AB33+1)</f>
        <v>2005</v>
      </c>
      <c r="AC34" s="117"/>
      <c r="AD34" s="151">
        <f t="shared" si="0"/>
        <v>9239.3694826569736</v>
      </c>
      <c r="AF34" s="154">
        <f t="shared" si="16"/>
        <v>57.950176757812486</v>
      </c>
      <c r="AH34" s="154">
        <f t="shared" si="17"/>
        <v>7.1112566885964892</v>
      </c>
      <c r="AJ34" s="154">
        <f t="shared" si="18"/>
        <v>1.6612568260430871</v>
      </c>
      <c r="AL34" s="153">
        <f t="shared" si="7"/>
        <v>104.28576309916436</v>
      </c>
      <c r="AN34" s="154">
        <f>INDEX('(2.2)_Forward_Price_Curve'!$G:$G,MATCH($AB34,'(2.2)_Forward_Price_Curve'!$C:$C,0),1)</f>
        <v>3.96</v>
      </c>
      <c r="AP34" s="154">
        <f t="shared" si="8"/>
        <v>28.368413533424281</v>
      </c>
      <c r="AR34" s="154">
        <f t="shared" si="19"/>
        <v>3.3912927410713247</v>
      </c>
      <c r="AS34" s="154"/>
      <c r="AT34" s="153">
        <f t="shared" si="1"/>
        <v>85.363554456069338</v>
      </c>
      <c r="AV34" s="153">
        <f t="shared" si="2"/>
        <v>293.4396609307239</v>
      </c>
      <c r="AW34" s="273"/>
      <c r="AX34" s="155">
        <f t="shared" si="9"/>
        <v>378.80321538679323</v>
      </c>
      <c r="AZ34" s="146">
        <f>+IF(AZ33&gt;$G$13+$G$14,XX,AZ33+1)</f>
        <v>2005</v>
      </c>
      <c r="BA34" s="117"/>
      <c r="BB34" s="154">
        <f t="shared" si="20"/>
        <v>49.777976871874984</v>
      </c>
      <c r="BD34" s="154">
        <f t="shared" si="21"/>
        <v>10.822750781249999</v>
      </c>
      <c r="BF34" s="153">
        <f t="shared" si="10"/>
        <v>18.922208643095022</v>
      </c>
      <c r="BH34" s="157"/>
    </row>
    <row r="35" spans="2:60" ht="12">
      <c r="B35" s="2"/>
      <c r="C35">
        <f>+IF(C34&gt;$G$13+$G$14,XX,C34+1)</f>
        <v>2006</v>
      </c>
      <c r="E35" s="169">
        <f t="shared" si="11"/>
        <v>2.5000000000000001E-2</v>
      </c>
      <c r="G35" s="18">
        <f t="shared" si="12"/>
        <v>9239.3694826569736</v>
      </c>
      <c r="I35" s="28">
        <f t="shared" si="13"/>
        <v>378.89358398174267</v>
      </c>
      <c r="K35" s="28">
        <f t="shared" si="14"/>
        <v>0</v>
      </c>
      <c r="M35" s="28">
        <f t="shared" si="15"/>
        <v>0</v>
      </c>
      <c r="O35" s="270"/>
      <c r="Q35" s="28"/>
      <c r="S35" s="18">
        <v>0</v>
      </c>
      <c r="U35" s="18">
        <f t="shared" si="4"/>
        <v>384.36817733660075</v>
      </c>
      <c r="W35" s="18">
        <f t="shared" si="5"/>
        <v>-384.36817733660075</v>
      </c>
      <c r="Y35" s="271">
        <f t="shared" si="6"/>
        <v>-41.601126360201327</v>
      </c>
      <c r="Z35" s="235"/>
      <c r="AB35" s="146">
        <f>+IF(AB34&gt;$G$13+$G$14,XX,AB34+1)</f>
        <v>2006</v>
      </c>
      <c r="AC35" s="117"/>
      <c r="AD35" s="151">
        <f t="shared" si="0"/>
        <v>9239.3694826569736</v>
      </c>
      <c r="AF35" s="154">
        <f t="shared" si="16"/>
        <v>59.398931176757792</v>
      </c>
      <c r="AH35" s="154">
        <f t="shared" si="17"/>
        <v>7.2890381058114011</v>
      </c>
      <c r="AJ35" s="154">
        <f t="shared" si="18"/>
        <v>1.7027882466941642</v>
      </c>
      <c r="AL35" s="153">
        <f t="shared" si="7"/>
        <v>106.89290717664346</v>
      </c>
      <c r="AN35" s="154">
        <f>INDEX('(2.2)_Forward_Price_Curve'!$G:$G,MATCH($AB35,'(2.2)_Forward_Price_Curve'!$C:$C,0),1)</f>
        <v>4</v>
      </c>
      <c r="AP35" s="154">
        <f t="shared" si="8"/>
        <v>28.654963165075035</v>
      </c>
      <c r="AR35" s="154">
        <f t="shared" si="19"/>
        <v>3.4760750595981076</v>
      </c>
      <c r="AS35" s="154"/>
      <c r="AT35" s="153">
        <f t="shared" si="1"/>
        <v>87.497643317471073</v>
      </c>
      <c r="AV35" s="153">
        <f t="shared" si="2"/>
        <v>296.87053401912971</v>
      </c>
      <c r="AW35" s="273"/>
      <c r="AX35" s="155">
        <f t="shared" si="9"/>
        <v>384.36817733660075</v>
      </c>
      <c r="AZ35" s="146">
        <f>+IF(AZ34&gt;$G$13+$G$14,XX,AZ34+1)</f>
        <v>2006</v>
      </c>
      <c r="BA35" s="117"/>
      <c r="BB35" s="154">
        <f t="shared" si="20"/>
        <v>51.022426293671856</v>
      </c>
      <c r="BD35" s="154">
        <f t="shared" si="21"/>
        <v>11.093319550781247</v>
      </c>
      <c r="BF35" s="153">
        <f t="shared" si="10"/>
        <v>19.395263859172395</v>
      </c>
      <c r="BH35" s="157"/>
    </row>
    <row r="36" spans="2:60" ht="12">
      <c r="B36" s="2"/>
      <c r="C36">
        <f>+IF(C35&gt;$G$13+$G$14,XX,C35+1)</f>
        <v>2007</v>
      </c>
      <c r="E36" s="169">
        <f t="shared" si="11"/>
        <v>2.5000000000000001E-2</v>
      </c>
      <c r="G36" s="18">
        <f t="shared" si="12"/>
        <v>9239.3694826569736</v>
      </c>
      <c r="I36" s="28">
        <f t="shared" si="13"/>
        <v>388.36592358128621</v>
      </c>
      <c r="K36" s="28">
        <f t="shared" si="14"/>
        <v>0</v>
      </c>
      <c r="M36" s="28">
        <f t="shared" si="15"/>
        <v>0</v>
      </c>
      <c r="O36" s="270"/>
      <c r="Q36" s="28"/>
      <c r="S36" s="18">
        <v>0</v>
      </c>
      <c r="U36" s="18">
        <f t="shared" si="4"/>
        <v>401.91999553583747</v>
      </c>
      <c r="W36" s="18">
        <f t="shared" si="5"/>
        <v>-401.91999553583747</v>
      </c>
      <c r="Y36" s="271">
        <f t="shared" si="6"/>
        <v>-43.500803414158625</v>
      </c>
      <c r="Z36" s="235"/>
      <c r="AB36" s="146">
        <f>+IF(AB35&gt;$G$13+$G$14,XX,AB35+1)</f>
        <v>2007</v>
      </c>
      <c r="AC36" s="117"/>
      <c r="AD36" s="151">
        <f t="shared" si="0"/>
        <v>9239.3694826569736</v>
      </c>
      <c r="AF36" s="154">
        <f t="shared" si="16"/>
        <v>60.88390445617673</v>
      </c>
      <c r="AH36" s="154">
        <f t="shared" si="17"/>
        <v>7.4712640584566854</v>
      </c>
      <c r="AJ36" s="154">
        <f t="shared" si="18"/>
        <v>1.7453579528615182</v>
      </c>
      <c r="AL36" s="153">
        <f t="shared" si="7"/>
        <v>109.56522985605953</v>
      </c>
      <c r="AN36" s="154">
        <f>INDEX('(2.2)_Forward_Price_Curve'!$G:$G,MATCH($AB36,'(2.2)_Forward_Price_Curve'!$C:$C,0),1)</f>
        <v>4.22</v>
      </c>
      <c r="AP36" s="154">
        <f t="shared" si="8"/>
        <v>30.230986139154162</v>
      </c>
      <c r="AR36" s="154">
        <f t="shared" si="19"/>
        <v>3.5629769360880599</v>
      </c>
      <c r="AS36" s="154"/>
      <c r="AT36" s="153">
        <f t="shared" si="1"/>
        <v>89.685084400407831</v>
      </c>
      <c r="AV36" s="153">
        <f t="shared" si="2"/>
        <v>312.23491113542963</v>
      </c>
      <c r="AW36" s="273"/>
      <c r="AX36" s="155">
        <f t="shared" si="9"/>
        <v>401.91999553583747</v>
      </c>
      <c r="AZ36" s="146">
        <f>+IF(AZ35&gt;$G$13+$G$14,XX,AZ35+1)</f>
        <v>2007</v>
      </c>
      <c r="BA36" s="117"/>
      <c r="BB36" s="154">
        <f t="shared" si="20"/>
        <v>52.297986951013648</v>
      </c>
      <c r="BD36" s="154">
        <f t="shared" si="21"/>
        <v>11.370652539550777</v>
      </c>
      <c r="BF36" s="153">
        <f t="shared" si="10"/>
        <v>19.880145455651704</v>
      </c>
      <c r="BH36" s="157"/>
    </row>
    <row r="37" spans="2:60" ht="12">
      <c r="B37" s="2"/>
      <c r="C37">
        <f>+IF(C36&gt;$G$13+$G$14,XX,C36+1)</f>
        <v>2008</v>
      </c>
      <c r="E37" s="169">
        <f t="shared" si="11"/>
        <v>2.5000000000000001E-2</v>
      </c>
      <c r="G37" s="18">
        <f t="shared" si="12"/>
        <v>9239.3694826569736</v>
      </c>
      <c r="I37" s="28">
        <f t="shared" si="13"/>
        <v>398.07507167081832</v>
      </c>
      <c r="K37" s="28">
        <f t="shared" si="14"/>
        <v>0</v>
      </c>
      <c r="M37" s="28">
        <f t="shared" si="15"/>
        <v>0</v>
      </c>
      <c r="O37" s="270"/>
      <c r="Q37" s="28"/>
      <c r="S37" s="18">
        <v>0</v>
      </c>
      <c r="U37" s="18">
        <f t="shared" si="4"/>
        <v>418.22280376481785</v>
      </c>
      <c r="W37" s="18">
        <f t="shared" si="5"/>
        <v>-418.22280376481785</v>
      </c>
      <c r="Y37" s="271">
        <f t="shared" si="6"/>
        <v>-45.265297004287476</v>
      </c>
      <c r="Z37" s="235"/>
      <c r="AB37" s="146">
        <f>+IF(AB36&gt;$G$13+$G$14,XX,AB36+1)</f>
        <v>2008</v>
      </c>
      <c r="AC37" s="117"/>
      <c r="AD37" s="151">
        <f t="shared" si="0"/>
        <v>9239.3694826569736</v>
      </c>
      <c r="AF37" s="154">
        <f t="shared" si="16"/>
        <v>62.406002067581142</v>
      </c>
      <c r="AH37" s="154">
        <f t="shared" si="17"/>
        <v>7.6580456599181019</v>
      </c>
      <c r="AJ37" s="154">
        <f t="shared" si="18"/>
        <v>1.788991901683056</v>
      </c>
      <c r="AL37" s="153">
        <f t="shared" si="7"/>
        <v>112.30436060246103</v>
      </c>
      <c r="AN37" s="154">
        <f>INDEX('(2.2)_Forward_Price_Curve'!$G:$G,MATCH($AB37,'(2.2)_Forward_Price_Curve'!$C:$C,0),1)</f>
        <v>4.42</v>
      </c>
      <c r="AP37" s="154">
        <f t="shared" si="8"/>
        <v>31.66373429740791</v>
      </c>
      <c r="AR37" s="154">
        <f t="shared" si="19"/>
        <v>3.6520513594902613</v>
      </c>
      <c r="AS37" s="154"/>
      <c r="AT37" s="153">
        <f t="shared" si="1"/>
        <v>91.927211510418033</v>
      </c>
      <c r="AV37" s="153">
        <f t="shared" si="2"/>
        <v>326.29559225439982</v>
      </c>
      <c r="AW37" s="273"/>
      <c r="AX37" s="155">
        <f t="shared" si="9"/>
        <v>418.22280376481785</v>
      </c>
      <c r="AZ37" s="146">
        <f>+IF(AZ36&gt;$G$13+$G$14,XX,AZ36+1)</f>
        <v>2008</v>
      </c>
      <c r="BA37" s="117"/>
      <c r="BB37" s="154">
        <f t="shared" si="20"/>
        <v>53.605436624788986</v>
      </c>
      <c r="BD37" s="154">
        <f t="shared" si="21"/>
        <v>11.654918853039545</v>
      </c>
      <c r="BF37" s="153">
        <f t="shared" si="10"/>
        <v>20.377149092042995</v>
      </c>
      <c r="BH37" s="157"/>
    </row>
    <row r="38" spans="2:60" ht="12">
      <c r="B38" s="2"/>
      <c r="C38">
        <f>+IF(C37&gt;$G$13+$G$14,XX,C37+1)</f>
        <v>2009</v>
      </c>
      <c r="E38" s="169">
        <f t="shared" si="11"/>
        <v>2.5000000000000001E-2</v>
      </c>
      <c r="G38" s="18">
        <f t="shared" si="12"/>
        <v>9239.3694826569736</v>
      </c>
      <c r="I38" s="28">
        <f t="shared" si="13"/>
        <v>408.02694846258873</v>
      </c>
      <c r="K38" s="28">
        <f t="shared" si="14"/>
        <v>0</v>
      </c>
      <c r="M38" s="28">
        <f t="shared" si="15"/>
        <v>0</v>
      </c>
      <c r="O38" s="270"/>
      <c r="Q38" s="28"/>
      <c r="S38" s="18">
        <v>0</v>
      </c>
      <c r="U38" s="18">
        <f t="shared" si="4"/>
        <v>412.76005210327077</v>
      </c>
      <c r="W38" s="18">
        <f t="shared" si="5"/>
        <v>-412.76005210327077</v>
      </c>
      <c r="Y38" s="271">
        <f t="shared" si="6"/>
        <v>-44.674049769094523</v>
      </c>
      <c r="Z38" s="235"/>
      <c r="AB38" s="146">
        <f>+IF(AB37&gt;$G$13+$G$14,XX,AB37+1)</f>
        <v>2009</v>
      </c>
      <c r="AC38" s="117"/>
      <c r="AD38" s="151">
        <f t="shared" si="0"/>
        <v>9239.3694826569736</v>
      </c>
      <c r="AF38" s="154">
        <f t="shared" si="16"/>
        <v>63.966152119270667</v>
      </c>
      <c r="AH38" s="154">
        <f t="shared" si="17"/>
        <v>7.8494968014160538</v>
      </c>
      <c r="AJ38" s="154">
        <f t="shared" si="18"/>
        <v>1.8337166992251321</v>
      </c>
      <c r="AL38" s="153">
        <f t="shared" si="7"/>
        <v>115.11196961752253</v>
      </c>
      <c r="AN38" s="154">
        <f>INDEX('(2.2)_Forward_Price_Curve'!$G:$G,MATCH($AB38,'(2.2)_Forward_Price_Curve'!$C:$C,0),1)</f>
        <v>4.29</v>
      </c>
      <c r="AP38" s="154">
        <f t="shared" si="8"/>
        <v>30.732447994542973</v>
      </c>
      <c r="AR38" s="154">
        <f t="shared" si="19"/>
        <v>3.7433526434775173</v>
      </c>
      <c r="AS38" s="154"/>
      <c r="AT38" s="153">
        <f t="shared" si="1"/>
        <v>94.225391798178464</v>
      </c>
      <c r="AV38" s="153">
        <f t="shared" si="2"/>
        <v>318.5346603050923</v>
      </c>
      <c r="AW38" s="273"/>
      <c r="AX38" s="155">
        <f t="shared" si="9"/>
        <v>412.76005210327077</v>
      </c>
      <c r="AZ38" s="146">
        <f>+IF(AZ37&gt;$G$13+$G$14,XX,AZ37+1)</f>
        <v>2009</v>
      </c>
      <c r="BA38" s="117"/>
      <c r="BB38" s="154">
        <f t="shared" si="20"/>
        <v>54.945572540408705</v>
      </c>
      <c r="BD38" s="154">
        <f t="shared" si="21"/>
        <v>11.946291824365533</v>
      </c>
      <c r="BF38" s="153">
        <f t="shared" si="10"/>
        <v>20.886577819344065</v>
      </c>
      <c r="BH38" s="157"/>
    </row>
    <row r="39" spans="2:60" ht="12">
      <c r="B39" s="2"/>
      <c r="C39">
        <f>+IF(C38&gt;$G$13+$G$14,XX,C38+1)</f>
        <v>2010</v>
      </c>
      <c r="E39" s="169">
        <f t="shared" si="11"/>
        <v>2.5000000000000001E-2</v>
      </c>
      <c r="G39" s="18">
        <f t="shared" si="12"/>
        <v>9239.3694826569736</v>
      </c>
      <c r="I39" s="28">
        <f t="shared" si="13"/>
        <v>418.2276221741534</v>
      </c>
      <c r="K39" s="28">
        <f t="shared" si="14"/>
        <v>0</v>
      </c>
      <c r="M39" s="28">
        <f t="shared" si="15"/>
        <v>0</v>
      </c>
      <c r="O39" s="270"/>
      <c r="Q39" s="28"/>
      <c r="S39" s="18">
        <v>0</v>
      </c>
      <c r="U39" s="18">
        <f t="shared" si="4"/>
        <v>381.56234936742248</v>
      </c>
      <c r="W39" s="18">
        <f t="shared" si="5"/>
        <v>-381.56234936742248</v>
      </c>
      <c r="Y39" s="271">
        <f t="shared" si="6"/>
        <v>-41.297444601998556</v>
      </c>
      <c r="Z39" s="235"/>
      <c r="AB39" s="146">
        <f>+IF(AB38&gt;$G$13+$G$14,XX,AB38+1)</f>
        <v>2010</v>
      </c>
      <c r="AC39" s="117"/>
      <c r="AD39" s="151">
        <f t="shared" si="0"/>
        <v>9239.3694826569736</v>
      </c>
      <c r="AF39" s="154">
        <f t="shared" si="16"/>
        <v>65.565305922252435</v>
      </c>
      <c r="AH39" s="154">
        <f t="shared" si="17"/>
        <v>8.045734221451454</v>
      </c>
      <c r="AJ39" s="154">
        <f t="shared" si="18"/>
        <v>1.8795596167057602</v>
      </c>
      <c r="AL39" s="153">
        <f t="shared" si="7"/>
        <v>117.98976885796058</v>
      </c>
      <c r="AN39" s="154">
        <f>INDEX('(2.2)_Forward_Price_Curve'!$G:$G,MATCH($AB39,'(2.2)_Forward_Price_Curve'!$C:$C,0),1)</f>
        <v>3.77</v>
      </c>
      <c r="AP39" s="154">
        <f t="shared" si="8"/>
        <v>27.007302783083222</v>
      </c>
      <c r="AR39" s="154">
        <f t="shared" si="19"/>
        <v>3.8369364595644551</v>
      </c>
      <c r="AS39" s="154"/>
      <c r="AT39" s="153">
        <f t="shared" si="1"/>
        <v>96.581026593132918</v>
      </c>
      <c r="AV39" s="153">
        <f t="shared" si="2"/>
        <v>284.98132277428959</v>
      </c>
      <c r="AW39" s="273"/>
      <c r="AX39" s="155">
        <f t="shared" si="9"/>
        <v>381.56234936742248</v>
      </c>
      <c r="AZ39" s="146">
        <f>+IF(AZ38&gt;$G$13+$G$14,XX,AZ38+1)</f>
        <v>2010</v>
      </c>
      <c r="BA39" s="117"/>
      <c r="BB39" s="154">
        <f t="shared" si="20"/>
        <v>56.319211853918915</v>
      </c>
      <c r="BD39" s="154">
        <f t="shared" si="21"/>
        <v>12.24494911997467</v>
      </c>
      <c r="BF39" s="153">
        <f t="shared" si="10"/>
        <v>21.408742264827669</v>
      </c>
      <c r="BH39" s="157"/>
    </row>
    <row r="40" spans="2:60" ht="12">
      <c r="B40" s="2"/>
      <c r="C40">
        <f>+IF(C39&gt;$G$13+$G$14,XX,C39+1)</f>
        <v>2011</v>
      </c>
      <c r="E40" s="169">
        <f t="shared" si="11"/>
        <v>2.5000000000000001E-2</v>
      </c>
      <c r="G40" s="18">
        <f t="shared" si="12"/>
        <v>9239.3694826569736</v>
      </c>
      <c r="I40" s="28">
        <f t="shared" si="13"/>
        <v>428.68331272850719</v>
      </c>
      <c r="K40" s="28">
        <f t="shared" si="14"/>
        <v>0</v>
      </c>
      <c r="M40" s="28">
        <f t="shared" si="15"/>
        <v>0</v>
      </c>
      <c r="O40" s="270"/>
      <c r="Q40" s="28"/>
      <c r="S40" s="18">
        <v>0</v>
      </c>
      <c r="U40" s="18">
        <f t="shared" si="4"/>
        <v>394.12952959982755</v>
      </c>
      <c r="W40" s="18">
        <f t="shared" si="5"/>
        <v>-394.12952959982755</v>
      </c>
      <c r="Y40" s="271">
        <f t="shared" si="6"/>
        <v>-42.657621858249072</v>
      </c>
      <c r="Z40" s="235"/>
      <c r="AB40" s="146">
        <f>+IF(AB39&gt;$G$13+$G$14,XX,AB39+1)</f>
        <v>2011</v>
      </c>
      <c r="AC40" s="117"/>
      <c r="AD40" s="151">
        <f t="shared" si="0"/>
        <v>9239.3694826569736</v>
      </c>
      <c r="AF40" s="154">
        <f t="shared" si="16"/>
        <v>67.204438570308739</v>
      </c>
      <c r="AH40" s="154">
        <f t="shared" si="17"/>
        <v>8.2468775769877389</v>
      </c>
      <c r="AJ40" s="154">
        <f t="shared" si="18"/>
        <v>1.9265486071234041</v>
      </c>
      <c r="AL40" s="153">
        <f t="shared" si="7"/>
        <v>120.93951307940961</v>
      </c>
      <c r="AN40" s="154">
        <f>INDEX('(2.2)_Forward_Price_Curve'!$G:$G,MATCH($AB40,'(2.2)_Forward_Price_Curve'!$C:$C,0),1)</f>
        <v>3.91</v>
      </c>
      <c r="AP40" s="154">
        <f t="shared" si="8"/>
        <v>28.010226493860845</v>
      </c>
      <c r="AR40" s="154">
        <f t="shared" si="19"/>
        <v>3.9328598710535663</v>
      </c>
      <c r="AS40" s="154"/>
      <c r="AT40" s="153">
        <f t="shared" si="1"/>
        <v>98.995552257961251</v>
      </c>
      <c r="AV40" s="153">
        <f t="shared" si="2"/>
        <v>295.13397734186628</v>
      </c>
      <c r="AW40" s="273"/>
      <c r="AX40" s="155">
        <f t="shared" si="9"/>
        <v>394.12952959982755</v>
      </c>
      <c r="AZ40" s="146">
        <f>+IF(AZ39&gt;$G$13+$G$14,XX,AZ39+1)</f>
        <v>2011</v>
      </c>
      <c r="BA40" s="117"/>
      <c r="BB40" s="154">
        <f t="shared" si="20"/>
        <v>57.72719215026688</v>
      </c>
      <c r="BD40" s="154">
        <f t="shared" si="21"/>
        <v>12.551072847974035</v>
      </c>
      <c r="BF40" s="153">
        <f t="shared" si="10"/>
        <v>21.943960821448353</v>
      </c>
      <c r="BH40" s="157"/>
    </row>
    <row r="41" spans="2:60" ht="12">
      <c r="B41" s="2"/>
      <c r="C41">
        <f>+IF(C40&gt;$G$13+$G$14,XX,C40+1)</f>
        <v>2012</v>
      </c>
      <c r="E41" s="169">
        <f t="shared" si="11"/>
        <v>2.5000000000000001E-2</v>
      </c>
      <c r="G41" s="18">
        <f t="shared" si="12"/>
        <v>9239.3694826569736</v>
      </c>
      <c r="I41" s="28">
        <f t="shared" si="13"/>
        <v>439.40039554671984</v>
      </c>
      <c r="K41" s="28">
        <f t="shared" si="14"/>
        <v>0</v>
      </c>
      <c r="M41" s="28">
        <f t="shared" si="15"/>
        <v>0</v>
      </c>
      <c r="O41" s="270"/>
      <c r="Q41" s="28"/>
      <c r="S41" s="18">
        <v>0</v>
      </c>
      <c r="U41" s="18">
        <f t="shared" si="4"/>
        <v>429.94518658685274</v>
      </c>
      <c r="W41" s="18">
        <f t="shared" si="5"/>
        <v>-429.94518658685274</v>
      </c>
      <c r="Y41" s="271">
        <f t="shared" si="6"/>
        <v>-46.534039730080487</v>
      </c>
      <c r="Z41" s="235"/>
      <c r="AB41" s="146">
        <f>+IF(AB40&gt;$G$13+$G$14,XX,AB40+1)</f>
        <v>2012</v>
      </c>
      <c r="AC41" s="117"/>
      <c r="AD41" s="151">
        <f t="shared" si="0"/>
        <v>9239.3694826569736</v>
      </c>
      <c r="AF41" s="154">
        <f t="shared" si="16"/>
        <v>68.884549534566446</v>
      </c>
      <c r="AH41" s="154">
        <f t="shared" si="17"/>
        <v>8.4530495164124311</v>
      </c>
      <c r="AJ41" s="154">
        <f t="shared" si="18"/>
        <v>1.9747123223014891</v>
      </c>
      <c r="AL41" s="153">
        <f t="shared" si="7"/>
        <v>123.96300090639483</v>
      </c>
      <c r="AN41" s="154">
        <f>INDEX('(2.2)_Forward_Price_Curve'!$G:$G,MATCH($AB41,'(2.2)_Forward_Price_Curve'!$C:$C,0),1)</f>
        <v>4.4000000000000004</v>
      </c>
      <c r="AP41" s="154">
        <f t="shared" si="8"/>
        <v>31.520459481582542</v>
      </c>
      <c r="AR41" s="154">
        <f t="shared" si="19"/>
        <v>4.0311813678299053</v>
      </c>
      <c r="AS41" s="154"/>
      <c r="AT41" s="153">
        <f t="shared" si="1"/>
        <v>101.47044106441027</v>
      </c>
      <c r="AV41" s="153">
        <f t="shared" si="2"/>
        <v>328.47474552244245</v>
      </c>
      <c r="AW41" s="273"/>
      <c r="AX41" s="155">
        <f t="shared" si="9"/>
        <v>429.94518658685274</v>
      </c>
      <c r="AZ41" s="146">
        <f>+IF(AZ40&gt;$G$13+$G$14,XX,AZ40+1)</f>
        <v>2012</v>
      </c>
      <c r="BA41" s="117"/>
      <c r="BB41" s="154">
        <f t="shared" si="20"/>
        <v>59.170371954023544</v>
      </c>
      <c r="BD41" s="154">
        <f t="shared" si="21"/>
        <v>12.864849669173385</v>
      </c>
      <c r="BF41" s="153">
        <f t="shared" si="10"/>
        <v>22.492559841984562</v>
      </c>
      <c r="BH41" s="157"/>
    </row>
    <row r="42" spans="2:60" ht="12">
      <c r="B42" s="2"/>
      <c r="C42">
        <f>+IF(C41&gt;$G$13+$G$14,XX,C41+1)</f>
        <v>2013</v>
      </c>
      <c r="E42" s="169">
        <f t="shared" si="11"/>
        <v>2.5000000000000001E-2</v>
      </c>
      <c r="G42" s="18">
        <f t="shared" si="12"/>
        <v>9239.3694826569736</v>
      </c>
      <c r="I42" s="28">
        <f t="shared" si="13"/>
        <v>450.38540543538778</v>
      </c>
      <c r="K42" s="28">
        <f t="shared" si="14"/>
        <v>0</v>
      </c>
      <c r="M42" s="28">
        <f t="shared" si="15"/>
        <v>0</v>
      </c>
      <c r="O42" s="270"/>
      <c r="Q42" s="28"/>
      <c r="S42" s="18">
        <v>0</v>
      </c>
      <c r="U42" s="18">
        <f t="shared" si="4"/>
        <v>449.29831449783075</v>
      </c>
      <c r="W42" s="18">
        <f t="shared" si="5"/>
        <v>-449.29831449783075</v>
      </c>
      <c r="Y42" s="271">
        <f t="shared" si="6"/>
        <v>-48.628677026197423</v>
      </c>
      <c r="Z42" s="235"/>
      <c r="AB42" s="146">
        <f>+IF(AB41&gt;$G$13+$G$14,XX,AB41+1)</f>
        <v>2013</v>
      </c>
      <c r="AC42" s="117"/>
      <c r="AD42" s="151">
        <f t="shared" si="0"/>
        <v>9239.3694826569736</v>
      </c>
      <c r="AF42" s="154">
        <f t="shared" si="16"/>
        <v>70.606663272930604</v>
      </c>
      <c r="AH42" s="154">
        <f t="shared" si="17"/>
        <v>8.6643757543227409</v>
      </c>
      <c r="AJ42" s="154">
        <f t="shared" si="18"/>
        <v>2.0240801303590263</v>
      </c>
      <c r="AL42" s="153">
        <f t="shared" si="7"/>
        <v>127.0620759290547</v>
      </c>
      <c r="AN42" s="154">
        <f>INDEX('(2.2)_Forward_Price_Curve'!$G:$G,MATCH($AB42,'(2.2)_Forward_Price_Curve'!$C:$C,0),1)</f>
        <v>4.6399999999999997</v>
      </c>
      <c r="AP42" s="154">
        <f t="shared" si="8"/>
        <v>33.239757271487044</v>
      </c>
      <c r="AR42" s="154">
        <f t="shared" si="19"/>
        <v>4.1319609020256527</v>
      </c>
      <c r="AS42" s="154"/>
      <c r="AT42" s="153">
        <f t="shared" si="1"/>
        <v>104.00720209102053</v>
      </c>
      <c r="AV42" s="153">
        <f t="shared" si="2"/>
        <v>345.29111240681021</v>
      </c>
      <c r="AW42" s="273"/>
      <c r="AX42" s="155">
        <f t="shared" si="9"/>
        <v>449.29831449783075</v>
      </c>
      <c r="AZ42" s="146">
        <f>+IF(AZ41&gt;$G$13+$G$14,XX,AZ41+1)</f>
        <v>2013</v>
      </c>
      <c r="BA42" s="117"/>
      <c r="BB42" s="154">
        <f t="shared" si="20"/>
        <v>60.64963125287413</v>
      </c>
      <c r="BD42" s="154">
        <f t="shared" si="21"/>
        <v>13.186470910902719</v>
      </c>
      <c r="BF42" s="153">
        <f t="shared" si="10"/>
        <v>23.054873838034172</v>
      </c>
      <c r="BH42" s="157"/>
    </row>
    <row r="43" spans="2:60" ht="12">
      <c r="B43" s="2"/>
      <c r="C43">
        <f>+IF(C42&gt;$G$13+$G$14,XX,C42+1)</f>
        <v>2014</v>
      </c>
      <c r="E43" s="169">
        <f t="shared" si="11"/>
        <v>2.5000000000000001E-2</v>
      </c>
      <c r="G43" s="18">
        <f t="shared" si="12"/>
        <v>9239.3694826569736</v>
      </c>
      <c r="I43" s="28">
        <f t="shared" si="13"/>
        <v>461.64504057127243</v>
      </c>
      <c r="K43" s="28">
        <f t="shared" si="14"/>
        <v>0</v>
      </c>
      <c r="M43" s="28">
        <f t="shared" si="15"/>
        <v>0</v>
      </c>
      <c r="O43" s="270"/>
      <c r="Q43" s="28"/>
      <c r="S43" s="18">
        <v>0</v>
      </c>
      <c r="U43" s="18">
        <f t="shared" si="4"/>
        <v>440.27710725743134</v>
      </c>
      <c r="W43" s="18">
        <f t="shared" si="5"/>
        <v>-440.27710725743134</v>
      </c>
      <c r="Y43" s="271">
        <f t="shared" si="6"/>
        <v>-47.652289269724115</v>
      </c>
      <c r="Z43" s="235"/>
      <c r="AB43" s="146">
        <f>+IF(AB42&gt;$G$13+$G$14,XX,AB42+1)</f>
        <v>2014</v>
      </c>
      <c r="AC43" s="117"/>
      <c r="AD43" s="151">
        <f t="shared" si="0"/>
        <v>9239.3694826569736</v>
      </c>
      <c r="AF43" s="154">
        <f t="shared" si="16"/>
        <v>72.371829854753869</v>
      </c>
      <c r="AH43" s="154">
        <f t="shared" si="17"/>
        <v>8.8809851481808089</v>
      </c>
      <c r="AJ43" s="154">
        <f t="shared" si="18"/>
        <v>2.0746821336180017</v>
      </c>
      <c r="AL43" s="153">
        <f t="shared" si="7"/>
        <v>130.23862782728105</v>
      </c>
      <c r="AN43" s="154">
        <f>INDEX('(2.2)_Forward_Price_Curve'!$G:$G,MATCH($AB43,'(2.2)_Forward_Price_Curve'!$C:$C,0),1)</f>
        <v>4.45</v>
      </c>
      <c r="AP43" s="154">
        <f t="shared" si="8"/>
        <v>31.878646521145978</v>
      </c>
      <c r="AR43" s="154">
        <f t="shared" si="19"/>
        <v>4.2352599245762939</v>
      </c>
      <c r="AS43" s="154"/>
      <c r="AT43" s="153">
        <f t="shared" si="1"/>
        <v>106.60738214329602</v>
      </c>
      <c r="AV43" s="153">
        <f t="shared" si="2"/>
        <v>333.6697251141353</v>
      </c>
      <c r="AW43" s="273"/>
      <c r="AX43" s="155">
        <f t="shared" si="9"/>
        <v>440.27710725743134</v>
      </c>
      <c r="AZ43" s="146">
        <f>+IF(AZ42&gt;$G$13+$G$14,XX,AZ42+1)</f>
        <v>2014</v>
      </c>
      <c r="BA43" s="117"/>
      <c r="BB43" s="154">
        <f t="shared" si="20"/>
        <v>62.165872034195978</v>
      </c>
      <c r="BD43" s="154">
        <f t="shared" si="21"/>
        <v>13.516132683675286</v>
      </c>
      <c r="BF43" s="153">
        <f t="shared" si="10"/>
        <v>23.631245683985028</v>
      </c>
      <c r="BH43" s="157"/>
    </row>
    <row r="44" spans="2:60" ht="12">
      <c r="B44" s="2"/>
      <c r="C44">
        <f>+IF(C43&gt;$G$13+$G$14,XX,C43+1)</f>
        <v>2015</v>
      </c>
      <c r="E44" s="169">
        <f t="shared" si="11"/>
        <v>2.5000000000000001E-2</v>
      </c>
      <c r="G44" s="18">
        <f t="shared" si="12"/>
        <v>9239.3694826569736</v>
      </c>
      <c r="I44" s="28">
        <f t="shared" si="13"/>
        <v>473.18616658555419</v>
      </c>
      <c r="K44" s="28">
        <f t="shared" si="14"/>
        <v>0</v>
      </c>
      <c r="M44" s="28">
        <f t="shared" si="15"/>
        <v>0</v>
      </c>
      <c r="O44" s="270"/>
      <c r="Q44" s="28"/>
      <c r="S44" s="18">
        <v>0</v>
      </c>
      <c r="U44" s="18">
        <f t="shared" si="4"/>
        <v>472.38160275433074</v>
      </c>
      <c r="W44" s="18">
        <f t="shared" si="5"/>
        <v>-472.38160275433074</v>
      </c>
      <c r="Y44" s="271">
        <f t="shared" si="6"/>
        <v>-51.127038878684125</v>
      </c>
      <c r="Z44" s="235"/>
      <c r="AB44" s="146">
        <f>+IF(AB43&gt;$G$13+$G$14,XX,AB43+1)</f>
        <v>2015</v>
      </c>
      <c r="AC44" s="117"/>
      <c r="AD44" s="151">
        <f t="shared" si="0"/>
        <v>9239.3694826569736</v>
      </c>
      <c r="AF44" s="154">
        <f t="shared" si="16"/>
        <v>74.181125601122716</v>
      </c>
      <c r="AH44" s="154">
        <f t="shared" si="17"/>
        <v>9.1030097768853278</v>
      </c>
      <c r="AJ44" s="154">
        <f t="shared" si="18"/>
        <v>2.1265491869584516</v>
      </c>
      <c r="AL44" s="153">
        <f t="shared" si="7"/>
        <v>133.49459352296307</v>
      </c>
      <c r="AN44" s="154">
        <f>INDEX('(2.2)_Forward_Price_Curve'!$G:$G,MATCH($AB44,'(2.2)_Forward_Price_Curve'!$C:$C,0),1)</f>
        <v>4.88</v>
      </c>
      <c r="AP44" s="154">
        <f t="shared" si="8"/>
        <v>34.959055061391538</v>
      </c>
      <c r="AR44" s="154">
        <f t="shared" si="19"/>
        <v>4.3411414226907006</v>
      </c>
      <c r="AS44" s="154"/>
      <c r="AT44" s="153">
        <f t="shared" si="1"/>
        <v>109.27256669687843</v>
      </c>
      <c r="AV44" s="153">
        <f t="shared" si="2"/>
        <v>363.10903605745233</v>
      </c>
      <c r="AW44" s="273"/>
      <c r="AX44" s="155">
        <f t="shared" si="9"/>
        <v>472.38160275433074</v>
      </c>
      <c r="AZ44" s="146">
        <f>+IF(AZ43&gt;$G$13+$G$14,XX,AZ43+1)</f>
        <v>2015</v>
      </c>
      <c r="BA44" s="117"/>
      <c r="BB44" s="154">
        <f t="shared" si="20"/>
        <v>63.720018835050872</v>
      </c>
      <c r="BD44" s="154">
        <f t="shared" si="21"/>
        <v>13.854036000767167</v>
      </c>
      <c r="BF44" s="153">
        <f t="shared" si="10"/>
        <v>24.222026826084647</v>
      </c>
      <c r="BH44" s="157"/>
    </row>
    <row r="45" spans="2:60" ht="12">
      <c r="B45" s="2"/>
      <c r="C45">
        <f>+IF(C44&gt;$G$13+$G$14,XX,C44+1)</f>
        <v>2016</v>
      </c>
      <c r="E45" s="169">
        <f t="shared" si="11"/>
        <v>2.5000000000000001E-2</v>
      </c>
      <c r="G45" s="18">
        <f t="shared" si="12"/>
        <v>9239.3694826569736</v>
      </c>
      <c r="I45" s="28">
        <f t="shared" si="13"/>
        <v>485.01582075019303</v>
      </c>
      <c r="K45" s="28">
        <f t="shared" si="14"/>
        <v>0</v>
      </c>
      <c r="M45" s="28">
        <f t="shared" si="15"/>
        <v>0</v>
      </c>
      <c r="O45" s="270"/>
      <c r="Q45" s="28"/>
      <c r="S45" s="18">
        <v>0</v>
      </c>
      <c r="U45" s="18">
        <f t="shared" si="4"/>
        <v>490.67761073194328</v>
      </c>
      <c r="W45" s="18">
        <f t="shared" si="5"/>
        <v>-490.67761073194328</v>
      </c>
      <c r="Y45" s="271">
        <f t="shared" si="6"/>
        <v>-53.107261448195565</v>
      </c>
      <c r="Z45" s="235"/>
      <c r="AB45" s="146">
        <f>+IF(AB44&gt;$G$13+$G$14,XX,AB44+1)</f>
        <v>2016</v>
      </c>
      <c r="AC45" s="117"/>
      <c r="AD45" s="151">
        <f t="shared" si="0"/>
        <v>9239.3694826569736</v>
      </c>
      <c r="AF45" s="154">
        <f t="shared" si="16"/>
        <v>76.035653741150782</v>
      </c>
      <c r="AH45" s="154">
        <f t="shared" si="17"/>
        <v>9.3305850213074599</v>
      </c>
      <c r="AJ45" s="154">
        <f t="shared" si="18"/>
        <v>2.1797129166324125</v>
      </c>
      <c r="AL45" s="153">
        <f t="shared" si="7"/>
        <v>136.83195836103712</v>
      </c>
      <c r="AN45" s="154">
        <f>INDEX('(2.2)_Forward_Price_Curve'!$G:$G,MATCH($AB45,'(2.2)_Forward_Price_Curve'!$C:$C,0),1)</f>
        <v>5.0999999999999996</v>
      </c>
      <c r="AP45" s="154">
        <f t="shared" si="8"/>
        <v>36.535078035470669</v>
      </c>
      <c r="AR45" s="154">
        <f t="shared" si="19"/>
        <v>4.4496699582579673</v>
      </c>
      <c r="AS45" s="154"/>
      <c r="AT45" s="153">
        <f t="shared" si="1"/>
        <v>112.00438086430036</v>
      </c>
      <c r="AV45" s="153">
        <f t="shared" si="2"/>
        <v>378.67322986764293</v>
      </c>
      <c r="AW45" s="273"/>
      <c r="AX45" s="155">
        <f t="shared" si="9"/>
        <v>490.67761073194328</v>
      </c>
      <c r="AZ45" s="146">
        <f>+IF(AZ44&gt;$G$13+$G$14,XX,AZ44+1)</f>
        <v>2016</v>
      </c>
      <c r="BA45" s="117"/>
      <c r="BB45" s="154">
        <f t="shared" si="20"/>
        <v>65.313019305927142</v>
      </c>
      <c r="BD45" s="154">
        <f t="shared" si="21"/>
        <v>14.200386900786345</v>
      </c>
      <c r="BF45" s="153">
        <f t="shared" si="10"/>
        <v>24.827577496736765</v>
      </c>
      <c r="BH45" s="157"/>
    </row>
    <row r="46" spans="2:60" ht="12">
      <c r="B46" s="2"/>
      <c r="C46">
        <f>+IF(C45&gt;$G$13+$G$14,XX,C45+1)</f>
        <v>2017</v>
      </c>
      <c r="E46" s="169">
        <f t="shared" si="11"/>
        <v>2.5000000000000001E-2</v>
      </c>
      <c r="G46" s="18">
        <f t="shared" si="12"/>
        <v>9239.3694826569736</v>
      </c>
      <c r="I46" s="28">
        <f t="shared" si="13"/>
        <v>497.1412162689478</v>
      </c>
      <c r="K46" s="28">
        <f t="shared" si="14"/>
        <v>0</v>
      </c>
      <c r="M46" s="28">
        <f t="shared" si="15"/>
        <v>0</v>
      </c>
      <c r="O46" s="270"/>
      <c r="Q46" s="28"/>
      <c r="S46" s="18">
        <v>0</v>
      </c>
      <c r="U46" s="18">
        <f t="shared" si="4"/>
        <v>502.44813763987804</v>
      </c>
      <c r="W46" s="18">
        <f t="shared" si="5"/>
        <v>-502.44813763987804</v>
      </c>
      <c r="Y46" s="271">
        <f t="shared" si="6"/>
        <v>-54.381214928465937</v>
      </c>
      <c r="Z46" s="235"/>
      <c r="AB46" s="146">
        <f>+IF(AB45&gt;$G$13+$G$14,XX,AB45+1)</f>
        <v>2017</v>
      </c>
      <c r="AC46" s="117"/>
      <c r="AD46" s="151">
        <f t="shared" si="0"/>
        <v>9239.3694826569736</v>
      </c>
      <c r="AF46" s="154">
        <f t="shared" si="16"/>
        <v>77.936545084679551</v>
      </c>
      <c r="AH46" s="154">
        <f t="shared" si="17"/>
        <v>9.5638496468401453</v>
      </c>
      <c r="AJ46" s="154">
        <f t="shared" si="18"/>
        <v>2.2342057395482224</v>
      </c>
      <c r="AL46" s="153">
        <f t="shared" si="7"/>
        <v>140.25275732006307</v>
      </c>
      <c r="AN46" s="154">
        <f>INDEX('(2.2)_Forward_Price_Curve'!$G:$G,MATCH($AB46,'(2.2)_Forward_Price_Curve'!$C:$C,0),1)</f>
        <v>5.22</v>
      </c>
      <c r="AP46" s="154">
        <f t="shared" si="8"/>
        <v>37.39472693042292</v>
      </c>
      <c r="AR46" s="154">
        <f t="shared" si="19"/>
        <v>4.5609117072144159</v>
      </c>
      <c r="AS46" s="154"/>
      <c r="AT46" s="153">
        <f t="shared" si="1"/>
        <v>114.80449038590788</v>
      </c>
      <c r="AV46" s="153">
        <f t="shared" si="2"/>
        <v>387.64364725397019</v>
      </c>
      <c r="AW46" s="273"/>
      <c r="AX46" s="155">
        <f t="shared" si="9"/>
        <v>502.44813763987804</v>
      </c>
      <c r="AZ46" s="146">
        <f>+IF(AZ45&gt;$G$13+$G$14,XX,AZ45+1)</f>
        <v>2017</v>
      </c>
      <c r="BA46" s="117"/>
      <c r="BB46" s="154">
        <f t="shared" si="20"/>
        <v>66.945844788575315</v>
      </c>
      <c r="BD46" s="154">
        <f t="shared" si="21"/>
        <v>14.555396573306002</v>
      </c>
      <c r="BF46" s="153">
        <f t="shared" si="10"/>
        <v>25.448266934155182</v>
      </c>
      <c r="BH46" s="157"/>
    </row>
    <row r="47" spans="2:60" ht="12">
      <c r="B47" s="2"/>
      <c r="C47">
        <f>+IF(C46&gt;$G$13+$G$14,XX,C46+1)</f>
        <v>2018</v>
      </c>
      <c r="E47" s="169">
        <f t="shared" si="11"/>
        <v>2.5000000000000001E-2</v>
      </c>
      <c r="G47" s="18">
        <f t="shared" si="12"/>
        <v>9239.3694826569736</v>
      </c>
      <c r="I47" s="28">
        <f t="shared" si="13"/>
        <v>509.56974667567147</v>
      </c>
      <c r="K47" s="28">
        <f t="shared" si="14"/>
        <v>0</v>
      </c>
      <c r="M47" s="28">
        <f t="shared" si="15"/>
        <v>0</v>
      </c>
      <c r="O47" s="270"/>
      <c r="Q47" s="28"/>
      <c r="S47" s="18">
        <v>0</v>
      </c>
      <c r="U47" s="18">
        <f t="shared" si="4"/>
        <v>514.31436237636558</v>
      </c>
      <c r="W47" s="18">
        <f t="shared" si="5"/>
        <v>-514.31436237636558</v>
      </c>
      <c r="Y47" s="271">
        <f t="shared" si="6"/>
        <v>-55.665526023369267</v>
      </c>
      <c r="Z47" s="235"/>
      <c r="AB47" s="146">
        <f>+IF(AB46&gt;$G$13+$G$14,XX,AB46+1)</f>
        <v>2018</v>
      </c>
      <c r="AC47" s="117"/>
      <c r="AD47" s="151">
        <f t="shared" si="0"/>
        <v>9239.3694826569736</v>
      </c>
      <c r="AF47" s="154">
        <f t="shared" si="16"/>
        <v>79.884958711796529</v>
      </c>
      <c r="AH47" s="154">
        <f t="shared" si="17"/>
        <v>9.8029458880111484</v>
      </c>
      <c r="AJ47" s="154">
        <f t="shared" si="18"/>
        <v>2.290060883036928</v>
      </c>
      <c r="AL47" s="153">
        <f t="shared" si="7"/>
        <v>143.75907625306465</v>
      </c>
      <c r="AN47" s="154">
        <f>INDEX('(2.2)_Forward_Price_Curve'!$G:$G,MATCH($AB47,'(2.2)_Forward_Price_Curve'!$C:$C,0),1)</f>
        <v>5.34</v>
      </c>
      <c r="AP47" s="154">
        <f t="shared" si="8"/>
        <v>38.25437582537517</v>
      </c>
      <c r="AR47" s="154">
        <f t="shared" si="19"/>
        <v>4.6749344998947757</v>
      </c>
      <c r="AS47" s="154"/>
      <c r="AT47" s="153">
        <f t="shared" si="1"/>
        <v>117.67460264555558</v>
      </c>
      <c r="AV47" s="153">
        <f t="shared" si="2"/>
        <v>396.63975973081006</v>
      </c>
      <c r="AW47" s="273"/>
      <c r="AX47" s="155">
        <f t="shared" si="9"/>
        <v>514.31436237636558</v>
      </c>
      <c r="AZ47" s="146">
        <f>+IF(AZ46&gt;$G$13+$G$14,XX,AZ46+1)</f>
        <v>2018</v>
      </c>
      <c r="BA47" s="117"/>
      <c r="BB47" s="154">
        <f t="shared" si="20"/>
        <v>68.619490908289691</v>
      </c>
      <c r="BD47" s="154">
        <f t="shared" si="21"/>
        <v>14.919281487638651</v>
      </c>
      <c r="BF47" s="153">
        <f t="shared" si="10"/>
        <v>26.084473607509061</v>
      </c>
      <c r="BH47" s="157"/>
    </row>
    <row r="48" spans="2:60" ht="12">
      <c r="B48" s="2"/>
      <c r="C48">
        <f>+IF(C47&gt;$G$13+$G$14,XX,C47+1)</f>
        <v>2019</v>
      </c>
      <c r="E48" s="169">
        <f t="shared" si="11"/>
        <v>2.5000000000000001E-2</v>
      </c>
      <c r="G48" s="18">
        <f t="shared" si="12"/>
        <v>9239.3694826569736</v>
      </c>
      <c r="I48" s="28">
        <f t="shared" si="13"/>
        <v>522.30899034256322</v>
      </c>
      <c r="K48" s="28">
        <f t="shared" si="14"/>
        <v>0</v>
      </c>
      <c r="M48" s="28">
        <f t="shared" si="15"/>
        <v>0</v>
      </c>
      <c r="O48" s="270"/>
      <c r="Q48" s="28"/>
      <c r="S48" s="18">
        <v>0</v>
      </c>
      <c r="U48" s="18">
        <f t="shared" si="4"/>
        <v>526.27867738711973</v>
      </c>
      <c r="W48" s="18">
        <f t="shared" si="5"/>
        <v>-526.27867738711973</v>
      </c>
      <c r="Y48" s="271">
        <f t="shared" si="6"/>
        <v>-56.96045367327136</v>
      </c>
      <c r="Z48" s="235"/>
      <c r="AB48" s="146">
        <f>+IF(AB47&gt;$G$13+$G$14,XX,AB47+1)</f>
        <v>2019</v>
      </c>
      <c r="AC48" s="117"/>
      <c r="AD48" s="151">
        <f t="shared" si="0"/>
        <v>9239.3694826569736</v>
      </c>
      <c r="AF48" s="154">
        <f t="shared" si="16"/>
        <v>81.882082679591434</v>
      </c>
      <c r="AH48" s="154">
        <f t="shared" si="17"/>
        <v>10.048019535211425</v>
      </c>
      <c r="AJ48" s="154">
        <f t="shared" si="18"/>
        <v>2.3473124051128509</v>
      </c>
      <c r="AL48" s="153">
        <f t="shared" si="7"/>
        <v>147.35305315939121</v>
      </c>
      <c r="AN48" s="154">
        <f>INDEX('(2.2)_Forward_Price_Curve'!$G:$G,MATCH($AB48,'(2.2)_Forward_Price_Curve'!$C:$C,0),1)</f>
        <v>5.46</v>
      </c>
      <c r="AP48" s="154">
        <f t="shared" si="8"/>
        <v>39.114024720327421</v>
      </c>
      <c r="AR48" s="154">
        <f t="shared" si="19"/>
        <v>4.7918078623921447</v>
      </c>
      <c r="AS48" s="154"/>
      <c r="AT48" s="153">
        <f t="shared" si="1"/>
        <v>120.61646771169443</v>
      </c>
      <c r="AV48" s="153">
        <f t="shared" si="2"/>
        <v>405.66220967542534</v>
      </c>
      <c r="AW48" s="273"/>
      <c r="AX48" s="155">
        <f t="shared" si="9"/>
        <v>526.27867738711973</v>
      </c>
      <c r="AZ48" s="146">
        <f>+IF(AZ47&gt;$G$13+$G$14,XX,AZ47+1)</f>
        <v>2019</v>
      </c>
      <c r="BA48" s="117"/>
      <c r="BB48" s="154">
        <f t="shared" si="20"/>
        <v>70.334978180996927</v>
      </c>
      <c r="BD48" s="154">
        <f t="shared" si="21"/>
        <v>15.292263524829616</v>
      </c>
      <c r="BF48" s="153">
        <f t="shared" si="10"/>
        <v>26.736585447696786</v>
      </c>
      <c r="BH48" s="157"/>
    </row>
    <row r="49" spans="2:60" ht="12">
      <c r="B49" s="2"/>
      <c r="C49">
        <f>+IF(C48&gt;$G$13+$G$14,XX,C48+1)</f>
        <v>2020</v>
      </c>
      <c r="E49" s="169">
        <f t="shared" si="11"/>
        <v>2.5000000000000001E-2</v>
      </c>
      <c r="G49" s="18">
        <f t="shared" si="12"/>
        <v>9239.3694826569736</v>
      </c>
      <c r="I49" s="28">
        <f t="shared" si="13"/>
        <v>535.36671510112728</v>
      </c>
      <c r="K49" s="28">
        <f t="shared" si="14"/>
        <v>0</v>
      </c>
      <c r="M49" s="28">
        <f t="shared" si="15"/>
        <v>0</v>
      </c>
      <c r="O49" s="270"/>
      <c r="Q49" s="28"/>
      <c r="S49" s="18">
        <v>0</v>
      </c>
      <c r="U49" s="18">
        <f t="shared" si="4"/>
        <v>539.00541940948244</v>
      </c>
      <c r="W49" s="18">
        <f t="shared" si="5"/>
        <v>-539.00541940948244</v>
      </c>
      <c r="Y49" s="271">
        <f t="shared" si="6"/>
        <v>-58.337900699959903</v>
      </c>
      <c r="Z49" s="235"/>
      <c r="AB49" s="146">
        <f>+IF(AB48&gt;$G$13+$G$14,XX,AB48+1)</f>
        <v>2020</v>
      </c>
      <c r="AC49" s="117"/>
      <c r="AD49" s="151">
        <f t="shared" si="0"/>
        <v>9239.3694826569736</v>
      </c>
      <c r="AF49" s="154">
        <f t="shared" si="16"/>
        <v>83.929134746581212</v>
      </c>
      <c r="AH49" s="154">
        <f t="shared" si="17"/>
        <v>10.29922002359171</v>
      </c>
      <c r="AJ49" s="154">
        <f t="shared" si="18"/>
        <v>2.4059952152406718</v>
      </c>
      <c r="AL49" s="153">
        <f t="shared" si="7"/>
        <v>151.03687948837603</v>
      </c>
      <c r="AN49" s="154">
        <f>INDEX('(2.2)_Forward_Price_Curve'!$G:$G,MATCH($AB49,'(2.2)_Forward_Price_Curve'!$C:$C,0),1)</f>
        <v>5.59</v>
      </c>
      <c r="AP49" s="154">
        <f t="shared" si="8"/>
        <v>40.045311023192355</v>
      </c>
      <c r="AR49" s="154">
        <f t="shared" si="19"/>
        <v>4.9116030589519477</v>
      </c>
      <c r="AS49" s="154"/>
      <c r="AT49" s="153">
        <f t="shared" si="1"/>
        <v>123.63187940448682</v>
      </c>
      <c r="AV49" s="153">
        <f t="shared" si="2"/>
        <v>415.37354000499562</v>
      </c>
      <c r="AW49" s="273"/>
      <c r="AX49" s="155">
        <f t="shared" si="9"/>
        <v>539.00541940948244</v>
      </c>
      <c r="AZ49" s="146">
        <f>+IF(AZ48&gt;$G$13+$G$14,XX,AZ48+1)</f>
        <v>2020</v>
      </c>
      <c r="BA49" s="117"/>
      <c r="BB49" s="154">
        <f t="shared" si="20"/>
        <v>72.093352635521839</v>
      </c>
      <c r="BD49" s="154">
        <f t="shared" si="21"/>
        <v>15.674570112950356</v>
      </c>
      <c r="BF49" s="153">
        <f t="shared" si="10"/>
        <v>27.405000083889199</v>
      </c>
      <c r="BH49" s="157"/>
    </row>
    <row r="50" spans="2:60" ht="12">
      <c r="B50" s="2"/>
      <c r="C50">
        <f>+IF(C49&gt;$G$13+$G$14,XX,C49+1)</f>
        <v>2021</v>
      </c>
      <c r="E50" s="169">
        <f t="shared" si="11"/>
        <v>2.5000000000000001E-2</v>
      </c>
      <c r="G50" s="18">
        <f t="shared" si="12"/>
        <v>9239.3694826569736</v>
      </c>
      <c r="I50" s="28">
        <f t="shared" si="13"/>
        <v>548.75088297865545</v>
      </c>
      <c r="K50" s="28">
        <f t="shared" si="14"/>
        <v>0</v>
      </c>
      <c r="M50" s="28">
        <f t="shared" si="15"/>
        <v>0</v>
      </c>
      <c r="O50" s="270"/>
      <c r="Q50" s="28"/>
      <c r="S50" s="18">
        <v>0</v>
      </c>
      <c r="U50" s="18">
        <f t="shared" si="4"/>
        <v>549.18767960430591</v>
      </c>
      <c r="W50" s="18">
        <f t="shared" si="5"/>
        <v>-549.18767960430591</v>
      </c>
      <c r="Y50" s="271">
        <f t="shared" si="6"/>
        <v>-59.439952113093277</v>
      </c>
      <c r="Z50" s="235"/>
      <c r="AB50" s="146">
        <f>+IF(AB49&gt;$G$13+$G$14,XX,AB49+1)</f>
        <v>2021</v>
      </c>
      <c r="AC50" s="117"/>
      <c r="AD50" s="151">
        <f t="shared" si="0"/>
        <v>9239.3694826569736</v>
      </c>
      <c r="AF50" s="154">
        <f t="shared" si="16"/>
        <v>86.027363115245734</v>
      </c>
      <c r="AH50" s="154">
        <f t="shared" si="17"/>
        <v>10.556700524181501</v>
      </c>
      <c r="AJ50" s="154">
        <f t="shared" si="18"/>
        <v>2.4661450956216884</v>
      </c>
      <c r="AL50" s="153">
        <f t="shared" si="7"/>
        <v>154.81280147558536</v>
      </c>
      <c r="AN50" s="154">
        <f>INDEX('(2.2)_Forward_Price_Curve'!$G:$G,MATCH($AB50,'(2.2)_Forward_Price_Curve'!$C:$C,0),1)</f>
        <v>5.68</v>
      </c>
      <c r="AP50" s="154">
        <f t="shared" si="8"/>
        <v>40.690047694406545</v>
      </c>
      <c r="AR50" s="154">
        <f t="shared" si="19"/>
        <v>5.0343931354257458</v>
      </c>
      <c r="AS50" s="154"/>
      <c r="AT50" s="153">
        <f t="shared" si="1"/>
        <v>126.72267638959893</v>
      </c>
      <c r="AV50" s="153">
        <f t="shared" si="2"/>
        <v>422.46500321470694</v>
      </c>
      <c r="AW50" s="273"/>
      <c r="AX50" s="155">
        <f t="shared" si="9"/>
        <v>549.18767960430591</v>
      </c>
      <c r="AZ50" s="146">
        <f>+IF(AZ49&gt;$G$13+$G$14,XX,AZ49+1)</f>
        <v>2021</v>
      </c>
      <c r="BA50" s="117"/>
      <c r="BB50" s="154">
        <f t="shared" si="20"/>
        <v>73.895686451409873</v>
      </c>
      <c r="BD50" s="154">
        <f t="shared" si="21"/>
        <v>16.066434365774114</v>
      </c>
      <c r="BF50" s="153">
        <f t="shared" si="10"/>
        <v>28.090125085986426</v>
      </c>
      <c r="BH50" s="157"/>
    </row>
    <row r="51" spans="2:60" ht="12">
      <c r="B51" s="2"/>
      <c r="C51">
        <f>+IF(C50&gt;$G$13+$G$14,XX,C50+1)</f>
        <v>2022</v>
      </c>
      <c r="E51" s="169">
        <f t="shared" si="11"/>
        <v>2.5000000000000001E-2</v>
      </c>
      <c r="G51" s="18">
        <f t="shared" si="12"/>
        <v>9239.3694826569736</v>
      </c>
      <c r="I51" s="28">
        <f t="shared" si="13"/>
        <v>562.46965505312176</v>
      </c>
      <c r="K51" s="28">
        <f t="shared" si="14"/>
        <v>0</v>
      </c>
      <c r="M51" s="28">
        <f t="shared" si="15"/>
        <v>0</v>
      </c>
      <c r="O51" s="270"/>
      <c r="Q51" s="28"/>
      <c r="S51" s="18">
        <v>0</v>
      </c>
      <c r="U51" s="18">
        <f t="shared" si="4"/>
        <v>556.16614989346522</v>
      </c>
      <c r="W51" s="18">
        <f t="shared" si="5"/>
        <v>-556.16614989346522</v>
      </c>
      <c r="Y51" s="271">
        <f t="shared" si="6"/>
        <v>-60.195249355211196</v>
      </c>
      <c r="Z51" s="235"/>
      <c r="AB51" s="146">
        <f>+IF(AB50&gt;$G$13+$G$14,XX,AB50+1)</f>
        <v>2022</v>
      </c>
      <c r="AC51" s="117"/>
      <c r="AD51" s="151">
        <f t="shared" si="0"/>
        <v>9239.3694826569736</v>
      </c>
      <c r="AF51" s="154">
        <f t="shared" si="16"/>
        <v>88.178047193126872</v>
      </c>
      <c r="AH51" s="154">
        <f t="shared" si="17"/>
        <v>10.820618037286037</v>
      </c>
      <c r="AJ51" s="154">
        <f t="shared" si="18"/>
        <v>2.5277987230122303</v>
      </c>
      <c r="AL51" s="153">
        <f t="shared" si="7"/>
        <v>158.68312151247503</v>
      </c>
      <c r="AN51" s="154">
        <f>INDEX('(2.2)_Forward_Price_Curve'!$G:$G,MATCH($AB51,'(2.2)_Forward_Price_Curve'!$C:$C,0),1)</f>
        <v>5.72</v>
      </c>
      <c r="AP51" s="154">
        <f t="shared" si="8"/>
        <v>40.976597326057295</v>
      </c>
      <c r="AR51" s="154">
        <f t="shared" si="19"/>
        <v>5.1602529638113888</v>
      </c>
      <c r="AS51" s="154"/>
      <c r="AT51" s="153">
        <f t="shared" si="1"/>
        <v>129.89074329933894</v>
      </c>
      <c r="AV51" s="153">
        <f t="shared" si="2"/>
        <v>426.27540659412625</v>
      </c>
      <c r="AW51" s="273"/>
      <c r="AX51" s="155">
        <f t="shared" si="9"/>
        <v>556.16614989346522</v>
      </c>
      <c r="AZ51" s="146">
        <f>+IF(AZ50&gt;$G$13+$G$14,XX,AZ50+1)</f>
        <v>2022</v>
      </c>
      <c r="BA51" s="117"/>
      <c r="BB51" s="154">
        <f t="shared" si="20"/>
        <v>75.743078612695115</v>
      </c>
      <c r="BD51" s="154">
        <f t="shared" si="21"/>
        <v>16.468095224918464</v>
      </c>
      <c r="BF51" s="153">
        <f t="shared" si="10"/>
        <v>28.792378213136086</v>
      </c>
      <c r="BH51" s="157"/>
    </row>
    <row r="52" spans="2:60" ht="12">
      <c r="B52" s="2"/>
      <c r="C52">
        <f>+IF(C51&gt;$G$13+$G$14,XX,C51+1)</f>
        <v>2023</v>
      </c>
      <c r="E52" s="169">
        <f t="shared" si="11"/>
        <v>2.5000000000000001E-2</v>
      </c>
      <c r="G52" s="18">
        <f t="shared" si="12"/>
        <v>9239.3694826569736</v>
      </c>
      <c r="I52" s="28">
        <f t="shared" si="13"/>
        <v>576.53139642944973</v>
      </c>
      <c r="K52" s="28">
        <f t="shared" si="14"/>
        <v>0</v>
      </c>
      <c r="M52" s="28">
        <f t="shared" si="15"/>
        <v>0</v>
      </c>
      <c r="O52" s="270"/>
      <c r="Q52" s="28"/>
      <c r="S52" s="18">
        <v>0</v>
      </c>
      <c r="U52" s="18">
        <f t="shared" si="4"/>
        <v>569.20985381617106</v>
      </c>
      <c r="W52" s="18">
        <f t="shared" si="5"/>
        <v>-569.20985381617106</v>
      </c>
      <c r="Y52" s="271">
        <f t="shared" si="6"/>
        <v>-61.607001958804972</v>
      </c>
      <c r="Z52" s="235"/>
      <c r="AB52" s="146">
        <f>+IF(AB51&gt;$G$13+$G$14,XX,AB51+1)</f>
        <v>2023</v>
      </c>
      <c r="AC52" s="117"/>
      <c r="AD52" s="151">
        <f t="shared" si="0"/>
        <v>9239.3694826569736</v>
      </c>
      <c r="AF52" s="154">
        <f t="shared" si="16"/>
        <v>90.382498372955041</v>
      </c>
      <c r="AH52" s="154">
        <f t="shared" si="17"/>
        <v>11.091133488218187</v>
      </c>
      <c r="AJ52" s="154">
        <f t="shared" si="18"/>
        <v>2.5909936910875357</v>
      </c>
      <c r="AL52" s="153">
        <f t="shared" si="7"/>
        <v>162.65019955028686</v>
      </c>
      <c r="AN52" s="154">
        <f>INDEX('(2.2)_Forward_Price_Curve'!$G:$G,MATCH($AB52,'(2.2)_Forward_Price_Curve'!$C:$C,0),1)</f>
        <v>5.85</v>
      </c>
      <c r="AP52" s="154">
        <f t="shared" si="8"/>
        <v>41.907883628922235</v>
      </c>
      <c r="AR52" s="154">
        <f t="shared" si="19"/>
        <v>5.2892592879066731</v>
      </c>
      <c r="AS52" s="154"/>
      <c r="AT52" s="153">
        <f t="shared" si="1"/>
        <v>133.13801188182237</v>
      </c>
      <c r="AV52" s="153">
        <f t="shared" si="2"/>
        <v>436.07184193434875</v>
      </c>
      <c r="AW52" s="273"/>
      <c r="AX52" s="155">
        <f t="shared" si="9"/>
        <v>569.20985381617106</v>
      </c>
      <c r="AZ52" s="146">
        <f>+IF(AZ51&gt;$G$13+$G$14,XX,AZ51+1)</f>
        <v>2023</v>
      </c>
      <c r="BA52" s="117"/>
      <c r="BB52" s="154">
        <f t="shared" si="20"/>
        <v>77.63665557801248</v>
      </c>
      <c r="BD52" s="154">
        <f t="shared" si="21"/>
        <v>16.879797605541423</v>
      </c>
      <c r="BF52" s="153">
        <f t="shared" si="10"/>
        <v>29.512187668464481</v>
      </c>
      <c r="BH52" s="157"/>
    </row>
    <row r="53" spans="2:60" ht="12">
      <c r="B53" s="2"/>
      <c r="C53">
        <f>+IF(C52&gt;$G$13+$G$14,XX,C52+1)</f>
        <v>2024</v>
      </c>
      <c r="E53" s="169">
        <f t="shared" si="11"/>
        <v>2.5000000000000001E-2</v>
      </c>
      <c r="G53" s="18">
        <f t="shared" si="12"/>
        <v>9239.3694826569736</v>
      </c>
      <c r="I53" s="28">
        <f t="shared" si="13"/>
        <v>590.94468134018587</v>
      </c>
      <c r="K53" s="28">
        <f t="shared" si="14"/>
        <v>0</v>
      </c>
      <c r="M53" s="28">
        <f t="shared" si="15"/>
        <v>0</v>
      </c>
      <c r="O53" s="270"/>
      <c r="Q53" s="28"/>
      <c r="S53" s="18">
        <v>0</v>
      </c>
      <c r="U53" s="18">
        <f t="shared" si="4"/>
        <v>583.4401001615754</v>
      </c>
      <c r="W53" s="18">
        <f t="shared" si="5"/>
        <v>-583.4401001615754</v>
      </c>
      <c r="Y53" s="271">
        <f t="shared" si="6"/>
        <v>-63.147177007775099</v>
      </c>
      <c r="Z53" s="235"/>
      <c r="AB53" s="146">
        <f>+IF(AB52&gt;$G$13+$G$14,XX,AB52+1)</f>
        <v>2024</v>
      </c>
      <c r="AC53" s="117"/>
      <c r="AD53" s="151">
        <f t="shared" si="0"/>
        <v>9239.3694826569736</v>
      </c>
      <c r="AF53" s="154">
        <f t="shared" si="16"/>
        <v>92.642060832278915</v>
      </c>
      <c r="AH53" s="154">
        <f t="shared" si="17"/>
        <v>11.368411825423641</v>
      </c>
      <c r="AJ53" s="154">
        <f t="shared" si="18"/>
        <v>2.6557685333647241</v>
      </c>
      <c r="AL53" s="153">
        <f t="shared" si="7"/>
        <v>166.71645453904404</v>
      </c>
      <c r="AN53" s="154">
        <f>INDEX('(2.2)_Forward_Price_Curve'!$G:$G,MATCH($AB53,'(2.2)_Forward_Price_Curve'!$C:$C,0),1)</f>
        <v>5.996249999999999</v>
      </c>
      <c r="AP53" s="154">
        <f t="shared" si="8"/>
        <v>42.95558071964529</v>
      </c>
      <c r="AR53" s="154">
        <f t="shared" si="19"/>
        <v>5.4214907701043398</v>
      </c>
      <c r="AS53" s="154"/>
      <c r="AT53" s="153">
        <f t="shared" si="1"/>
        <v>136.46646217886794</v>
      </c>
      <c r="AV53" s="153">
        <f t="shared" si="2"/>
        <v>446.97363798270749</v>
      </c>
      <c r="AW53" s="273"/>
      <c r="AX53" s="155">
        <f t="shared" si="9"/>
        <v>583.4401001615754</v>
      </c>
      <c r="AZ53" s="146">
        <f>+IF(AZ52&gt;$G$13+$G$14,XX,AZ52+1)</f>
        <v>2024</v>
      </c>
      <c r="BA53" s="117"/>
      <c r="BB53" s="154">
        <f t="shared" si="20"/>
        <v>79.577571967462788</v>
      </c>
      <c r="BD53" s="154">
        <f t="shared" si="21"/>
        <v>17.301792545679959</v>
      </c>
      <c r="BF53" s="153">
        <f t="shared" si="10"/>
        <v>30.249992360176091</v>
      </c>
      <c r="BH53" s="157"/>
    </row>
    <row r="54" spans="2:60" ht="12">
      <c r="B54" s="2"/>
      <c r="C54">
        <f>+IF(C53&gt;$G$13+$G$14,XX,C53+1)</f>
        <v>2025</v>
      </c>
      <c r="E54" s="169">
        <f t="shared" si="11"/>
        <v>2.5000000000000001E-2</v>
      </c>
      <c r="G54" s="18">
        <f t="shared" si="12"/>
        <v>9239.3694826569736</v>
      </c>
      <c r="I54" s="28">
        <f t="shared" si="13"/>
        <v>605.71829837369046</v>
      </c>
      <c r="K54" s="28">
        <f t="shared" si="14"/>
        <v>0</v>
      </c>
      <c r="M54" s="28">
        <f t="shared" si="15"/>
        <v>0</v>
      </c>
      <c r="O54" s="270"/>
      <c r="Q54" s="28"/>
      <c r="S54" s="18">
        <v>0</v>
      </c>
      <c r="U54" s="18">
        <f t="shared" si="4"/>
        <v>598.02610266561476</v>
      </c>
      <c r="W54" s="18">
        <f t="shared" si="5"/>
        <v>-598.02610266561476</v>
      </c>
      <c r="Y54" s="271">
        <f t="shared" si="6"/>
        <v>-64.725856432969479</v>
      </c>
      <c r="Z54" s="235"/>
      <c r="AB54" s="146">
        <f>+IF(AB53&gt;$G$13+$G$14,XX,AB53+1)</f>
        <v>2025</v>
      </c>
      <c r="AC54" s="117"/>
      <c r="AD54" s="151">
        <f t="shared" si="0"/>
        <v>9239.3694826569736</v>
      </c>
      <c r="AF54" s="154">
        <f t="shared" si="16"/>
        <v>94.95811235308588</v>
      </c>
      <c r="AH54" s="154">
        <f t="shared" si="17"/>
        <v>11.652622121059231</v>
      </c>
      <c r="AJ54" s="154">
        <f t="shared" si="18"/>
        <v>2.7221627466988418</v>
      </c>
      <c r="AL54" s="153">
        <f t="shared" si="7"/>
        <v>170.88436590252013</v>
      </c>
      <c r="AN54" s="154">
        <f>INDEX('(2.2)_Forward_Price_Curve'!$G:$G,MATCH($AB54,'(2.2)_Forward_Price_Curve'!$C:$C,0),1)</f>
        <v>6.146156249999998</v>
      </c>
      <c r="AP54" s="154">
        <f t="shared" si="8"/>
        <v>44.029470237636417</v>
      </c>
      <c r="AR54" s="154">
        <f t="shared" si="19"/>
        <v>5.5570280393569478</v>
      </c>
      <c r="AS54" s="154"/>
      <c r="AT54" s="153">
        <f t="shared" si="1"/>
        <v>139.87812373333963</v>
      </c>
      <c r="AV54" s="153">
        <f t="shared" si="2"/>
        <v>458.14797893227512</v>
      </c>
      <c r="AW54" s="273"/>
      <c r="AX54" s="155">
        <f t="shared" si="9"/>
        <v>598.02610266561476</v>
      </c>
      <c r="AZ54" s="146">
        <f>+IF(AZ53&gt;$G$13+$G$14,XX,AZ53+1)</f>
        <v>2025</v>
      </c>
      <c r="BA54" s="117"/>
      <c r="BB54" s="154">
        <f t="shared" si="20"/>
        <v>81.567011266649345</v>
      </c>
      <c r="BD54" s="154">
        <f t="shared" si="21"/>
        <v>17.734337359321955</v>
      </c>
      <c r="BF54" s="153">
        <f t="shared" si="10"/>
        <v>31.006242169180489</v>
      </c>
      <c r="BH54" s="157"/>
    </row>
    <row r="55" spans="2:60" ht="12">
      <c r="B55" s="2"/>
      <c r="C55">
        <f>+IF(C54&gt;$G$13+$G$14,XX,C54+1)</f>
        <v>2026</v>
      </c>
      <c r="E55" s="169">
        <f t="shared" si="11"/>
        <v>2.5000000000000001E-2</v>
      </c>
      <c r="G55" s="18">
        <f t="shared" si="12"/>
        <v>9239.3694826569736</v>
      </c>
      <c r="I55" s="28">
        <f t="shared" si="13"/>
        <v>620.86125583303271</v>
      </c>
      <c r="K55" s="28">
        <f t="shared" si="14"/>
        <v>0</v>
      </c>
      <c r="M55" s="28">
        <f t="shared" si="15"/>
        <v>0</v>
      </c>
      <c r="O55" s="270"/>
      <c r="Q55" s="28"/>
      <c r="S55" s="18">
        <v>0</v>
      </c>
      <c r="U55" s="18">
        <f t="shared" si="4"/>
        <v>612.97675523225496</v>
      </c>
      <c r="W55" s="18">
        <f t="shared" si="5"/>
        <v>-612.97675523225496</v>
      </c>
      <c r="Y55" s="271">
        <f t="shared" si="6"/>
        <v>-66.344002843793703</v>
      </c>
      <c r="Z55" s="235"/>
      <c r="AB55" s="146">
        <f>+IF(AB54&gt;$G$13+$G$14,XX,AB54+1)</f>
        <v>2026</v>
      </c>
      <c r="AC55" s="117"/>
      <c r="AD55" s="151">
        <f t="shared" si="0"/>
        <v>9239.3694826569736</v>
      </c>
      <c r="AF55" s="154">
        <f t="shared" si="16"/>
        <v>97.332065161913022</v>
      </c>
      <c r="AH55" s="154">
        <f t="shared" si="17"/>
        <v>11.943937674085712</v>
      </c>
      <c r="AJ55" s="154">
        <f t="shared" si="18"/>
        <v>2.7902168153663127</v>
      </c>
      <c r="AL55" s="153">
        <f t="shared" si="7"/>
        <v>175.15647505008312</v>
      </c>
      <c r="AN55" s="154">
        <f>INDEX('(2.2)_Forward_Price_Curve'!$G:$G,MATCH($AB55,'(2.2)_Forward_Price_Curve'!$C:$C,0),1)</f>
        <v>6.2998101562499977</v>
      </c>
      <c r="AP55" s="154">
        <f t="shared" si="8"/>
        <v>45.130206993577318</v>
      </c>
      <c r="AR55" s="154">
        <f t="shared" si="19"/>
        <v>5.6959537403408707</v>
      </c>
      <c r="AS55" s="154"/>
      <c r="AT55" s="153">
        <f t="shared" si="1"/>
        <v>143.37507682667311</v>
      </c>
      <c r="AV55" s="153">
        <f t="shared" si="2"/>
        <v>469.60167840558188</v>
      </c>
      <c r="AW55" s="273"/>
      <c r="AX55" s="155">
        <f t="shared" si="9"/>
        <v>612.97675523225496</v>
      </c>
      <c r="AZ55" s="146">
        <f>+IF(AZ54&gt;$G$13+$G$14,XX,AZ54+1)</f>
        <v>2026</v>
      </c>
      <c r="BA55" s="117"/>
      <c r="BB55" s="154">
        <f t="shared" si="20"/>
        <v>83.606186548315577</v>
      </c>
      <c r="BD55" s="154">
        <f t="shared" si="21"/>
        <v>18.177695793305002</v>
      </c>
      <c r="BF55" s="153">
        <f t="shared" si="10"/>
        <v>31.781398223410001</v>
      </c>
      <c r="BH55" s="157"/>
    </row>
    <row r="56" spans="2:60" ht="12">
      <c r="B56" s="2"/>
      <c r="C56">
        <f>+IF(C55&gt;$G$13+$G$14,XX,C55+1)</f>
        <v>2027</v>
      </c>
      <c r="E56" s="169">
        <f t="shared" si="11"/>
        <v>2.5000000000000001E-2</v>
      </c>
      <c r="G56" s="18">
        <f t="shared" si="12"/>
        <v>9239.3694826569736</v>
      </c>
      <c r="I56" s="28">
        <f t="shared" si="13"/>
        <v>636.38278722885843</v>
      </c>
      <c r="K56" s="28">
        <f t="shared" si="14"/>
        <v>0</v>
      </c>
      <c r="M56" s="28">
        <f t="shared" si="15"/>
        <v>0</v>
      </c>
      <c r="O56" s="270"/>
      <c r="Q56" s="28"/>
      <c r="S56" s="18">
        <v>0</v>
      </c>
      <c r="U56" s="18">
        <f t="shared" si="4"/>
        <v>628.30117411306128</v>
      </c>
      <c r="W56" s="18">
        <f t="shared" si="5"/>
        <v>-628.30117411306128</v>
      </c>
      <c r="Y56" s="271">
        <f t="shared" si="6"/>
        <v>-68.002602914888541</v>
      </c>
      <c r="Z56" s="235"/>
      <c r="AB56" s="146">
        <f>+IF(AB55&gt;$G$13+$G$14,XX,AB55+1)</f>
        <v>2027</v>
      </c>
      <c r="AC56" s="117"/>
      <c r="AD56" s="151">
        <f t="shared" si="0"/>
        <v>9239.3694826569736</v>
      </c>
      <c r="AF56" s="154">
        <f t="shared" si="16"/>
        <v>99.76536679096084</v>
      </c>
      <c r="AH56" s="154">
        <f t="shared" si="17"/>
        <v>12.242536115937854</v>
      </c>
      <c r="AJ56" s="154">
        <f t="shared" si="18"/>
        <v>2.8599722357504702</v>
      </c>
      <c r="AL56" s="153">
        <f t="shared" si="7"/>
        <v>179.53538692633518</v>
      </c>
      <c r="AN56" s="154">
        <f>INDEX('(2.2)_Forward_Price_Curve'!$G:$G,MATCH($AB56,'(2.2)_Forward_Price_Curve'!$C:$C,0),1)</f>
        <v>6.4573054101562475</v>
      </c>
      <c r="AP56" s="154">
        <f t="shared" si="8"/>
        <v>46.258462168416749</v>
      </c>
      <c r="AR56" s="154">
        <f t="shared" si="19"/>
        <v>5.8383525838493915</v>
      </c>
      <c r="AS56" s="154"/>
      <c r="AT56" s="153">
        <f t="shared" si="1"/>
        <v>146.95945374733992</v>
      </c>
      <c r="AV56" s="153">
        <f t="shared" si="2"/>
        <v>481.34172036572136</v>
      </c>
      <c r="AW56" s="273"/>
      <c r="AX56" s="155">
        <f t="shared" si="9"/>
        <v>628.30117411306128</v>
      </c>
      <c r="AZ56" s="146">
        <f>+IF(AZ55&gt;$G$13+$G$14,XX,AZ55+1)</f>
        <v>2027</v>
      </c>
      <c r="BA56" s="117"/>
      <c r="BB56" s="154">
        <f t="shared" si="20"/>
        <v>85.696341212023455</v>
      </c>
      <c r="BD56" s="154">
        <f t="shared" si="21"/>
        <v>18.632138188137624</v>
      </c>
      <c r="BF56" s="153">
        <f t="shared" si="10"/>
        <v>32.57593317899525</v>
      </c>
      <c r="BH56" s="157"/>
    </row>
    <row r="57" spans="2:60" ht="12">
      <c r="B57" s="2"/>
      <c r="C57">
        <f>+IF(C56&gt;$G$13+$G$14,XX,C56+1)</f>
        <v>2028</v>
      </c>
      <c r="E57" s="169">
        <f t="shared" si="11"/>
        <v>2.5000000000000001E-2</v>
      </c>
      <c r="G57" s="18">
        <f t="shared" si="12"/>
        <v>9239.3694826569736</v>
      </c>
      <c r="I57" s="28">
        <f t="shared" si="13"/>
        <v>652.29235690957989</v>
      </c>
      <c r="K57" s="28">
        <f t="shared" si="14"/>
        <v>0</v>
      </c>
      <c r="M57" s="28">
        <f t="shared" si="15"/>
        <v>0</v>
      </c>
      <c r="O57" s="270"/>
      <c r="Q57" s="28"/>
      <c r="S57" s="18">
        <v>0</v>
      </c>
      <c r="U57" s="18">
        <f t="shared" si="4"/>
        <v>644.00870346588783</v>
      </c>
      <c r="W57" s="18">
        <f t="shared" si="5"/>
        <v>-644.00870346588783</v>
      </c>
      <c r="Y57" s="271">
        <f t="shared" si="6"/>
        <v>-69.702667987760748</v>
      </c>
      <c r="Z57" s="235"/>
      <c r="AB57" s="146">
        <f>+IF(AB56&gt;$G$13+$G$14,XX,AB56+1)</f>
        <v>2028</v>
      </c>
      <c r="AC57" s="117"/>
      <c r="AD57" s="151">
        <f t="shared" si="0"/>
        <v>9239.3694826569736</v>
      </c>
      <c r="AF57" s="154">
        <f t="shared" si="16"/>
        <v>102.25950096073485</v>
      </c>
      <c r="AH57" s="154">
        <f t="shared" si="17"/>
        <v>12.5485995188363</v>
      </c>
      <c r="AJ57" s="154">
        <f t="shared" si="18"/>
        <v>2.9314715416442318</v>
      </c>
      <c r="AL57" s="153">
        <f t="shared" si="7"/>
        <v>184.02377159949353</v>
      </c>
      <c r="AN57" s="154">
        <f>INDEX('(2.2)_Forward_Price_Curve'!$G:$G,MATCH($AB57,'(2.2)_Forward_Price_Curve'!$C:$C,0),1)</f>
        <v>6.6187380454101534</v>
      </c>
      <c r="AP57" s="154">
        <f t="shared" si="8"/>
        <v>47.414923722627172</v>
      </c>
      <c r="AR57" s="154">
        <f t="shared" si="19"/>
        <v>5.9843113984456258</v>
      </c>
      <c r="AS57" s="154"/>
      <c r="AT57" s="153">
        <f t="shared" si="1"/>
        <v>150.6334400910234</v>
      </c>
      <c r="AV57" s="153">
        <f t="shared" si="2"/>
        <v>493.37526337486446</v>
      </c>
      <c r="AW57" s="273"/>
      <c r="AX57" s="155">
        <f t="shared" si="9"/>
        <v>644.00870346588783</v>
      </c>
      <c r="AZ57" s="146">
        <f>+IF(AZ56&gt;$G$13+$G$14,XX,AZ56+1)</f>
        <v>2028</v>
      </c>
      <c r="BA57" s="117"/>
      <c r="BB57" s="154">
        <f t="shared" si="20"/>
        <v>87.83874974232404</v>
      </c>
      <c r="BD57" s="154">
        <f t="shared" si="21"/>
        <v>19.097941642841064</v>
      </c>
      <c r="BF57" s="153">
        <f t="shared" si="10"/>
        <v>33.390331508470126</v>
      </c>
      <c r="BH57" s="157"/>
    </row>
    <row r="58" spans="2:60" ht="12">
      <c r="B58" s="2"/>
      <c r="C58">
        <f>+IF(C57&gt;$G$13+$G$14,XX,C57+1)</f>
        <v>2029</v>
      </c>
      <c r="E58" s="169">
        <f t="shared" si="11"/>
        <v>2.5000000000000001E-2</v>
      </c>
      <c r="G58" s="18">
        <f t="shared" si="12"/>
        <v>9239.3694826569736</v>
      </c>
      <c r="I58" s="28">
        <f t="shared" si="13"/>
        <v>668.59966583231937</v>
      </c>
      <c r="K58" s="28">
        <f t="shared" si="14"/>
        <v>0</v>
      </c>
      <c r="M58" s="28">
        <f t="shared" si="15"/>
        <v>0</v>
      </c>
      <c r="O58" s="270"/>
      <c r="Q58" s="28"/>
      <c r="S58" s="18">
        <v>0</v>
      </c>
      <c r="U58" s="18">
        <f t="shared" si="4"/>
        <v>660.10892105253504</v>
      </c>
      <c r="W58" s="18">
        <f t="shared" si="5"/>
        <v>-660.10892105253504</v>
      </c>
      <c r="Y58" s="271">
        <f t="shared" si="6"/>
        <v>-71.445234687454771</v>
      </c>
      <c r="Z58" s="235"/>
      <c r="AB58" s="146">
        <f>+IF(AB57&gt;$G$13+$G$14,XX,AB57+1)</f>
        <v>2029</v>
      </c>
      <c r="AC58" s="117"/>
      <c r="AD58" s="151">
        <f t="shared" si="0"/>
        <v>9239.3694826569736</v>
      </c>
      <c r="AF58" s="154">
        <f t="shared" si="16"/>
        <v>104.81598848475322</v>
      </c>
      <c r="AH58" s="154">
        <f t="shared" si="17"/>
        <v>12.862314506807206</v>
      </c>
      <c r="AJ58" s="154">
        <f t="shared" si="18"/>
        <v>3.0047583301853376</v>
      </c>
      <c r="AL58" s="153">
        <f t="shared" si="7"/>
        <v>188.62436588948086</v>
      </c>
      <c r="AN58" s="154">
        <f>INDEX('(2.2)_Forward_Price_Curve'!$G:$G,MATCH($AB58,'(2.2)_Forward_Price_Curve'!$C:$C,0),1)</f>
        <v>6.7842064965454068</v>
      </c>
      <c r="AP58" s="154">
        <f t="shared" si="8"/>
        <v>48.60029681569285</v>
      </c>
      <c r="AR58" s="154">
        <f t="shared" si="19"/>
        <v>6.1339191834067659</v>
      </c>
      <c r="AS58" s="154"/>
      <c r="AT58" s="153">
        <f t="shared" si="1"/>
        <v>154.39927609329897</v>
      </c>
      <c r="AV58" s="153">
        <f t="shared" si="2"/>
        <v>505.70964495923607</v>
      </c>
      <c r="AW58" s="273"/>
      <c r="AX58" s="155">
        <f t="shared" si="9"/>
        <v>660.10892105253504</v>
      </c>
      <c r="AZ58" s="146">
        <f>+IF(AZ57&gt;$G$13+$G$14,XX,AZ57+1)</f>
        <v>2029</v>
      </c>
      <c r="BA58" s="117"/>
      <c r="BB58" s="154">
        <f t="shared" si="20"/>
        <v>90.034718485882138</v>
      </c>
      <c r="BD58" s="154">
        <f t="shared" si="21"/>
        <v>19.575390183912088</v>
      </c>
      <c r="BF58" s="153">
        <f t="shared" si="10"/>
        <v>34.225089796181877</v>
      </c>
      <c r="BH58" s="157"/>
    </row>
    <row r="59" spans="2:60" ht="12">
      <c r="B59" s="2"/>
      <c r="C59">
        <f>+IF(C58&gt;$G$13+$G$14,XX,C58+1)</f>
        <v>2030</v>
      </c>
      <c r="E59" s="169">
        <f t="shared" si="11"/>
        <v>2.5000000000000001E-2</v>
      </c>
      <c r="G59" s="18">
        <f t="shared" si="12"/>
        <v>9239.3694826569736</v>
      </c>
      <c r="I59" s="28">
        <f t="shared" si="13"/>
        <v>685.31465747812729</v>
      </c>
      <c r="K59" s="28">
        <f t="shared" si="14"/>
        <v>0</v>
      </c>
      <c r="M59" s="28">
        <f t="shared" si="15"/>
        <v>0</v>
      </c>
      <c r="O59" s="270"/>
      <c r="Q59" s="28"/>
      <c r="S59" s="18">
        <v>0</v>
      </c>
      <c r="U59" s="18">
        <f t="shared" si="4"/>
        <v>676.61164407884837</v>
      </c>
      <c r="W59" s="18">
        <f t="shared" si="5"/>
        <v>-676.61164407884837</v>
      </c>
      <c r="Y59" s="271">
        <f t="shared" si="6"/>
        <v>-73.231365554641144</v>
      </c>
      <c r="Z59" s="235"/>
      <c r="AB59" s="146">
        <f>+IF(AB58&gt;$G$13+$G$14,XX,AB58+1)</f>
        <v>2030</v>
      </c>
      <c r="AC59" s="117"/>
      <c r="AD59" s="151">
        <f t="shared" si="0"/>
        <v>9239.3694826569736</v>
      </c>
      <c r="AF59" s="154">
        <f t="shared" si="16"/>
        <v>107.43638819687204</v>
      </c>
      <c r="AH59" s="154">
        <f t="shared" si="17"/>
        <v>13.183872369477385</v>
      </c>
      <c r="AJ59" s="154">
        <f t="shared" si="18"/>
        <v>3.0798772884399708</v>
      </c>
      <c r="AL59" s="153">
        <f t="shared" si="7"/>
        <v>193.3399750367179</v>
      </c>
      <c r="AN59" s="154">
        <f>INDEX('(2.2)_Forward_Price_Curve'!$G:$G,MATCH($AB59,'(2.2)_Forward_Price_Curve'!$C:$C,0),1)</f>
        <v>6.9538116589590411</v>
      </c>
      <c r="AP59" s="154">
        <f t="shared" si="8"/>
        <v>49.815304236085161</v>
      </c>
      <c r="AR59" s="154">
        <f t="shared" si="19"/>
        <v>6.2872671629919346</v>
      </c>
      <c r="AS59" s="154"/>
      <c r="AT59" s="153">
        <f t="shared" si="1"/>
        <v>158.25925799563149</v>
      </c>
      <c r="AV59" s="153">
        <f t="shared" si="2"/>
        <v>518.35238608321686</v>
      </c>
      <c r="AW59" s="273"/>
      <c r="AX59" s="155">
        <f t="shared" si="9"/>
        <v>676.61164407884837</v>
      </c>
      <c r="AZ59" s="146">
        <f>+IF(AZ58&gt;$G$13+$G$14,XX,AZ58+1)</f>
        <v>2030</v>
      </c>
      <c r="BA59" s="117"/>
      <c r="BB59" s="154">
        <f t="shared" si="20"/>
        <v>92.285586448029179</v>
      </c>
      <c r="BD59" s="154">
        <f t="shared" si="21"/>
        <v>20.064774938509888</v>
      </c>
      <c r="BF59" s="153">
        <f t="shared" si="10"/>
        <v>35.080717041086416</v>
      </c>
      <c r="BH59" s="157"/>
    </row>
    <row r="60" spans="2:60" ht="12">
      <c r="B60" s="2"/>
      <c r="C60">
        <f>+IF(C59&gt;$G$13+$G$14,XX,C59+1)</f>
        <v>2031</v>
      </c>
      <c r="E60" s="169">
        <f t="shared" si="11"/>
        <v>2.5000000000000001E-2</v>
      </c>
      <c r="G60" s="18">
        <f t="shared" si="12"/>
        <v>9239.3694826569736</v>
      </c>
      <c r="I60" s="28">
        <f t="shared" si="13"/>
        <v>702.44752391508041</v>
      </c>
      <c r="K60" s="28">
        <f t="shared" si="14"/>
        <v>0</v>
      </c>
      <c r="M60" s="28">
        <f t="shared" si="15"/>
        <v>0</v>
      </c>
      <c r="O60" s="270"/>
      <c r="Q60" s="28"/>
      <c r="S60" s="18">
        <v>0</v>
      </c>
      <c r="U60" s="18">
        <f t="shared" si="4"/>
        <v>693.52693518081946</v>
      </c>
      <c r="W60" s="18">
        <f t="shared" si="5"/>
        <v>-693.52693518081946</v>
      </c>
      <c r="Y60" s="271">
        <f t="shared" si="6"/>
        <v>-75.062149693507152</v>
      </c>
      <c r="Z60" s="235"/>
      <c r="AB60" s="146">
        <f>+IF(AB59&gt;$G$13+$G$14,XX,AB59+1)</f>
        <v>2031</v>
      </c>
      <c r="AC60" s="117"/>
      <c r="AD60" s="151">
        <f t="shared" si="0"/>
        <v>9239.3694826569736</v>
      </c>
      <c r="AF60" s="154">
        <f t="shared" si="16"/>
        <v>110.12229790179384</v>
      </c>
      <c r="AH60" s="154">
        <f t="shared" si="17"/>
        <v>13.513469178714319</v>
      </c>
      <c r="AJ60" s="154">
        <f t="shared" si="18"/>
        <v>3.1568742206509697</v>
      </c>
      <c r="AL60" s="153">
        <f t="shared" si="7"/>
        <v>198.17347441263581</v>
      </c>
      <c r="AN60" s="154">
        <f>INDEX('(2.2)_Forward_Price_Curve'!$G:$G,MATCH($AB60,'(2.2)_Forward_Price_Curve'!$C:$C,0),1)</f>
        <v>7.1276569504330167</v>
      </c>
      <c r="AP60" s="154">
        <f t="shared" si="8"/>
        <v>51.060686841987284</v>
      </c>
      <c r="AR60" s="154">
        <f t="shared" si="19"/>
        <v>6.4444488420667323</v>
      </c>
      <c r="AS60" s="154"/>
      <c r="AT60" s="153">
        <f t="shared" si="1"/>
        <v>162.21573944552225</v>
      </c>
      <c r="AV60" s="153">
        <f t="shared" si="2"/>
        <v>531.31119573529725</v>
      </c>
      <c r="AW60" s="273"/>
      <c r="AX60" s="155">
        <f t="shared" si="9"/>
        <v>693.52693518081946</v>
      </c>
      <c r="AZ60" s="146">
        <f>+IF(AZ59&gt;$G$13+$G$14,XX,AZ59+1)</f>
        <v>2031</v>
      </c>
      <c r="BA60" s="117"/>
      <c r="BB60" s="154">
        <f t="shared" si="20"/>
        <v>94.592726109229901</v>
      </c>
      <c r="BD60" s="154">
        <f t="shared" si="21"/>
        <v>20.566394311972633</v>
      </c>
      <c r="BF60" s="153">
        <f t="shared" si="10"/>
        <v>35.957734967113574</v>
      </c>
      <c r="BH60" s="157"/>
    </row>
    <row r="61" spans="2:60" ht="12">
      <c r="B61" s="2"/>
      <c r="C61">
        <f>+IF(C60&gt;$G$13+$G$14,XX,C60+1)</f>
        <v>2032</v>
      </c>
      <c r="E61" s="169">
        <f t="shared" si="11"/>
        <v>2.5000000000000001E-2</v>
      </c>
      <c r="G61" s="18">
        <f t="shared" si="12"/>
        <v>9239.3694826569736</v>
      </c>
      <c r="I61" s="28">
        <f t="shared" si="13"/>
        <v>720.0087120129574</v>
      </c>
      <c r="K61" s="28">
        <f t="shared" si="14"/>
        <v>0</v>
      </c>
      <c r="M61" s="28">
        <f t="shared" si="15"/>
        <v>0</v>
      </c>
      <c r="O61" s="270"/>
      <c r="Q61" s="28"/>
      <c r="S61" s="18">
        <v>0</v>
      </c>
      <c r="U61" s="18">
        <f t="shared" si="4"/>
        <v>710.86510856033988</v>
      </c>
      <c r="W61" s="18">
        <f t="shared" si="5"/>
        <v>-710.86510856033988</v>
      </c>
      <c r="Y61" s="271">
        <f t="shared" si="6"/>
        <v>-76.938703435844829</v>
      </c>
      <c r="Z61" s="235"/>
      <c r="AB61" s="146">
        <f>+IF(AB60&gt;$G$13+$G$14,XX,AB60+1)</f>
        <v>2032</v>
      </c>
      <c r="AC61" s="117"/>
      <c r="AD61" s="151">
        <f t="shared" si="0"/>
        <v>9239.3694826569736</v>
      </c>
      <c r="AF61" s="154">
        <f t="shared" si="16"/>
        <v>112.87535534933868</v>
      </c>
      <c r="AH61" s="154">
        <f t="shared" si="17"/>
        <v>13.851305908182175</v>
      </c>
      <c r="AJ61" s="154">
        <f t="shared" si="18"/>
        <v>3.2357960761672437</v>
      </c>
      <c r="AL61" s="153">
        <f t="shared" si="7"/>
        <v>203.12781127295167</v>
      </c>
      <c r="AN61" s="154">
        <f>INDEX('(2.2)_Forward_Price_Curve'!$G:$G,MATCH($AB61,'(2.2)_Forward_Price_Curve'!$C:$C,0),1)</f>
        <v>7.3058483741938414</v>
      </c>
      <c r="AP61" s="154">
        <f t="shared" si="8"/>
        <v>52.337204013036967</v>
      </c>
      <c r="AR61" s="154">
        <f t="shared" si="19"/>
        <v>6.6055600631183999</v>
      </c>
      <c r="AS61" s="154"/>
      <c r="AT61" s="153">
        <f t="shared" si="1"/>
        <v>166.27113293166025</v>
      </c>
      <c r="AV61" s="153">
        <f t="shared" si="2"/>
        <v>544.59397562867969</v>
      </c>
      <c r="AW61" s="273"/>
      <c r="AX61" s="155">
        <f t="shared" si="9"/>
        <v>710.86510856033988</v>
      </c>
      <c r="AZ61" s="146">
        <f>+IF(AZ60&gt;$G$13+$G$14,XX,AZ60+1)</f>
        <v>2032</v>
      </c>
      <c r="BA61" s="117"/>
      <c r="BB61" s="154">
        <f t="shared" si="20"/>
        <v>96.957544261960635</v>
      </c>
      <c r="BD61" s="154">
        <f t="shared" si="21"/>
        <v>21.080554169771947</v>
      </c>
      <c r="BF61" s="153">
        <f t="shared" si="10"/>
        <v>36.856678341291413</v>
      </c>
      <c r="BH61" s="157"/>
    </row>
    <row r="62" spans="2:60" ht="12">
      <c r="B62" s="2"/>
      <c r="C62">
        <f>+IF(C61&gt;$G$13+$G$14,XX,C61+1)</f>
        <v>2033</v>
      </c>
      <c r="E62" s="169">
        <f t="shared" si="11"/>
        <v>2.5000000000000001E-2</v>
      </c>
      <c r="G62" s="18">
        <f t="shared" si="12"/>
        <v>9239.3694826569736</v>
      </c>
      <c r="I62" s="28">
        <f t="shared" si="13"/>
        <v>738.00892981328127</v>
      </c>
      <c r="K62" s="28">
        <f t="shared" si="14"/>
        <v>0</v>
      </c>
      <c r="M62" s="28">
        <f t="shared" si="15"/>
        <v>0</v>
      </c>
      <c r="O62" s="270"/>
      <c r="Q62" s="28"/>
      <c r="S62" s="18">
        <v>0</v>
      </c>
      <c r="U62" s="18">
        <f t="shared" si="4"/>
        <v>728.63673627434832</v>
      </c>
      <c r="W62" s="18">
        <f t="shared" si="5"/>
        <v>-728.63673627434832</v>
      </c>
      <c r="Y62" s="271">
        <f t="shared" si="6"/>
        <v>-78.862171021740934</v>
      </c>
      <c r="Z62" s="235"/>
      <c r="AB62" s="146">
        <f>+IF(AB61&gt;$G$13+$G$14,XX,AB61+1)</f>
        <v>2033</v>
      </c>
      <c r="AC62" s="117"/>
      <c r="AD62" s="151">
        <f t="shared" si="0"/>
        <v>9239.3694826569736</v>
      </c>
      <c r="AF62" s="154">
        <f t="shared" si="16"/>
        <v>115.69723923307214</v>
      </c>
      <c r="AH62" s="154">
        <f t="shared" si="17"/>
        <v>14.197588555886728</v>
      </c>
      <c r="AJ62" s="154">
        <f t="shared" si="18"/>
        <v>3.3166909780714247</v>
      </c>
      <c r="AL62" s="153">
        <f t="shared" si="7"/>
        <v>208.20600655477548</v>
      </c>
      <c r="AN62" s="154">
        <f>INDEX('(2.2)_Forward_Price_Curve'!$G:$G,MATCH($AB62,'(2.2)_Forward_Price_Curve'!$C:$C,0),1)</f>
        <v>7.4884945835486869</v>
      </c>
      <c r="AP62" s="154">
        <f t="shared" si="8"/>
        <v>53.645634113362881</v>
      </c>
      <c r="AR62" s="154">
        <f t="shared" si="19"/>
        <v>6.770699064696359</v>
      </c>
      <c r="AS62" s="154"/>
      <c r="AT62" s="153">
        <f t="shared" si="1"/>
        <v>170.42791125495179</v>
      </c>
      <c r="AV62" s="153">
        <f t="shared" si="2"/>
        <v>558.2088250193965</v>
      </c>
      <c r="AW62" s="273"/>
      <c r="AX62" s="155">
        <f t="shared" si="9"/>
        <v>728.63673627434832</v>
      </c>
      <c r="AZ62" s="146">
        <f>+IF(AZ61&gt;$G$13+$G$14,XX,AZ61+1)</f>
        <v>2033</v>
      </c>
      <c r="BA62" s="117"/>
      <c r="BB62" s="154">
        <f t="shared" si="20"/>
        <v>99.381482868509636</v>
      </c>
      <c r="BD62" s="154">
        <f t="shared" si="21"/>
        <v>21.607568024016242</v>
      </c>
      <c r="BF62" s="153">
        <f t="shared" si="10"/>
        <v>37.77809529982369</v>
      </c>
      <c r="BH62" s="157"/>
    </row>
    <row r="63" spans="2:60" ht="12">
      <c r="B63" s="2"/>
      <c r="E63" s="169"/>
      <c r="G63" s="18"/>
      <c r="I63" s="28"/>
      <c r="K63" s="28"/>
      <c r="M63" s="28"/>
      <c r="O63" s="270"/>
      <c r="Q63" s="28"/>
      <c r="S63" s="18"/>
      <c r="U63" s="18"/>
      <c r="W63" s="18"/>
      <c r="Y63" s="271"/>
      <c r="Z63" s="235"/>
      <c r="AB63" s="146"/>
      <c r="AC63" s="117"/>
      <c r="AD63" s="151"/>
      <c r="AF63" s="154"/>
      <c r="AH63" s="154"/>
      <c r="AJ63" s="154"/>
      <c r="AL63" s="153"/>
      <c r="AN63" s="154"/>
      <c r="AP63" s="154"/>
      <c r="AR63" s="154"/>
      <c r="AS63" s="154"/>
      <c r="AT63" s="153"/>
      <c r="AV63" s="153"/>
      <c r="AW63" s="273"/>
      <c r="AX63" s="155"/>
      <c r="AZ63" s="146"/>
      <c r="BA63" s="117"/>
      <c r="BB63" s="154"/>
      <c r="BD63" s="154"/>
      <c r="BF63" s="153"/>
      <c r="BH63" s="157"/>
    </row>
    <row r="64" spans="2:60">
      <c r="B64" s="2"/>
      <c r="E64" s="169"/>
      <c r="G64" s="267"/>
      <c r="I64" s="267"/>
      <c r="K64" s="267"/>
      <c r="M64" s="267"/>
      <c r="O64" s="267"/>
      <c r="Q64" s="267"/>
      <c r="S64" s="267"/>
      <c r="U64" s="267"/>
      <c r="W64" s="267"/>
      <c r="Y64" s="267"/>
      <c r="Z64" s="235"/>
      <c r="AB64" s="2"/>
      <c r="AF64" s="274"/>
      <c r="AH64" s="274"/>
      <c r="AJ64" s="274"/>
      <c r="AL64" s="273"/>
      <c r="AN64" s="274"/>
      <c r="AP64" s="274"/>
      <c r="AR64" s="274"/>
      <c r="AS64" s="274"/>
      <c r="AT64" s="274"/>
      <c r="AV64" s="273"/>
      <c r="AW64" s="273"/>
      <c r="AX64" s="275"/>
      <c r="AZ64" s="2"/>
      <c r="BB64" s="274"/>
      <c r="BF64" s="273"/>
      <c r="BH64" s="235"/>
    </row>
    <row r="65" spans="2:60">
      <c r="B65" s="2"/>
      <c r="E65" s="169"/>
      <c r="G65" s="267"/>
      <c r="I65" s="267"/>
      <c r="K65" s="267"/>
      <c r="M65" s="267"/>
      <c r="O65" s="267"/>
      <c r="Q65" s="267"/>
      <c r="S65" s="267"/>
      <c r="U65" s="267"/>
      <c r="W65" s="267"/>
      <c r="Y65" s="267"/>
      <c r="Z65" s="235"/>
      <c r="AB65" s="2"/>
      <c r="AF65" s="274"/>
      <c r="AH65" s="274"/>
      <c r="AJ65" s="274"/>
      <c r="AL65" s="273"/>
      <c r="AN65" s="274"/>
      <c r="AP65" s="274"/>
      <c r="AR65" s="274"/>
      <c r="AS65" s="274"/>
      <c r="AT65" s="274"/>
      <c r="AV65" s="273"/>
      <c r="AW65" s="273"/>
      <c r="AX65" s="275"/>
      <c r="AZ65" s="2"/>
      <c r="BB65" s="274"/>
      <c r="BF65" s="273"/>
      <c r="BH65" s="235"/>
    </row>
    <row r="66" spans="2:60" ht="12">
      <c r="B66" s="2"/>
      <c r="C66" s="276" t="str">
        <f>G14&amp;"-year Nominal Levelized at "&amp;TEXT($G$18,"#.00%")</f>
        <v>39-year Nominal Levelized at 7.82%</v>
      </c>
      <c r="E66" s="169"/>
      <c r="G66" s="18">
        <f>+-PMT($G$18,$G$14,NPV($G$18,G28:G62))</f>
        <v>9057.4425184090578</v>
      </c>
      <c r="I66" s="28">
        <f>+-PMT($G$18,$G$14,NPV($G$18,I28:I62))</f>
        <v>410.59593175635945</v>
      </c>
      <c r="J66" s="28"/>
      <c r="K66" s="28">
        <f>+-PMT($G$18,$G$14,NPV($G$18,K28:K62))</f>
        <v>0</v>
      </c>
      <c r="M66" s="28">
        <f>+-PMT($G$18,$G$14,NPV($G$18,M28:M62))</f>
        <v>0</v>
      </c>
      <c r="O66" s="28">
        <f>+-PMT($G$18,$G$14,NPV($G$18,O28:O62))</f>
        <v>0</v>
      </c>
      <c r="Q66" s="28">
        <f>+-PMT($G$18,$G$14,NPV($G$18,Q28:Q62))</f>
        <v>0</v>
      </c>
      <c r="S66" s="18">
        <f>+-PMT($G$18,$G$14,NPV($G$18,S28:S62))</f>
        <v>39.061852998687137</v>
      </c>
      <c r="U66" s="18">
        <f>+-PMT($G$18,$G$14,NPV($G$18,U28:U62))</f>
        <v>411.16375667828771</v>
      </c>
      <c r="W66" s="18">
        <f>+-PMT($G$18,$G$14,NPV($G$18,W28:W62))</f>
        <v>-372.10190367960053</v>
      </c>
      <c r="Y66" s="271">
        <f>+-PMT($G$18,$G$14,NPV($G$18,Y28:Y62))</f>
        <v>-40.273516972999651</v>
      </c>
      <c r="Z66" s="235"/>
      <c r="AB66" s="2"/>
      <c r="AD66" s="151">
        <f>+-PMT($G$18,$G$14,NPV($G$18,AD28:AD62))</f>
        <v>9057.4425184090578</v>
      </c>
      <c r="AF66" s="154">
        <f>+-PMT($G$18,$G$14,NPV($G$18,AF28:AF62))</f>
        <v>64.368890165814861</v>
      </c>
      <c r="AH66" s="154">
        <f>+-PMT($G$18,$G$14,NPV($G$18,AH28:AH62))</f>
        <v>7.898918111021521</v>
      </c>
      <c r="AJ66" s="154">
        <f>+-PMT($G$18,$G$14,NPV($G$18,AJ28:AJ62))</f>
        <v>1.8452619846126967</v>
      </c>
      <c r="AL66" s="153">
        <f>+-PMT($G$18,$G$14,NPV($G$18,AL28:AL62))</f>
        <v>115.83672745024589</v>
      </c>
      <c r="AN66" s="154">
        <f>+-PMT($G$18,$G$14,NPV($G$18,AN28:AN62))</f>
        <v>4.2536294882824546</v>
      </c>
      <c r="AP66" s="154">
        <f>+-PMT($G$18,$G$14,NPV($G$18,AP28:AP62))</f>
        <v>30.471899076152688</v>
      </c>
      <c r="AR66" s="154">
        <f>+-PMT($G$18,$G$14,NPV($G$18,AR28:AR62))</f>
        <v>3.7669212103087548</v>
      </c>
      <c r="AS66" s="154"/>
      <c r="AT66" s="153">
        <f>+-PMT($G$18,$G$14,NPV($G$18,AT28:AT62))</f>
        <v>94.81864540137947</v>
      </c>
      <c r="AV66" s="153">
        <f>+-PMT($G$18,$G$14,NPV($G$18,AV28:AV62))</f>
        <v>316.34511127690826</v>
      </c>
      <c r="AW66" s="273"/>
      <c r="AX66" s="155">
        <f>+-PMT($G$18,$G$14,NPV($G$18,AX28:AX62))</f>
        <v>411.16375667828771</v>
      </c>
      <c r="AZ66" s="2"/>
      <c r="BB66" s="154">
        <f>+-PMT($G$18,$G$14,NPV($G$18,BB28:BB62))</f>
        <v>55.291516009228189</v>
      </c>
      <c r="BD66" s="154">
        <f>+-PMT($G$18,$G$14,NPV($G$18,BD28:BD62))</f>
        <v>12.021507013545904</v>
      </c>
      <c r="BF66" s="153">
        <f>+-PMT($G$18,$G$14,NPV($G$18,BF28:BF62))</f>
        <v>21.018082048866439</v>
      </c>
      <c r="BH66" s="157"/>
    </row>
    <row r="67" spans="2:60">
      <c r="B67" s="2"/>
      <c r="E67" s="169"/>
      <c r="W67" s="18"/>
      <c r="Y67" s="271"/>
      <c r="Z67" s="235"/>
      <c r="AB67" s="2"/>
      <c r="AT67" s="273"/>
      <c r="AX67" s="235"/>
      <c r="AZ67" s="2"/>
      <c r="BH67" s="235"/>
    </row>
    <row r="68" spans="2:60">
      <c r="B68" s="238"/>
      <c r="C68" s="277"/>
      <c r="D68" s="277"/>
      <c r="E68" s="278"/>
      <c r="F68" s="277"/>
      <c r="G68" s="277"/>
      <c r="H68" s="277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39"/>
      <c r="AB68" s="238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77"/>
      <c r="AP68" s="277"/>
      <c r="AQ68" s="277"/>
      <c r="AR68" s="277"/>
      <c r="AS68" s="277"/>
      <c r="AT68" s="277"/>
      <c r="AU68" s="277"/>
      <c r="AV68" s="277"/>
      <c r="AW68" s="277"/>
      <c r="AX68" s="239"/>
      <c r="AZ68" s="238"/>
      <c r="BA68" s="277"/>
      <c r="BB68" s="277"/>
      <c r="BC68" s="277"/>
      <c r="BD68" s="277"/>
      <c r="BE68" s="277"/>
      <c r="BF68" s="277"/>
      <c r="BG68" s="277"/>
      <c r="BH68" s="239"/>
    </row>
    <row r="69" spans="2:60">
      <c r="E69" s="169"/>
    </row>
    <row r="70" spans="2:60">
      <c r="E70" s="169"/>
      <c r="G70" s="18"/>
      <c r="I70" s="18"/>
      <c r="K70" s="18"/>
      <c r="O70" s="18"/>
      <c r="Q70" s="18"/>
      <c r="S70" s="18"/>
      <c r="U70" s="18"/>
      <c r="W70" s="18"/>
    </row>
    <row r="71" spans="2:60">
      <c r="E71" s="169"/>
    </row>
    <row r="72" spans="2:60">
      <c r="E72" s="169"/>
    </row>
    <row r="73" spans="2:60">
      <c r="E73" s="169"/>
    </row>
    <row r="74" spans="2:60">
      <c r="E74" s="169"/>
    </row>
    <row r="75" spans="2:60">
      <c r="E75" s="169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  <row r="87" spans="5:5">
      <c r="E87" s="169"/>
    </row>
    <row r="88" spans="5:5">
      <c r="E88" s="169"/>
    </row>
    <row r="89" spans="5:5">
      <c r="E89" s="169"/>
    </row>
    <row r="90" spans="5:5">
      <c r="E90" s="169"/>
    </row>
    <row r="91" spans="5:5">
      <c r="E91" s="169"/>
    </row>
    <row r="92" spans="5:5">
      <c r="E92" s="169"/>
    </row>
  </sheetData>
  <pageMargins left="0.25" right="0.25" top="0.25" bottom="0.75" header="0.3" footer="0.3"/>
  <pageSetup paperSize="5" scale="46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ED89-78A9-453A-A879-70929D2BED89}">
  <sheetPr>
    <tabColor theme="0" tint="-0.249977111117893"/>
    <pageSetUpPr fitToPage="1"/>
  </sheetPr>
  <dimension ref="A1:BH78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3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348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49</v>
      </c>
      <c r="H11" s="252"/>
      <c r="AB11" s="122" t="s">
        <v>99</v>
      </c>
      <c r="AC11" s="123"/>
      <c r="AD11" s="123"/>
      <c r="AE11" s="123"/>
      <c r="AF11" s="281">
        <f>+G11*(G12/AJ16)</f>
        <v>20.660591540110641</v>
      </c>
      <c r="AG11" s="127"/>
      <c r="AH11" s="123" t="s">
        <v>100</v>
      </c>
      <c r="AI11" s="124"/>
      <c r="AJ11" s="166">
        <f>'(2.1)_Proxy Resources'!$N$106</f>
        <v>6.6035087719298247</v>
      </c>
      <c r="AK11" s="235"/>
      <c r="AZ11" s="122" t="s">
        <v>99</v>
      </c>
      <c r="BA11" s="123"/>
      <c r="BB11" s="123"/>
      <c r="BC11" s="123"/>
      <c r="BD11" s="281">
        <f>(AF11*AF13-G11*G19)</f>
        <v>18.372291540110641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0.32533219331688717</v>
      </c>
      <c r="H12" s="252"/>
      <c r="AB12" s="122" t="s">
        <v>32</v>
      </c>
      <c r="AC12" s="123"/>
      <c r="AD12" s="123"/>
      <c r="AE12" s="123"/>
      <c r="AF12" s="131">
        <f>+AD52/8760/AF11</f>
        <v>0.80328018767429255</v>
      </c>
      <c r="AG12" s="127"/>
      <c r="AH12" s="117" t="s">
        <v>101</v>
      </c>
      <c r="AI12" s="118"/>
      <c r="AJ12" s="117">
        <v>2002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2001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Resources'!$O$106</f>
        <v>1.5426421100500227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19</v>
      </c>
      <c r="H14" s="252"/>
      <c r="AB14" s="122" t="s">
        <v>104</v>
      </c>
      <c r="AC14" s="123"/>
      <c r="AD14" s="123"/>
      <c r="AE14" s="123"/>
      <c r="AF14" s="134">
        <f>'(2.1)_Proxy Resources'!$H$106</f>
        <v>7163.7407912687586</v>
      </c>
      <c r="AG14" s="127"/>
      <c r="AH14" s="117"/>
      <c r="AI14" s="118"/>
      <c r="AJ14" s="166"/>
      <c r="AK14" s="235"/>
      <c r="AZ14" s="122" t="s">
        <v>105</v>
      </c>
      <c r="BA14" s="123"/>
      <c r="BB14" s="123"/>
      <c r="BC14" s="123"/>
      <c r="BD14" s="167">
        <f>'(2.1)_Proxy Resources'!$J$107</f>
        <v>482</v>
      </c>
      <c r="BE14" s="132"/>
    </row>
    <row r="15" spans="1:57" ht="12">
      <c r="B15" s="250"/>
      <c r="C15" s="231" t="s">
        <v>107</v>
      </c>
      <c r="D15" s="231"/>
      <c r="E15" s="231"/>
      <c r="F15" s="231"/>
      <c r="G15" s="283"/>
      <c r="H15" s="252"/>
      <c r="AB15" s="122" t="s">
        <v>197</v>
      </c>
      <c r="AC15" s="123"/>
      <c r="AD15" s="123"/>
      <c r="AE15" s="123"/>
      <c r="AF15" s="167">
        <f>'(2.1)_Proxy Resources'!$J$106</f>
        <v>625</v>
      </c>
      <c r="AG15" s="127"/>
      <c r="AH15" s="117" t="s">
        <v>145</v>
      </c>
      <c r="AI15" s="118"/>
      <c r="AJ15" s="166">
        <f>'(2.1)_Proxy Resources'!$P$106</f>
        <v>3.1491524416152528</v>
      </c>
      <c r="AK15" s="235"/>
      <c r="AZ15" s="122" t="s">
        <v>108</v>
      </c>
      <c r="BA15" s="123"/>
      <c r="BB15" s="123"/>
      <c r="BC15" s="123"/>
      <c r="BD15" s="136">
        <f>'(2.1)_Proxy Resources'!$K$107</f>
        <v>9.5899999999999999E-2</v>
      </c>
      <c r="BE15" s="132"/>
    </row>
    <row r="16" spans="1:57" ht="12"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Resources'!$K$104</f>
        <v>8.6099999999999996E-2</v>
      </c>
      <c r="AG16" s="127"/>
      <c r="AH16" s="117" t="s">
        <v>110</v>
      </c>
      <c r="AI16" s="124"/>
      <c r="AJ16" s="137">
        <f>'(2.1)_Proxy Resources'!$D$106</f>
        <v>0.77157894736842092</v>
      </c>
      <c r="AK16" s="235"/>
      <c r="AZ16" s="122" t="s">
        <v>100</v>
      </c>
      <c r="BA16" s="124"/>
      <c r="BB16" s="166">
        <f>'(2.1)_Proxy Resources'!N107</f>
        <v>10.050000000000001</v>
      </c>
      <c r="BE16" s="130"/>
    </row>
    <row r="17" spans="2:60" ht="12"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2002</v>
      </c>
      <c r="BE17" s="128"/>
    </row>
    <row r="18" spans="2:60" ht="12">
      <c r="B18" s="250"/>
      <c r="C18" s="231" t="s">
        <v>112</v>
      </c>
      <c r="D18" s="231"/>
      <c r="E18" s="231"/>
      <c r="F18" s="231"/>
      <c r="G18" s="282">
        <v>7.8200000000000006E-2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2:60">
      <c r="B19" s="256"/>
      <c r="C19" s="257" t="s">
        <v>102</v>
      </c>
      <c r="D19" s="257"/>
      <c r="E19" s="257"/>
      <c r="F19" s="257"/>
      <c r="G19" s="168">
        <v>4.6699999999999998E-2</v>
      </c>
      <c r="H19" s="259"/>
    </row>
    <row r="20" spans="2:60">
      <c r="B20" s="231"/>
      <c r="C20" s="231"/>
      <c r="D20" s="231"/>
      <c r="E20" s="231"/>
      <c r="F20" s="231"/>
      <c r="G20" s="231"/>
      <c r="H20" s="231"/>
    </row>
    <row r="23" spans="2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2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2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2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2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2:60" ht="12">
      <c r="B28" s="2"/>
      <c r="C28">
        <f>+G13</f>
        <v>2001</v>
      </c>
      <c r="E28" s="169">
        <f>'(2.2)_Forward_Price_Curve'!$CZ$42</f>
        <v>2.5000000000000001E-2</v>
      </c>
      <c r="G28" s="18">
        <v>139263</v>
      </c>
      <c r="I28" s="284">
        <f>$G$15</f>
        <v>0</v>
      </c>
      <c r="J28" s="268"/>
      <c r="K28" s="268">
        <v>35.479999999999997</v>
      </c>
      <c r="L28" s="269"/>
      <c r="M28" s="268">
        <f>$G$17</f>
        <v>0</v>
      </c>
      <c r="O28" s="270">
        <f t="shared" ref="O28:O31" si="0">O29*1-E29</f>
        <v>4.8216537342386019</v>
      </c>
      <c r="Q28" s="28"/>
      <c r="S28" s="18">
        <f>(I28*$G$11*1000+(K28+M28+O28+Q28)*G28)/1000</f>
        <v>5612.5292039912692</v>
      </c>
      <c r="U28" s="18">
        <f>AX28</f>
        <v>4384.9000585429421</v>
      </c>
      <c r="W28" s="18">
        <f t="shared" ref="W28:W48" si="1">S28-U28</f>
        <v>1227.6291454483271</v>
      </c>
      <c r="Y28" s="271">
        <f>+W28*1000/G28</f>
        <v>8.8151852642003057</v>
      </c>
      <c r="Z28" s="235"/>
      <c r="AB28" s="146">
        <f>$C$28</f>
        <v>2001</v>
      </c>
      <c r="AC28" s="117"/>
      <c r="AD28" s="151">
        <f t="shared" ref="AD28:AD48" si="2">G28</f>
        <v>139263</v>
      </c>
      <c r="AF28" s="228">
        <f>AF29/(1+E28)</f>
        <v>49.970255800118991</v>
      </c>
      <c r="AG28" s="272"/>
      <c r="AH28" s="228">
        <f>AH29/(1+$E28)</f>
        <v>6.1320143556174296</v>
      </c>
      <c r="AI28" s="272"/>
      <c r="AJ28" s="228">
        <f>AJ29/(1+$E28)</f>
        <v>1.4324965546524495</v>
      </c>
      <c r="AK28" s="272"/>
      <c r="AL28" s="153">
        <f>((AF28+AH28)*$AF$11*1000+AJ28*AD28)/1000</f>
        <v>1358.5998558511737</v>
      </c>
      <c r="AN28" s="228">
        <f>AN29/(1+E28)</f>
        <v>3.5875645534070304</v>
      </c>
      <c r="AO28" s="279"/>
      <c r="AP28" s="154">
        <f>AN28*$AF$14/1000</f>
        <v>25.700382532551831</v>
      </c>
      <c r="AQ28" s="272"/>
      <c r="AR28" s="228">
        <f>AR29/(1+$E28)</f>
        <v>2.9243011021804128</v>
      </c>
      <c r="AS28" s="152"/>
      <c r="AT28" s="153">
        <f t="shared" ref="AT28:AT48" si="3">AL28-BF28</f>
        <v>398.54074151922532</v>
      </c>
      <c r="AU28" s="272"/>
      <c r="AV28" s="153">
        <f t="shared" ref="AV28:AV48" si="4">(AP28+AR28)*AD28/1000</f>
        <v>3986.3593170237164</v>
      </c>
      <c r="AW28" s="273"/>
      <c r="AX28" s="155">
        <f>AT28+AV28</f>
        <v>4384.9000585429421</v>
      </c>
      <c r="AZ28" s="146">
        <f>$C$28</f>
        <v>2001</v>
      </c>
      <c r="BA28" s="117"/>
      <c r="BB28" s="228">
        <f>BB29/(1+$E28)</f>
        <v>42.92339345047229</v>
      </c>
      <c r="BD28" s="228">
        <f t="shared" ref="BD28:BD30" si="5">BD29/(1+$E28)</f>
        <v>9.3324240797434772</v>
      </c>
      <c r="BE28" s="272"/>
      <c r="BF28" s="153">
        <f>(BB28+BD28)*$BD$11</f>
        <v>960.05911433194842</v>
      </c>
      <c r="BG28" s="272"/>
      <c r="BH28" s="156"/>
    </row>
    <row r="29" spans="2:60" ht="12">
      <c r="B29" s="2"/>
      <c r="C29">
        <f>+IF(C28&gt;$G$13+$G$14,XX,C28+1)</f>
        <v>2002</v>
      </c>
      <c r="E29" s="169">
        <f>E28</f>
        <v>2.5000000000000001E-2</v>
      </c>
      <c r="G29" s="18">
        <f>$G$28</f>
        <v>139263</v>
      </c>
      <c r="I29" s="28">
        <f>I28*(1+$E29)</f>
        <v>0</v>
      </c>
      <c r="K29" s="28">
        <f>K28*(1+$E29)</f>
        <v>36.36699999999999</v>
      </c>
      <c r="M29" s="28">
        <f>M28*(1+$E29)</f>
        <v>0</v>
      </c>
      <c r="O29" s="270">
        <f t="shared" si="0"/>
        <v>4.8466537342386022</v>
      </c>
      <c r="Q29" s="28"/>
      <c r="S29" s="18">
        <f t="shared" ref="S29:S48" si="6">(I29*$G$11*1000+(K29+M29+O29+Q29)*G29)/1000</f>
        <v>5739.5370599912685</v>
      </c>
      <c r="U29" s="18">
        <f t="shared" ref="U29:U48" si="7">AX29</f>
        <v>4494.5225600065151</v>
      </c>
      <c r="W29" s="18">
        <f t="shared" si="1"/>
        <v>1245.0144999847535</v>
      </c>
      <c r="Y29" s="271">
        <f t="shared" ref="Y29:Y48" si="8">+W29*1000/G29</f>
        <v>8.9400235524493485</v>
      </c>
      <c r="Z29" s="235"/>
      <c r="AB29" s="146">
        <f>+IF(AB28&gt;$G$13+$G$14,XX,AB28+1)</f>
        <v>2002</v>
      </c>
      <c r="AC29" s="117"/>
      <c r="AD29" s="151">
        <f t="shared" si="2"/>
        <v>139263</v>
      </c>
      <c r="AF29" s="228">
        <f>AF30/(1+E29)</f>
        <v>51.219512195121965</v>
      </c>
      <c r="AH29" s="228">
        <f>AH30/(1+$E29)</f>
        <v>6.2853147145078649</v>
      </c>
      <c r="AJ29" s="228">
        <f>AJ30/(1+$E29)</f>
        <v>1.4683089685187607</v>
      </c>
      <c r="AL29" s="153">
        <f t="shared" ref="AL29:AL48" si="9">((AF29+AH29)*$AF$11*1000+AJ29*AD29)/1000</f>
        <v>1392.5648522474528</v>
      </c>
      <c r="AN29" s="228">
        <f>AN30/(1+E29)</f>
        <v>3.6772536672422058</v>
      </c>
      <c r="AP29" s="154">
        <f t="shared" ref="AP29:AP48" si="10">AN29*$AF$14/1000</f>
        <v>26.342892095865622</v>
      </c>
      <c r="AR29" s="228">
        <f>AR30/(1+$E29)</f>
        <v>2.9974086297349229</v>
      </c>
      <c r="AS29" s="154"/>
      <c r="AT29" s="153">
        <f t="shared" si="3"/>
        <v>408.50426005720567</v>
      </c>
      <c r="AV29" s="153">
        <f t="shared" si="4"/>
        <v>4086.018299949309</v>
      </c>
      <c r="AW29" s="273"/>
      <c r="AX29" s="155">
        <f t="shared" ref="AX29:AX48" si="11">AT29+AV29</f>
        <v>4494.5225600065151</v>
      </c>
      <c r="AZ29" s="146">
        <f>+IF(AZ28&gt;$G$13+$G$14,XX,AZ28+1)</f>
        <v>2002</v>
      </c>
      <c r="BA29" s="117"/>
      <c r="BB29" s="228">
        <f>BB30/(1+$E29)</f>
        <v>43.996478286734096</v>
      </c>
      <c r="BD29" s="228">
        <f t="shared" si="5"/>
        <v>9.5657346817370641</v>
      </c>
      <c r="BF29" s="153">
        <f t="shared" ref="BF29:BF48" si="12">(BB29+BD29)*$BD$11</f>
        <v>984.06059219024712</v>
      </c>
      <c r="BH29" s="157"/>
    </row>
    <row r="30" spans="2:60" ht="12">
      <c r="B30" s="2"/>
      <c r="C30">
        <f>+IF(C29&gt;$G$13+$G$14,XX,C29+1)</f>
        <v>2003</v>
      </c>
      <c r="E30" s="169">
        <f t="shared" ref="E30:E48" si="13">E29</f>
        <v>2.5000000000000001E-2</v>
      </c>
      <c r="G30" s="18">
        <f t="shared" ref="G30:G48" si="14">$G$28</f>
        <v>139263</v>
      </c>
      <c r="I30" s="28">
        <f t="shared" ref="I30:I48" si="15">I29*(1+$E30)</f>
        <v>0</v>
      </c>
      <c r="K30" s="28">
        <f t="shared" ref="K30:K48" si="16">K29*(1+$E30)</f>
        <v>37.276174999999988</v>
      </c>
      <c r="M30" s="28">
        <f t="shared" ref="M30:M48" si="17">M29*(1+$E30)</f>
        <v>0</v>
      </c>
      <c r="O30" s="270">
        <f t="shared" si="0"/>
        <v>4.8716537342386026</v>
      </c>
      <c r="Q30" s="28"/>
      <c r="S30" s="18">
        <f t="shared" si="6"/>
        <v>5869.6330730162681</v>
      </c>
      <c r="U30" s="18">
        <f t="shared" si="7"/>
        <v>4606.8856240066771</v>
      </c>
      <c r="W30" s="18">
        <f t="shared" si="1"/>
        <v>1262.747449009591</v>
      </c>
      <c r="Y30" s="271">
        <f t="shared" si="8"/>
        <v>9.06735779790462</v>
      </c>
      <c r="Z30" s="235"/>
      <c r="AB30" s="146">
        <f>+IF(AB29&gt;$G$13+$G$14,XX,AB29+1)</f>
        <v>2003</v>
      </c>
      <c r="AC30" s="117"/>
      <c r="AD30" s="151">
        <f t="shared" si="2"/>
        <v>139263</v>
      </c>
      <c r="AF30" s="228">
        <f>AF31/(1+$E30)</f>
        <v>52.500000000000007</v>
      </c>
      <c r="AH30" s="228">
        <f>AH31/(1+$E30)</f>
        <v>6.4424475823705611</v>
      </c>
      <c r="AJ30" s="228">
        <f>AJ31/(1+$E30)</f>
        <v>1.5050166927317297</v>
      </c>
      <c r="AL30" s="153">
        <f t="shared" si="9"/>
        <v>1427.3789735536393</v>
      </c>
      <c r="AN30" s="228">
        <f>AN31/(1+E30)</f>
        <v>3.7691850089232606</v>
      </c>
      <c r="AP30" s="154">
        <f t="shared" si="10"/>
        <v>27.001464398262261</v>
      </c>
      <c r="AR30" s="228">
        <f>AR31/(1+$E30)</f>
        <v>3.0723438454782959</v>
      </c>
      <c r="AS30" s="154"/>
      <c r="AT30" s="153">
        <f t="shared" si="3"/>
        <v>418.71686655863618</v>
      </c>
      <c r="AV30" s="153">
        <f t="shared" si="4"/>
        <v>4188.1687574480411</v>
      </c>
      <c r="AW30" s="273"/>
      <c r="AX30" s="155">
        <f t="shared" si="11"/>
        <v>4606.8856240066771</v>
      </c>
      <c r="AZ30" s="146">
        <f>+IF(AZ29&gt;$G$13+$G$14,XX,AZ29+1)</f>
        <v>2003</v>
      </c>
      <c r="BA30" s="117"/>
      <c r="BB30" s="228">
        <f>BB31/(1+$E30)</f>
        <v>45.096390243902441</v>
      </c>
      <c r="BD30" s="228">
        <f t="shared" si="5"/>
        <v>9.8048780487804894</v>
      </c>
      <c r="BF30" s="153">
        <f t="shared" si="12"/>
        <v>1008.6621069950031</v>
      </c>
      <c r="BH30" s="157"/>
    </row>
    <row r="31" spans="2:60" ht="12">
      <c r="B31" s="2"/>
      <c r="C31">
        <f>+IF(C30&gt;$G$13+$G$14,XX,C30+1)</f>
        <v>2004</v>
      </c>
      <c r="E31" s="169">
        <f t="shared" si="13"/>
        <v>2.5000000000000001E-2</v>
      </c>
      <c r="G31" s="18">
        <f t="shared" si="14"/>
        <v>139263</v>
      </c>
      <c r="I31" s="28">
        <f t="shared" si="15"/>
        <v>0</v>
      </c>
      <c r="K31" s="28">
        <f t="shared" si="16"/>
        <v>38.208079374999983</v>
      </c>
      <c r="M31" s="28">
        <f t="shared" si="17"/>
        <v>0</v>
      </c>
      <c r="O31" s="270">
        <f t="shared" si="0"/>
        <v>4.896653734238603</v>
      </c>
      <c r="Q31" s="28"/>
      <c r="S31" s="18">
        <f t="shared" si="6"/>
        <v>6002.8944469918933</v>
      </c>
      <c r="U31" s="18">
        <f t="shared" si="7"/>
        <v>4722.0577646068441</v>
      </c>
      <c r="W31" s="18">
        <f t="shared" si="1"/>
        <v>1280.8366823850492</v>
      </c>
      <c r="Y31" s="271">
        <f t="shared" si="8"/>
        <v>9.1972503994962711</v>
      </c>
      <c r="Z31" s="235"/>
      <c r="AB31" s="146">
        <f>+IF(AB30&gt;$G$13+$G$14,XX,AB30+1)</f>
        <v>2004</v>
      </c>
      <c r="AC31" s="117"/>
      <c r="AD31" s="151">
        <f t="shared" si="2"/>
        <v>139263</v>
      </c>
      <c r="AF31" s="152">
        <f>$AF$15*$AF$16</f>
        <v>53.8125</v>
      </c>
      <c r="AH31" s="152">
        <f>$AJ$11</f>
        <v>6.6035087719298247</v>
      </c>
      <c r="AJ31" s="152">
        <f>$AJ$13</f>
        <v>1.5426421100500227</v>
      </c>
      <c r="AL31" s="153">
        <f t="shared" si="9"/>
        <v>1463.0634478924801</v>
      </c>
      <c r="AN31" s="228">
        <f>AN32/(1+E31)</f>
        <v>3.8634146341463418</v>
      </c>
      <c r="AP31" s="154">
        <f t="shared" si="10"/>
        <v>27.676501008218818</v>
      </c>
      <c r="AR31" s="152">
        <f>$AJ$15</f>
        <v>3.1491524416152528</v>
      </c>
      <c r="AS31" s="154"/>
      <c r="AT31" s="153">
        <f t="shared" si="3"/>
        <v>429.18478822260204</v>
      </c>
      <c r="AV31" s="153">
        <f t="shared" si="4"/>
        <v>4292.8729763842421</v>
      </c>
      <c r="AW31" s="273"/>
      <c r="AX31" s="155">
        <f t="shared" si="11"/>
        <v>4722.0577646068441</v>
      </c>
      <c r="AZ31" s="146">
        <f>+IF(AZ30&gt;$G$13+$G$14,XX,AZ30+1)</f>
        <v>2004</v>
      </c>
      <c r="BA31" s="117"/>
      <c r="BB31" s="152">
        <f>$BD$14*$BD$15</f>
        <v>46.223799999999997</v>
      </c>
      <c r="BD31" s="152">
        <f>$BB$16</f>
        <v>10.050000000000001</v>
      </c>
      <c r="BF31" s="153">
        <f t="shared" si="12"/>
        <v>1033.8786596698781</v>
      </c>
      <c r="BH31" s="157"/>
    </row>
    <row r="32" spans="2:60" ht="12">
      <c r="B32" s="2"/>
      <c r="C32">
        <f>+IF(C31&gt;$G$13+$G$14,XX,C31+1)</f>
        <v>2005</v>
      </c>
      <c r="E32" s="169">
        <f t="shared" si="13"/>
        <v>2.5000000000000001E-2</v>
      </c>
      <c r="G32" s="18">
        <f t="shared" si="14"/>
        <v>139263</v>
      </c>
      <c r="I32" s="28">
        <f t="shared" si="15"/>
        <v>0</v>
      </c>
      <c r="K32" s="28">
        <f t="shared" si="16"/>
        <v>39.163281359374977</v>
      </c>
      <c r="M32" s="28">
        <f t="shared" si="17"/>
        <v>0</v>
      </c>
      <c r="O32" s="270">
        <f>O33*1-E33</f>
        <v>4.9216537342386033</v>
      </c>
      <c r="Q32" s="28"/>
      <c r="S32" s="18">
        <f t="shared" si="6"/>
        <v>6139.400315941908</v>
      </c>
      <c r="U32" s="18">
        <f t="shared" si="7"/>
        <v>4840.109208722014</v>
      </c>
      <c r="W32" s="18">
        <f t="shared" si="1"/>
        <v>1299.291107219894</v>
      </c>
      <c r="Y32" s="271">
        <f t="shared" si="8"/>
        <v>9.3297653161277143</v>
      </c>
      <c r="Z32" s="235"/>
      <c r="AB32" s="146">
        <f>+IF(AB31&gt;$G$13+$G$14,XX,AB31+1)</f>
        <v>2005</v>
      </c>
      <c r="AC32" s="117"/>
      <c r="AD32" s="151">
        <f t="shared" si="2"/>
        <v>139263</v>
      </c>
      <c r="AF32" s="154">
        <f t="shared" ref="AF32:AF48" si="18">AF31*(1+$E32)</f>
        <v>55.157812499999999</v>
      </c>
      <c r="AH32" s="154">
        <f t="shared" ref="AH32:AH48" si="19">AH31*(1+$E32)</f>
        <v>6.7685964912280694</v>
      </c>
      <c r="AJ32" s="154">
        <f t="shared" ref="AJ32:AJ48" si="20">AJ31*(1+$E32)</f>
        <v>1.5812081628012731</v>
      </c>
      <c r="AL32" s="153">
        <f t="shared" si="9"/>
        <v>1499.6400340897919</v>
      </c>
      <c r="AN32" s="154">
        <f>INDEX('(2.2)_Forward_Price_Curve'!$G:$G,MATCH($AB32,'(2.2)_Forward_Price_Curve'!$C:$C,0),1)</f>
        <v>3.96</v>
      </c>
      <c r="AP32" s="154">
        <f t="shared" si="10"/>
        <v>28.368413533424281</v>
      </c>
      <c r="AR32" s="154">
        <f t="shared" ref="AR32:AR48" si="21">AR31*(1+$E32)</f>
        <v>3.2278812526556337</v>
      </c>
      <c r="AS32" s="154"/>
      <c r="AT32" s="153">
        <f t="shared" si="3"/>
        <v>439.91440792816684</v>
      </c>
      <c r="AV32" s="153">
        <f t="shared" si="4"/>
        <v>4400.1948007938472</v>
      </c>
      <c r="AW32" s="273"/>
      <c r="AX32" s="155">
        <f t="shared" si="11"/>
        <v>4840.109208722014</v>
      </c>
      <c r="AZ32" s="146">
        <f>+IF(AZ31&gt;$G$13+$G$14,XX,AZ31+1)</f>
        <v>2005</v>
      </c>
      <c r="BA32" s="117"/>
      <c r="BB32" s="154">
        <f t="shared" ref="BB32:BB48" si="22">BB31*(1+$E32)</f>
        <v>47.379394999999995</v>
      </c>
      <c r="BD32" s="154">
        <f t="shared" ref="BD32:BD48" si="23">BD31*(1+$E32)</f>
        <v>10.30125</v>
      </c>
      <c r="BF32" s="153">
        <f t="shared" si="12"/>
        <v>1059.7256261616251</v>
      </c>
      <c r="BH32" s="157"/>
    </row>
    <row r="33" spans="2:60" ht="12">
      <c r="B33" s="2"/>
      <c r="C33">
        <f>+IF(C32&gt;$G$13+$G$14,XX,C32+1)</f>
        <v>2006</v>
      </c>
      <c r="E33" s="169">
        <f t="shared" si="13"/>
        <v>2.5000000000000001E-2</v>
      </c>
      <c r="G33" s="18">
        <f t="shared" si="14"/>
        <v>139263</v>
      </c>
      <c r="I33" s="28">
        <f t="shared" si="15"/>
        <v>0</v>
      </c>
      <c r="K33" s="28">
        <f t="shared" si="16"/>
        <v>40.142363393359346</v>
      </c>
      <c r="M33" s="28">
        <f t="shared" si="17"/>
        <v>0</v>
      </c>
      <c r="O33" s="270">
        <f>'(2.2)_Forward_Price_Curve'!Y20</f>
        <v>4.9466537342386037</v>
      </c>
      <c r="Q33" s="28"/>
      <c r="S33" s="18">
        <f t="shared" si="6"/>
        <v>6279.2317922406728</v>
      </c>
      <c r="U33" s="18">
        <f t="shared" si="7"/>
        <v>4902.2509409450122</v>
      </c>
      <c r="W33" s="18">
        <f t="shared" si="1"/>
        <v>1376.9808512956606</v>
      </c>
      <c r="Y33" s="271">
        <f t="shared" si="8"/>
        <v>9.8876288123597842</v>
      </c>
      <c r="Z33" s="235"/>
      <c r="AB33" s="146">
        <f>+IF(AB32&gt;$G$13+$G$14,XX,AB32+1)</f>
        <v>2006</v>
      </c>
      <c r="AC33" s="117"/>
      <c r="AD33" s="151">
        <f t="shared" si="2"/>
        <v>139263</v>
      </c>
      <c r="AF33" s="154">
        <f t="shared" si="18"/>
        <v>56.536757812499992</v>
      </c>
      <c r="AH33" s="154">
        <f t="shared" si="19"/>
        <v>6.9378114035087703</v>
      </c>
      <c r="AJ33" s="154">
        <f t="shared" si="20"/>
        <v>1.6207383668713047</v>
      </c>
      <c r="AL33" s="153">
        <f t="shared" si="9"/>
        <v>1537.1310349420362</v>
      </c>
      <c r="AN33" s="154">
        <f>INDEX('(2.2)_Forward_Price_Curve'!$G:$G,MATCH($AB33,'(2.2)_Forward_Price_Curve'!$C:$C,0),1)</f>
        <v>4</v>
      </c>
      <c r="AP33" s="154">
        <f t="shared" si="10"/>
        <v>28.654963165075035</v>
      </c>
      <c r="AR33" s="154">
        <f t="shared" si="21"/>
        <v>3.3085782839720244</v>
      </c>
      <c r="AS33" s="154"/>
      <c r="AT33" s="153">
        <f t="shared" si="3"/>
        <v>450.91226812637046</v>
      </c>
      <c r="AV33" s="153">
        <f t="shared" si="4"/>
        <v>4451.3386728186415</v>
      </c>
      <c r="AW33" s="273"/>
      <c r="AX33" s="155">
        <f t="shared" si="11"/>
        <v>4902.2509409450122</v>
      </c>
      <c r="AZ33" s="146">
        <f>+IF(AZ32&gt;$G$13+$G$14,XX,AZ32+1)</f>
        <v>2006</v>
      </c>
      <c r="BA33" s="117"/>
      <c r="BB33" s="154">
        <f t="shared" si="22"/>
        <v>48.563879874999991</v>
      </c>
      <c r="BD33" s="154">
        <f t="shared" si="23"/>
        <v>10.558781249999999</v>
      </c>
      <c r="BF33" s="153">
        <f t="shared" si="12"/>
        <v>1086.2187668156657</v>
      </c>
      <c r="BH33" s="157"/>
    </row>
    <row r="34" spans="2:60" ht="12">
      <c r="B34" s="2"/>
      <c r="C34">
        <f>+IF(C33&gt;$G$13+$G$14,XX,C33+1)</f>
        <v>2007</v>
      </c>
      <c r="E34" s="169">
        <f t="shared" si="13"/>
        <v>2.5000000000000001E-2</v>
      </c>
      <c r="G34" s="18">
        <f t="shared" si="14"/>
        <v>139263</v>
      </c>
      <c r="I34" s="28">
        <f t="shared" si="15"/>
        <v>0</v>
      </c>
      <c r="K34" s="28">
        <f t="shared" si="16"/>
        <v>41.145922478193327</v>
      </c>
      <c r="M34" s="28">
        <f t="shared" si="17"/>
        <v>0</v>
      </c>
      <c r="O34" s="270">
        <f>'(2.2)_Forward_Price_Curve'!Y25</f>
        <v>5.4772233376778976</v>
      </c>
      <c r="Q34" s="28"/>
      <c r="S34" s="18">
        <f t="shared" si="6"/>
        <v>6492.8791557556742</v>
      </c>
      <c r="U34" s="18">
        <f t="shared" si="7"/>
        <v>5144.5244985263726</v>
      </c>
      <c r="W34" s="18">
        <f t="shared" si="1"/>
        <v>1348.3546572293017</v>
      </c>
      <c r="Y34" s="271">
        <f t="shared" si="8"/>
        <v>9.6820738977998584</v>
      </c>
      <c r="Z34" s="235"/>
      <c r="AB34" s="146">
        <f>+IF(AB33&gt;$G$13+$G$14,XX,AB33+1)</f>
        <v>2007</v>
      </c>
      <c r="AC34" s="117"/>
      <c r="AD34" s="151">
        <f t="shared" si="2"/>
        <v>139263</v>
      </c>
      <c r="AF34" s="154">
        <f t="shared" si="18"/>
        <v>57.950176757812486</v>
      </c>
      <c r="AH34" s="154">
        <f t="shared" si="19"/>
        <v>7.1112566885964892</v>
      </c>
      <c r="AJ34" s="154">
        <f t="shared" si="20"/>
        <v>1.6612568260430871</v>
      </c>
      <c r="AL34" s="153">
        <f t="shared" si="9"/>
        <v>1575.559310815587</v>
      </c>
      <c r="AN34" s="154">
        <f>INDEX('(2.2)_Forward_Price_Curve'!$G:$G,MATCH($AB34,'(2.2)_Forward_Price_Curve'!$C:$C,0),1)</f>
        <v>4.22</v>
      </c>
      <c r="AP34" s="154">
        <f t="shared" si="10"/>
        <v>30.230986139154162</v>
      </c>
      <c r="AR34" s="154">
        <f t="shared" si="21"/>
        <v>3.3912927410713247</v>
      </c>
      <c r="AS34" s="154"/>
      <c r="AT34" s="153">
        <f t="shared" si="3"/>
        <v>462.18507482952987</v>
      </c>
      <c r="AV34" s="153">
        <f t="shared" si="4"/>
        <v>4682.3394236968425</v>
      </c>
      <c r="AW34" s="273"/>
      <c r="AX34" s="155">
        <f t="shared" si="11"/>
        <v>5144.5244985263726</v>
      </c>
      <c r="AZ34" s="146">
        <f>+IF(AZ33&gt;$G$13+$G$14,XX,AZ33+1)</f>
        <v>2007</v>
      </c>
      <c r="BA34" s="117"/>
      <c r="BB34" s="154">
        <f t="shared" si="22"/>
        <v>49.777976871874984</v>
      </c>
      <c r="BD34" s="154">
        <f t="shared" si="23"/>
        <v>10.822750781249999</v>
      </c>
      <c r="BF34" s="153">
        <f t="shared" si="12"/>
        <v>1113.3742359860571</v>
      </c>
      <c r="BH34" s="157"/>
    </row>
    <row r="35" spans="2:60" ht="12">
      <c r="B35" s="2"/>
      <c r="C35">
        <f>+IF(C34&gt;$G$13+$G$14,XX,C34+1)</f>
        <v>2008</v>
      </c>
      <c r="E35" s="169">
        <f t="shared" si="13"/>
        <v>2.5000000000000001E-2</v>
      </c>
      <c r="G35" s="18">
        <f t="shared" si="14"/>
        <v>139263</v>
      </c>
      <c r="I35" s="28">
        <f t="shared" si="15"/>
        <v>0</v>
      </c>
      <c r="K35" s="28">
        <f>K34*(1+$E35)</f>
        <v>42.17457054014816</v>
      </c>
      <c r="M35" s="28">
        <f t="shared" si="17"/>
        <v>0</v>
      </c>
      <c r="O35" s="270">
        <f>'(2.2)_Forward_Price_Curve'!Y26</f>
        <v>5.5867678044314557</v>
      </c>
      <c r="Q35" s="28"/>
      <c r="S35" s="18">
        <f t="shared" si="6"/>
        <v>6651.3872618811902</v>
      </c>
      <c r="U35" s="18">
        <f t="shared" si="7"/>
        <v>5367.4149721849972</v>
      </c>
      <c r="W35" s="18">
        <f t="shared" si="1"/>
        <v>1283.972289696193</v>
      </c>
      <c r="Y35" s="271">
        <f t="shared" si="8"/>
        <v>9.2197661237815716</v>
      </c>
      <c r="Z35" s="235"/>
      <c r="AB35" s="146">
        <f>+IF(AB34&gt;$G$13+$G$14,XX,AB34+1)</f>
        <v>2008</v>
      </c>
      <c r="AC35" s="117"/>
      <c r="AD35" s="151">
        <f t="shared" si="2"/>
        <v>139263</v>
      </c>
      <c r="AF35" s="154">
        <f t="shared" si="18"/>
        <v>59.398931176757792</v>
      </c>
      <c r="AH35" s="154">
        <f t="shared" si="19"/>
        <v>7.2890381058114011</v>
      </c>
      <c r="AJ35" s="154">
        <f t="shared" si="20"/>
        <v>1.7027882466941642</v>
      </c>
      <c r="AL35" s="153">
        <f t="shared" si="9"/>
        <v>1614.9482935859769</v>
      </c>
      <c r="AN35" s="154">
        <f>INDEX('(2.2)_Forward_Price_Curve'!$G:$G,MATCH($AB35,'(2.2)_Forward_Price_Curve'!$C:$C,0),1)</f>
        <v>4.42</v>
      </c>
      <c r="AP35" s="154">
        <f t="shared" si="10"/>
        <v>31.66373429740791</v>
      </c>
      <c r="AR35" s="154">
        <f t="shared" si="21"/>
        <v>3.4760750595981076</v>
      </c>
      <c r="AS35" s="154"/>
      <c r="AT35" s="153">
        <f t="shared" si="3"/>
        <v>473.73970170026837</v>
      </c>
      <c r="AV35" s="153">
        <f t="shared" si="4"/>
        <v>4893.6752704847286</v>
      </c>
      <c r="AW35" s="273"/>
      <c r="AX35" s="155">
        <f t="shared" si="11"/>
        <v>5367.4149721849972</v>
      </c>
      <c r="AZ35" s="146">
        <f>+IF(AZ34&gt;$G$13+$G$14,XX,AZ34+1)</f>
        <v>2008</v>
      </c>
      <c r="BA35" s="117"/>
      <c r="BB35" s="154">
        <f t="shared" si="22"/>
        <v>51.022426293671856</v>
      </c>
      <c r="BD35" s="154">
        <f t="shared" si="23"/>
        <v>11.093319550781247</v>
      </c>
      <c r="BF35" s="153">
        <f t="shared" si="12"/>
        <v>1141.2085918857085</v>
      </c>
      <c r="BH35" s="157"/>
    </row>
    <row r="36" spans="2:60" ht="12">
      <c r="B36" s="2"/>
      <c r="C36">
        <f>+IF(C35&gt;$G$13+$G$14,XX,C35+1)</f>
        <v>2009</v>
      </c>
      <c r="E36" s="169">
        <f t="shared" si="13"/>
        <v>2.5000000000000001E-2</v>
      </c>
      <c r="G36" s="18">
        <f t="shared" si="14"/>
        <v>139263</v>
      </c>
      <c r="I36" s="28">
        <f t="shared" si="15"/>
        <v>0</v>
      </c>
      <c r="K36" s="28">
        <f t="shared" si="16"/>
        <v>43.22893480365186</v>
      </c>
      <c r="M36" s="28">
        <f t="shared" si="17"/>
        <v>0</v>
      </c>
      <c r="O36" s="270">
        <f>'(2.2)_Forward_Price_Curve'!Y27</f>
        <v>5.6929163927156532</v>
      </c>
      <c r="Q36" s="28"/>
      <c r="S36" s="18">
        <f t="shared" si="6"/>
        <v>6813.0037631597288</v>
      </c>
      <c r="U36" s="18">
        <f t="shared" si="7"/>
        <v>5261.666956357245</v>
      </c>
      <c r="W36" s="18">
        <f t="shared" si="1"/>
        <v>1551.3368068024838</v>
      </c>
      <c r="Y36" s="271">
        <f t="shared" si="8"/>
        <v>11.139619330349653</v>
      </c>
      <c r="Z36" s="235"/>
      <c r="AB36" s="146">
        <f>+IF(AB35&gt;$G$13+$G$14,XX,AB35+1)</f>
        <v>2009</v>
      </c>
      <c r="AC36" s="117"/>
      <c r="AD36" s="151">
        <f t="shared" si="2"/>
        <v>139263</v>
      </c>
      <c r="AF36" s="154">
        <f t="shared" si="18"/>
        <v>60.88390445617673</v>
      </c>
      <c r="AH36" s="154">
        <f t="shared" si="19"/>
        <v>7.4712640584566854</v>
      </c>
      <c r="AJ36" s="154">
        <f t="shared" si="20"/>
        <v>1.7453579528615182</v>
      </c>
      <c r="AL36" s="153">
        <f t="shared" si="9"/>
        <v>1655.3220009256261</v>
      </c>
      <c r="AN36" s="154">
        <f>INDEX('(2.2)_Forward_Price_Curve'!$G:$G,MATCH($AB36,'(2.2)_Forward_Price_Curve'!$C:$C,0),1)</f>
        <v>4.29</v>
      </c>
      <c r="AP36" s="154">
        <f t="shared" si="10"/>
        <v>30.732447994542973</v>
      </c>
      <c r="AR36" s="154">
        <f t="shared" si="21"/>
        <v>3.5629769360880599</v>
      </c>
      <c r="AS36" s="154"/>
      <c r="AT36" s="153">
        <f t="shared" si="3"/>
        <v>485.58319424277511</v>
      </c>
      <c r="AV36" s="153">
        <f t="shared" si="4"/>
        <v>4776.0837621144701</v>
      </c>
      <c r="AW36" s="273"/>
      <c r="AX36" s="155">
        <f t="shared" si="11"/>
        <v>5261.666956357245</v>
      </c>
      <c r="AZ36" s="146">
        <f>+IF(AZ35&gt;$G$13+$G$14,XX,AZ35+1)</f>
        <v>2009</v>
      </c>
      <c r="BA36" s="117"/>
      <c r="BB36" s="154">
        <f t="shared" si="22"/>
        <v>52.297986951013648</v>
      </c>
      <c r="BD36" s="154">
        <f t="shared" si="23"/>
        <v>11.370652539550777</v>
      </c>
      <c r="BF36" s="153">
        <f t="shared" si="12"/>
        <v>1169.738806682851</v>
      </c>
      <c r="BH36" s="157"/>
    </row>
    <row r="37" spans="2:60" ht="12">
      <c r="B37" s="2"/>
      <c r="C37">
        <f>+IF(C36&gt;$G$13+$G$14,XX,C36+1)</f>
        <v>2010</v>
      </c>
      <c r="E37" s="169">
        <f t="shared" si="13"/>
        <v>2.5000000000000001E-2</v>
      </c>
      <c r="G37" s="18">
        <f t="shared" si="14"/>
        <v>139263</v>
      </c>
      <c r="I37" s="28">
        <f t="shared" si="15"/>
        <v>0</v>
      </c>
      <c r="K37" s="28">
        <f t="shared" si="16"/>
        <v>44.309658173743152</v>
      </c>
      <c r="M37" s="28">
        <f t="shared" si="17"/>
        <v>0</v>
      </c>
      <c r="O37" s="270">
        <f>'(2.2)_Forward_Price_Curve'!Y28</f>
        <v>5.7953888877845348</v>
      </c>
      <c r="Q37" s="28"/>
      <c r="S37" s="18">
        <f t="shared" si="6"/>
        <v>6977.77916892953</v>
      </c>
      <c r="U37" s="18">
        <f t="shared" si="7"/>
        <v>4767.436410056056</v>
      </c>
      <c r="W37" s="18">
        <f t="shared" si="1"/>
        <v>2210.3427588734739</v>
      </c>
      <c r="Y37" s="271">
        <f t="shared" si="8"/>
        <v>15.871715810182703</v>
      </c>
      <c r="Z37" s="235"/>
      <c r="AB37" s="146">
        <f>+IF(AB36&gt;$G$13+$G$14,XX,AB36+1)</f>
        <v>2010</v>
      </c>
      <c r="AC37" s="117"/>
      <c r="AD37" s="151">
        <f t="shared" si="2"/>
        <v>139263</v>
      </c>
      <c r="AF37" s="154">
        <f t="shared" si="18"/>
        <v>62.406002067581142</v>
      </c>
      <c r="AH37" s="154">
        <f t="shared" si="19"/>
        <v>7.6580456599181019</v>
      </c>
      <c r="AJ37" s="154">
        <f t="shared" si="20"/>
        <v>1.788991901683056</v>
      </c>
      <c r="AL37" s="153">
        <f t="shared" si="9"/>
        <v>1696.7050509487665</v>
      </c>
      <c r="AN37" s="154">
        <f>INDEX('(2.2)_Forward_Price_Curve'!$G:$G,MATCH($AB37,'(2.2)_Forward_Price_Curve'!$C:$C,0),1)</f>
        <v>3.77</v>
      </c>
      <c r="AP37" s="154">
        <f t="shared" si="10"/>
        <v>27.007302783083222</v>
      </c>
      <c r="AR37" s="154">
        <f t="shared" si="21"/>
        <v>3.6520513594902613</v>
      </c>
      <c r="AS37" s="154"/>
      <c r="AT37" s="153">
        <f t="shared" si="3"/>
        <v>497.72277409884441</v>
      </c>
      <c r="AV37" s="153">
        <f t="shared" si="4"/>
        <v>4269.7136359572114</v>
      </c>
      <c r="AW37" s="273"/>
      <c r="AX37" s="155">
        <f t="shared" si="11"/>
        <v>4767.436410056056</v>
      </c>
      <c r="AZ37" s="146">
        <f>+IF(AZ36&gt;$G$13+$G$14,XX,AZ36+1)</f>
        <v>2010</v>
      </c>
      <c r="BA37" s="117"/>
      <c r="BB37" s="154">
        <f t="shared" si="22"/>
        <v>53.605436624788986</v>
      </c>
      <c r="BD37" s="154">
        <f t="shared" si="23"/>
        <v>11.654918853039545</v>
      </c>
      <c r="BF37" s="153">
        <f t="shared" si="12"/>
        <v>1198.9822768499221</v>
      </c>
      <c r="BH37" s="157"/>
    </row>
    <row r="38" spans="2:60" ht="12">
      <c r="B38" s="2"/>
      <c r="C38">
        <f>+IF(C37&gt;$G$13+$G$14,XX,C37+1)</f>
        <v>2011</v>
      </c>
      <c r="E38" s="169">
        <f t="shared" si="13"/>
        <v>2.5000000000000001E-2</v>
      </c>
      <c r="G38" s="18">
        <f t="shared" si="14"/>
        <v>139263</v>
      </c>
      <c r="I38" s="28">
        <f t="shared" si="15"/>
        <v>0</v>
      </c>
      <c r="K38" s="28">
        <f t="shared" si="16"/>
        <v>45.417399628086727</v>
      </c>
      <c r="M38" s="28">
        <f t="shared" si="17"/>
        <v>0</v>
      </c>
      <c r="O38" s="270">
        <f>'(2.2)_Forward_Price_Curve'!Y29</f>
        <v>5.8997058877646564</v>
      </c>
      <c r="Q38" s="28"/>
      <c r="S38" s="18">
        <f t="shared" si="6"/>
        <v>7146.5740654540105</v>
      </c>
      <c r="U38" s="18">
        <f t="shared" si="7"/>
        <v>4932.2645348544684</v>
      </c>
      <c r="W38" s="18">
        <f t="shared" si="1"/>
        <v>2214.3095305995421</v>
      </c>
      <c r="Y38" s="271">
        <f t="shared" si="8"/>
        <v>15.90019984202223</v>
      </c>
      <c r="Z38" s="235"/>
      <c r="AB38" s="146">
        <f>+IF(AB37&gt;$G$13+$G$14,XX,AB37+1)</f>
        <v>2011</v>
      </c>
      <c r="AC38" s="117"/>
      <c r="AD38" s="151">
        <f t="shared" si="2"/>
        <v>139263</v>
      </c>
      <c r="AF38" s="154">
        <f t="shared" si="18"/>
        <v>63.966152119270667</v>
      </c>
      <c r="AH38" s="154">
        <f t="shared" si="19"/>
        <v>7.8494968014160538</v>
      </c>
      <c r="AJ38" s="154">
        <f t="shared" si="20"/>
        <v>1.8337166992251321</v>
      </c>
      <c r="AL38" s="153">
        <f t="shared" si="9"/>
        <v>1739.1226772224857</v>
      </c>
      <c r="AN38" s="154">
        <f>INDEX('(2.2)_Forward_Price_Curve'!$G:$G,MATCH($AB38,'(2.2)_Forward_Price_Curve'!$C:$C,0),1)</f>
        <v>3.91</v>
      </c>
      <c r="AP38" s="154">
        <f t="shared" si="10"/>
        <v>28.010226493860845</v>
      </c>
      <c r="AR38" s="154">
        <f t="shared" si="21"/>
        <v>3.7433526434775173</v>
      </c>
      <c r="AS38" s="154"/>
      <c r="AT38" s="153">
        <f t="shared" si="3"/>
        <v>510.1658434513156</v>
      </c>
      <c r="AV38" s="153">
        <f t="shared" si="4"/>
        <v>4422.0986914031528</v>
      </c>
      <c r="AW38" s="273"/>
      <c r="AX38" s="155">
        <f t="shared" si="11"/>
        <v>4932.2645348544684</v>
      </c>
      <c r="AZ38" s="146">
        <f>+IF(AZ37&gt;$G$13+$G$14,XX,AZ37+1)</f>
        <v>2011</v>
      </c>
      <c r="BA38" s="117"/>
      <c r="BB38" s="154">
        <f t="shared" si="22"/>
        <v>54.945572540408705</v>
      </c>
      <c r="BD38" s="154">
        <f t="shared" si="23"/>
        <v>11.946291824365533</v>
      </c>
      <c r="BF38" s="153">
        <f t="shared" si="12"/>
        <v>1228.9568337711701</v>
      </c>
      <c r="BH38" s="157"/>
    </row>
    <row r="39" spans="2:60" ht="12">
      <c r="B39" s="2"/>
      <c r="C39">
        <f>+IF(C38&gt;$G$13+$G$14,XX,C38+1)</f>
        <v>2012</v>
      </c>
      <c r="E39" s="169">
        <f t="shared" si="13"/>
        <v>2.5000000000000001E-2</v>
      </c>
      <c r="G39" s="18">
        <f t="shared" si="14"/>
        <v>139263</v>
      </c>
      <c r="I39" s="28">
        <f t="shared" si="15"/>
        <v>0</v>
      </c>
      <c r="K39" s="28">
        <f t="shared" si="16"/>
        <v>46.552834618788893</v>
      </c>
      <c r="M39" s="28">
        <f t="shared" si="17"/>
        <v>0</v>
      </c>
      <c r="O39" s="270">
        <f>'(2.2)_Forward_Price_Curve'!Y30</f>
        <v>6.0059005937444203</v>
      </c>
      <c r="Q39" s="28"/>
      <c r="S39" s="18">
        <f t="shared" si="6"/>
        <v>7319.4871419030269</v>
      </c>
      <c r="U39" s="18">
        <f t="shared" si="7"/>
        <v>5446.8970204895522</v>
      </c>
      <c r="W39" s="18">
        <f t="shared" si="1"/>
        <v>1872.5901214134747</v>
      </c>
      <c r="Y39" s="271">
        <f t="shared" si="8"/>
        <v>13.44642957148327</v>
      </c>
      <c r="Z39" s="235"/>
      <c r="AB39" s="146">
        <f>+IF(AB38&gt;$G$13+$G$14,XX,AB38+1)</f>
        <v>2012</v>
      </c>
      <c r="AC39" s="117"/>
      <c r="AD39" s="151">
        <f t="shared" si="2"/>
        <v>139263</v>
      </c>
      <c r="AF39" s="154">
        <f t="shared" si="18"/>
        <v>65.565305922252435</v>
      </c>
      <c r="AH39" s="154">
        <f t="shared" si="19"/>
        <v>8.045734221451454</v>
      </c>
      <c r="AJ39" s="154">
        <f t="shared" si="20"/>
        <v>1.8795596167057602</v>
      </c>
      <c r="AL39" s="153">
        <f t="shared" si="9"/>
        <v>1782.6007441530473</v>
      </c>
      <c r="AN39" s="154">
        <f>INDEX('(2.2)_Forward_Price_Curve'!$G:$G,MATCH($AB39,'(2.2)_Forward_Price_Curve'!$C:$C,0),1)</f>
        <v>4.4000000000000004</v>
      </c>
      <c r="AP39" s="154">
        <f t="shared" si="10"/>
        <v>31.520459481582542</v>
      </c>
      <c r="AR39" s="154">
        <f t="shared" si="21"/>
        <v>3.8369364595644551</v>
      </c>
      <c r="AS39" s="154"/>
      <c r="AT39" s="153">
        <f t="shared" si="3"/>
        <v>522.91998953759798</v>
      </c>
      <c r="AV39" s="153">
        <f t="shared" si="4"/>
        <v>4923.9770309519545</v>
      </c>
      <c r="AW39" s="273"/>
      <c r="AX39" s="155">
        <f t="shared" si="11"/>
        <v>5446.8970204895522</v>
      </c>
      <c r="AZ39" s="146">
        <f>+IF(AZ38&gt;$G$13+$G$14,XX,AZ38+1)</f>
        <v>2012</v>
      </c>
      <c r="BA39" s="117"/>
      <c r="BB39" s="154">
        <f t="shared" si="22"/>
        <v>56.319211853918915</v>
      </c>
      <c r="BD39" s="154">
        <f t="shared" si="23"/>
        <v>12.24494911997467</v>
      </c>
      <c r="BF39" s="153">
        <f t="shared" si="12"/>
        <v>1259.6807546154494</v>
      </c>
      <c r="BH39" s="157"/>
    </row>
    <row r="40" spans="2:60" ht="12">
      <c r="B40" s="2"/>
      <c r="C40">
        <f>+IF(C39&gt;$G$13+$G$14,XX,C39+1)</f>
        <v>2013</v>
      </c>
      <c r="E40" s="169">
        <f t="shared" si="13"/>
        <v>2.5000000000000001E-2</v>
      </c>
      <c r="G40" s="18">
        <f t="shared" si="14"/>
        <v>139263</v>
      </c>
      <c r="I40" s="28">
        <f t="shared" si="15"/>
        <v>0</v>
      </c>
      <c r="K40" s="28">
        <f t="shared" si="16"/>
        <v>47.716655484258609</v>
      </c>
      <c r="M40" s="28">
        <f t="shared" si="17"/>
        <v>0</v>
      </c>
      <c r="O40" s="270">
        <f>'(2.2)_Forward_Price_Curve'!Y31</f>
        <v>6.1140068044318197</v>
      </c>
      <c r="Q40" s="28"/>
      <c r="S40" s="18">
        <f t="shared" si="6"/>
        <v>7496.6195223098948</v>
      </c>
      <c r="U40" s="18">
        <f t="shared" si="7"/>
        <v>5712.7631703976704</v>
      </c>
      <c r="W40" s="18">
        <f t="shared" si="1"/>
        <v>1783.8563519122245</v>
      </c>
      <c r="Y40" s="271">
        <f t="shared" si="8"/>
        <v>12.809262703749198</v>
      </c>
      <c r="Z40" s="235"/>
      <c r="AB40" s="146">
        <f>+IF(AB39&gt;$G$13+$G$14,XX,AB39+1)</f>
        <v>2013</v>
      </c>
      <c r="AC40" s="117"/>
      <c r="AD40" s="151">
        <f t="shared" si="2"/>
        <v>139263</v>
      </c>
      <c r="AF40" s="154">
        <f t="shared" si="18"/>
        <v>67.204438570308739</v>
      </c>
      <c r="AH40" s="154">
        <f t="shared" si="19"/>
        <v>8.2468775769877389</v>
      </c>
      <c r="AJ40" s="154">
        <f t="shared" si="20"/>
        <v>1.9265486071234041</v>
      </c>
      <c r="AL40" s="153">
        <f t="shared" si="9"/>
        <v>1827.1657627568736</v>
      </c>
      <c r="AN40" s="154">
        <f>INDEX('(2.2)_Forward_Price_Curve'!$G:$G,MATCH($AB40,'(2.2)_Forward_Price_Curve'!$C:$C,0),1)</f>
        <v>4.6399999999999997</v>
      </c>
      <c r="AP40" s="154">
        <f t="shared" si="10"/>
        <v>33.239757271487044</v>
      </c>
      <c r="AR40" s="154">
        <f t="shared" si="21"/>
        <v>3.9328598710535663</v>
      </c>
      <c r="AS40" s="154"/>
      <c r="AT40" s="153">
        <f t="shared" si="3"/>
        <v>535.99298927603832</v>
      </c>
      <c r="AV40" s="153">
        <f t="shared" si="4"/>
        <v>5176.770181121632</v>
      </c>
      <c r="AW40" s="273"/>
      <c r="AX40" s="155">
        <f t="shared" si="11"/>
        <v>5712.7631703976704</v>
      </c>
      <c r="AZ40" s="146">
        <f>+IF(AZ39&gt;$G$13+$G$14,XX,AZ39+1)</f>
        <v>2013</v>
      </c>
      <c r="BA40" s="117"/>
      <c r="BB40" s="154">
        <f t="shared" si="22"/>
        <v>57.72719215026688</v>
      </c>
      <c r="BD40" s="154">
        <f t="shared" si="23"/>
        <v>12.551072847974035</v>
      </c>
      <c r="BF40" s="153">
        <f t="shared" si="12"/>
        <v>1291.1727734808353</v>
      </c>
      <c r="BH40" s="157"/>
    </row>
    <row r="41" spans="2:60" ht="12">
      <c r="B41" s="2"/>
      <c r="C41">
        <f>+IF(C40&gt;$G$13+$G$14,XX,C40+1)</f>
        <v>2014</v>
      </c>
      <c r="E41" s="169">
        <f t="shared" si="13"/>
        <v>2.5000000000000001E-2</v>
      </c>
      <c r="G41" s="18">
        <f t="shared" si="14"/>
        <v>139263</v>
      </c>
      <c r="I41" s="28">
        <f t="shared" si="15"/>
        <v>0</v>
      </c>
      <c r="K41" s="28">
        <f t="shared" si="16"/>
        <v>48.909571871365074</v>
      </c>
      <c r="M41" s="28">
        <f t="shared" si="17"/>
        <v>0</v>
      </c>
      <c r="O41" s="270">
        <f>'(2.2)_Forward_Price_Curve'!Y32</f>
        <v>6.2240589269115922</v>
      </c>
      <c r="Q41" s="28"/>
      <c r="S41" s="18">
        <f t="shared" si="6"/>
        <v>7678.0748258604035</v>
      </c>
      <c r="U41" s="18">
        <f t="shared" si="7"/>
        <v>5550.3031753103878</v>
      </c>
      <c r="W41" s="18">
        <f t="shared" si="1"/>
        <v>2127.7716505500157</v>
      </c>
      <c r="Y41" s="271">
        <f t="shared" si="8"/>
        <v>15.278800905840143</v>
      </c>
      <c r="Z41" s="235"/>
      <c r="AB41" s="146">
        <f>+IF(AB40&gt;$G$13+$G$14,XX,AB40+1)</f>
        <v>2014</v>
      </c>
      <c r="AC41" s="117"/>
      <c r="AD41" s="151">
        <f t="shared" si="2"/>
        <v>139263</v>
      </c>
      <c r="AF41" s="154">
        <f t="shared" si="18"/>
        <v>68.884549534566446</v>
      </c>
      <c r="AH41" s="154">
        <f t="shared" si="19"/>
        <v>8.4530495164124311</v>
      </c>
      <c r="AJ41" s="154">
        <f t="shared" si="20"/>
        <v>1.9747123223014891</v>
      </c>
      <c r="AL41" s="153">
        <f t="shared" si="9"/>
        <v>1872.8449068257953</v>
      </c>
      <c r="AN41" s="154">
        <f>INDEX('(2.2)_Forward_Price_Curve'!$G:$G,MATCH($AB41,'(2.2)_Forward_Price_Curve'!$C:$C,0),1)</f>
        <v>4.45</v>
      </c>
      <c r="AP41" s="154">
        <f t="shared" si="10"/>
        <v>31.878646521145978</v>
      </c>
      <c r="AR41" s="154">
        <f t="shared" si="21"/>
        <v>4.0311813678299053</v>
      </c>
      <c r="AS41" s="154"/>
      <c r="AT41" s="153">
        <f t="shared" si="3"/>
        <v>549.39281400793925</v>
      </c>
      <c r="AV41" s="153">
        <f t="shared" si="4"/>
        <v>5000.9103613024481</v>
      </c>
      <c r="AW41" s="273"/>
      <c r="AX41" s="155">
        <f t="shared" si="11"/>
        <v>5550.3031753103878</v>
      </c>
      <c r="AZ41" s="146">
        <f>+IF(AZ40&gt;$G$13+$G$14,XX,AZ40+1)</f>
        <v>2014</v>
      </c>
      <c r="BA41" s="117"/>
      <c r="BB41" s="154">
        <f t="shared" si="22"/>
        <v>59.170371954023544</v>
      </c>
      <c r="BD41" s="154">
        <f t="shared" si="23"/>
        <v>12.864849669173385</v>
      </c>
      <c r="BF41" s="153">
        <f t="shared" si="12"/>
        <v>1323.4520928178561</v>
      </c>
      <c r="BH41" s="157"/>
    </row>
    <row r="42" spans="2:60" ht="12">
      <c r="B42" s="2"/>
      <c r="C42">
        <f>+IF(C41&gt;$G$13+$G$14,XX,C41+1)</f>
        <v>2015</v>
      </c>
      <c r="E42" s="169">
        <f t="shared" si="13"/>
        <v>2.5000000000000001E-2</v>
      </c>
      <c r="G42" s="18">
        <f t="shared" si="14"/>
        <v>139263</v>
      </c>
      <c r="I42" s="28">
        <f t="shared" si="15"/>
        <v>0</v>
      </c>
      <c r="K42" s="28">
        <f t="shared" si="16"/>
        <v>50.132311168149194</v>
      </c>
      <c r="M42" s="28">
        <f t="shared" si="17"/>
        <v>0</v>
      </c>
      <c r="O42" s="270">
        <f>'(2.2)_Forward_Price_Curve'!Y33</f>
        <v>6.3360919875960011</v>
      </c>
      <c r="Q42" s="28"/>
      <c r="S42" s="18">
        <f t="shared" si="6"/>
        <v>7863.9592286785428</v>
      </c>
      <c r="U42" s="18">
        <f t="shared" si="7"/>
        <v>6007.0597904715059</v>
      </c>
      <c r="W42" s="18">
        <f t="shared" si="1"/>
        <v>1856.8994382070368</v>
      </c>
      <c r="Y42" s="271">
        <f t="shared" si="8"/>
        <v>13.333760138780844</v>
      </c>
      <c r="Z42" s="235"/>
      <c r="AB42" s="146">
        <f>+IF(AB41&gt;$G$13+$G$14,XX,AB41+1)</f>
        <v>2015</v>
      </c>
      <c r="AC42" s="117"/>
      <c r="AD42" s="151">
        <f t="shared" si="2"/>
        <v>139263</v>
      </c>
      <c r="AF42" s="154">
        <f t="shared" si="18"/>
        <v>70.606663272930604</v>
      </c>
      <c r="AH42" s="154">
        <f t="shared" si="19"/>
        <v>8.6643757543227409</v>
      </c>
      <c r="AJ42" s="154">
        <f t="shared" si="20"/>
        <v>2.0240801303590263</v>
      </c>
      <c r="AL42" s="153">
        <f t="shared" si="9"/>
        <v>1919.6660294964399</v>
      </c>
      <c r="AN42" s="154">
        <f>INDEX('(2.2)_Forward_Price_Curve'!$G:$G,MATCH($AB42,'(2.2)_Forward_Price_Curve'!$C:$C,0),1)</f>
        <v>4.88</v>
      </c>
      <c r="AP42" s="154">
        <f t="shared" si="10"/>
        <v>34.959055061391538</v>
      </c>
      <c r="AR42" s="154">
        <f t="shared" si="21"/>
        <v>4.1319609020256527</v>
      </c>
      <c r="AS42" s="154"/>
      <c r="AT42" s="153">
        <f t="shared" si="3"/>
        <v>563.12763435813758</v>
      </c>
      <c r="AV42" s="153">
        <f t="shared" si="4"/>
        <v>5443.9321561133684</v>
      </c>
      <c r="AW42" s="273"/>
      <c r="AX42" s="155">
        <f t="shared" si="11"/>
        <v>6007.0597904715059</v>
      </c>
      <c r="AZ42" s="146">
        <f>+IF(AZ41&gt;$G$13+$G$14,XX,AZ41+1)</f>
        <v>2015</v>
      </c>
      <c r="BA42" s="117"/>
      <c r="BB42" s="154">
        <f t="shared" si="22"/>
        <v>60.64963125287413</v>
      </c>
      <c r="BD42" s="154">
        <f t="shared" si="23"/>
        <v>13.186470910902719</v>
      </c>
      <c r="BF42" s="153">
        <f t="shared" si="12"/>
        <v>1356.5383951383023</v>
      </c>
      <c r="BH42" s="157"/>
    </row>
    <row r="43" spans="2:60" ht="12">
      <c r="B43" s="2"/>
      <c r="C43">
        <f>+IF(C42&gt;$G$13+$G$14,XX,C42+1)</f>
        <v>2016</v>
      </c>
      <c r="E43" s="169">
        <f t="shared" si="13"/>
        <v>2.5000000000000001E-2</v>
      </c>
      <c r="G43" s="18">
        <f t="shared" si="14"/>
        <v>139263</v>
      </c>
      <c r="I43" s="28">
        <f t="shared" si="15"/>
        <v>0</v>
      </c>
      <c r="K43" s="28">
        <f t="shared" si="16"/>
        <v>51.385618947352917</v>
      </c>
      <c r="M43" s="28">
        <f t="shared" si="17"/>
        <v>0</v>
      </c>
      <c r="O43" s="270">
        <f>'(2.2)_Forward_Price_Curve'!Y34</f>
        <v>6.4501416433727297</v>
      </c>
      <c r="Q43" s="28"/>
      <c r="S43" s="18">
        <f t="shared" si="6"/>
        <v>8054.3815271462254</v>
      </c>
      <c r="U43" s="18">
        <f t="shared" si="7"/>
        <v>6255.0054005471111</v>
      </c>
      <c r="W43" s="18">
        <f t="shared" si="1"/>
        <v>1799.3761265991143</v>
      </c>
      <c r="Y43" s="271">
        <f t="shared" si="8"/>
        <v>12.920704900792847</v>
      </c>
      <c r="Z43" s="235"/>
      <c r="AB43" s="146">
        <f>+IF(AB42&gt;$G$13+$G$14,XX,AB42+1)</f>
        <v>2016</v>
      </c>
      <c r="AC43" s="117"/>
      <c r="AD43" s="151">
        <f t="shared" si="2"/>
        <v>139263</v>
      </c>
      <c r="AF43" s="154">
        <f t="shared" si="18"/>
        <v>72.371829854753869</v>
      </c>
      <c r="AH43" s="154">
        <f t="shared" si="19"/>
        <v>8.8809851481808089</v>
      </c>
      <c r="AJ43" s="154">
        <f t="shared" si="20"/>
        <v>2.0746821336180017</v>
      </c>
      <c r="AL43" s="153">
        <f t="shared" si="9"/>
        <v>1967.6576802338511</v>
      </c>
      <c r="AN43" s="154">
        <f>INDEX('(2.2)_Forward_Price_Curve'!$G:$G,MATCH($AB43,'(2.2)_Forward_Price_Curve'!$C:$C,0),1)</f>
        <v>5.0999999999999996</v>
      </c>
      <c r="AP43" s="154">
        <f t="shared" si="10"/>
        <v>36.535078035470669</v>
      </c>
      <c r="AR43" s="154">
        <f t="shared" si="21"/>
        <v>4.2352599245762939</v>
      </c>
      <c r="AS43" s="154"/>
      <c r="AT43" s="153">
        <f t="shared" si="3"/>
        <v>577.20582521709116</v>
      </c>
      <c r="AV43" s="153">
        <f t="shared" si="4"/>
        <v>5677.7995753300202</v>
      </c>
      <c r="AW43" s="273"/>
      <c r="AX43" s="155">
        <f t="shared" si="11"/>
        <v>6255.0054005471111</v>
      </c>
      <c r="AZ43" s="146">
        <f>+IF(AZ42&gt;$G$13+$G$14,XX,AZ42+1)</f>
        <v>2016</v>
      </c>
      <c r="BA43" s="117"/>
      <c r="BB43" s="154">
        <f t="shared" si="22"/>
        <v>62.165872034195978</v>
      </c>
      <c r="BD43" s="154">
        <f t="shared" si="23"/>
        <v>13.516132683675286</v>
      </c>
      <c r="BF43" s="153">
        <f t="shared" si="12"/>
        <v>1390.45185501676</v>
      </c>
      <c r="BH43" s="157"/>
    </row>
    <row r="44" spans="2:60" ht="12">
      <c r="B44" s="2"/>
      <c r="C44">
        <f>+IF(C43&gt;$G$13+$G$14,XX,C43+1)</f>
        <v>2017</v>
      </c>
      <c r="E44" s="169">
        <f t="shared" si="13"/>
        <v>2.5000000000000001E-2</v>
      </c>
      <c r="G44" s="18">
        <f t="shared" si="14"/>
        <v>139263</v>
      </c>
      <c r="I44" s="28">
        <f t="shared" si="15"/>
        <v>0</v>
      </c>
      <c r="K44" s="28">
        <f t="shared" si="16"/>
        <v>52.670259421036732</v>
      </c>
      <c r="M44" s="28">
        <f t="shared" si="17"/>
        <v>0</v>
      </c>
      <c r="O44" s="270">
        <f>'(2.2)_Forward_Price_Curve'!Y35</f>
        <v>6.5662441929534392</v>
      </c>
      <c r="Q44" s="28"/>
      <c r="S44" s="18">
        <f t="shared" si="6"/>
        <v>8249.4532027951136</v>
      </c>
      <c r="U44" s="18">
        <f t="shared" si="7"/>
        <v>6403.8982053071804</v>
      </c>
      <c r="W44" s="18">
        <f t="shared" si="1"/>
        <v>1845.5549974879332</v>
      </c>
      <c r="Y44" s="271">
        <f t="shared" si="8"/>
        <v>13.252299587743572</v>
      </c>
      <c r="Z44" s="235"/>
      <c r="AB44" s="146">
        <f>+IF(AB43&gt;$G$13+$G$14,XX,AB43+1)</f>
        <v>2017</v>
      </c>
      <c r="AC44" s="117"/>
      <c r="AD44" s="151">
        <f t="shared" si="2"/>
        <v>139263</v>
      </c>
      <c r="AF44" s="154">
        <f t="shared" si="18"/>
        <v>74.181125601122716</v>
      </c>
      <c r="AH44" s="154">
        <f t="shared" si="19"/>
        <v>9.1030097768853278</v>
      </c>
      <c r="AJ44" s="154">
        <f t="shared" si="20"/>
        <v>2.1265491869584516</v>
      </c>
      <c r="AL44" s="153">
        <f t="shared" si="9"/>
        <v>2016.8491222396972</v>
      </c>
      <c r="AN44" s="154">
        <f>INDEX('(2.2)_Forward_Price_Curve'!$G:$G,MATCH($AB44,'(2.2)_Forward_Price_Curve'!$C:$C,0),1)</f>
        <v>5.22</v>
      </c>
      <c r="AP44" s="154">
        <f t="shared" si="10"/>
        <v>37.39472693042292</v>
      </c>
      <c r="AR44" s="154">
        <f t="shared" si="21"/>
        <v>4.3411414226907006</v>
      </c>
      <c r="AS44" s="154"/>
      <c r="AT44" s="153">
        <f t="shared" si="3"/>
        <v>591.63597084751859</v>
      </c>
      <c r="AV44" s="153">
        <f t="shared" si="4"/>
        <v>5812.2622344596621</v>
      </c>
      <c r="AW44" s="273"/>
      <c r="AX44" s="155">
        <f t="shared" si="11"/>
        <v>6403.8982053071804</v>
      </c>
      <c r="AZ44" s="146">
        <f>+IF(AZ43&gt;$G$13+$G$14,XX,AZ43+1)</f>
        <v>2017</v>
      </c>
      <c r="BA44" s="117"/>
      <c r="BB44" s="154">
        <f t="shared" si="22"/>
        <v>63.720018835050872</v>
      </c>
      <c r="BD44" s="154">
        <f t="shared" si="23"/>
        <v>13.854036000767167</v>
      </c>
      <c r="BF44" s="153">
        <f t="shared" si="12"/>
        <v>1425.2131513921786</v>
      </c>
      <c r="BH44" s="157"/>
    </row>
    <row r="45" spans="2:60" ht="12">
      <c r="B45" s="2"/>
      <c r="C45">
        <f>+IF(C44&gt;$G$13+$G$14,XX,C44+1)</f>
        <v>2018</v>
      </c>
      <c r="E45" s="169">
        <f t="shared" si="13"/>
        <v>2.5000000000000001E-2</v>
      </c>
      <c r="G45" s="18">
        <f t="shared" si="14"/>
        <v>139263</v>
      </c>
      <c r="I45" s="28">
        <f t="shared" si="15"/>
        <v>0</v>
      </c>
      <c r="K45" s="28">
        <f t="shared" si="16"/>
        <v>53.987015906562647</v>
      </c>
      <c r="M45" s="28">
        <f t="shared" si="17"/>
        <v>0</v>
      </c>
      <c r="O45" s="270">
        <f>'(2.2)_Forward_Price_Curve'!Y36</f>
        <v>6.6910028326195539</v>
      </c>
      <c r="Q45" s="28"/>
      <c r="S45" s="18">
        <f t="shared" si="6"/>
        <v>8450.2029236747312</v>
      </c>
      <c r="U45" s="18">
        <f t="shared" si="7"/>
        <v>6553.5203980848073</v>
      </c>
      <c r="W45" s="18">
        <f t="shared" si="1"/>
        <v>1896.6825255899239</v>
      </c>
      <c r="Y45" s="271">
        <f t="shared" si="8"/>
        <v>13.619428890587765</v>
      </c>
      <c r="Z45" s="235"/>
      <c r="AB45" s="146">
        <f>+IF(AB44&gt;$G$13+$G$14,XX,AB44+1)</f>
        <v>2018</v>
      </c>
      <c r="AC45" s="117"/>
      <c r="AD45" s="151">
        <f t="shared" si="2"/>
        <v>139263</v>
      </c>
      <c r="AF45" s="154">
        <f t="shared" si="18"/>
        <v>76.035653741150782</v>
      </c>
      <c r="AH45" s="154">
        <f t="shared" si="19"/>
        <v>9.3305850213074599</v>
      </c>
      <c r="AJ45" s="154">
        <f t="shared" si="20"/>
        <v>2.1797129166324125</v>
      </c>
      <c r="AL45" s="153">
        <f t="shared" si="9"/>
        <v>2067.2703502956892</v>
      </c>
      <c r="AN45" s="154">
        <f>INDEX('(2.2)_Forward_Price_Curve'!$G:$G,MATCH($AB45,'(2.2)_Forward_Price_Curve'!$C:$C,0),1)</f>
        <v>5.34</v>
      </c>
      <c r="AP45" s="154">
        <f t="shared" si="10"/>
        <v>38.25437582537517</v>
      </c>
      <c r="AR45" s="154">
        <f t="shared" si="21"/>
        <v>4.4496699582579673</v>
      </c>
      <c r="AS45" s="154"/>
      <c r="AT45" s="153">
        <f t="shared" si="3"/>
        <v>606.42687011870612</v>
      </c>
      <c r="AV45" s="153">
        <f t="shared" si="4"/>
        <v>5947.0935279661007</v>
      </c>
      <c r="AW45" s="273"/>
      <c r="AX45" s="155">
        <f t="shared" si="11"/>
        <v>6553.5203980848073</v>
      </c>
      <c r="AZ45" s="146">
        <f>+IF(AZ44&gt;$G$13+$G$14,XX,AZ44+1)</f>
        <v>2018</v>
      </c>
      <c r="BA45" s="117"/>
      <c r="BB45" s="154">
        <f t="shared" si="22"/>
        <v>65.313019305927142</v>
      </c>
      <c r="BD45" s="154">
        <f t="shared" si="23"/>
        <v>14.200386900786345</v>
      </c>
      <c r="BF45" s="153">
        <f t="shared" si="12"/>
        <v>1460.8434801769831</v>
      </c>
      <c r="BH45" s="157"/>
    </row>
    <row r="46" spans="2:60" ht="12">
      <c r="B46" s="2"/>
      <c r="C46">
        <f>+IF(C45&gt;$G$13+$G$14,XX,C45+1)</f>
        <v>2019</v>
      </c>
      <c r="E46" s="169">
        <f t="shared" si="13"/>
        <v>2.5000000000000001E-2</v>
      </c>
      <c r="G46" s="18">
        <f t="shared" si="14"/>
        <v>139263</v>
      </c>
      <c r="I46" s="28">
        <f t="shared" si="15"/>
        <v>0</v>
      </c>
      <c r="K46" s="28">
        <f t="shared" si="16"/>
        <v>55.336691304226711</v>
      </c>
      <c r="M46" s="28">
        <f t="shared" si="17"/>
        <v>0</v>
      </c>
      <c r="O46" s="270">
        <f>'(2.2)_Forward_Price_Curve'!Y37</f>
        <v>6.8181318864393248</v>
      </c>
      <c r="Q46" s="28"/>
      <c r="S46" s="18">
        <f t="shared" si="6"/>
        <v>8655.8671420017236</v>
      </c>
      <c r="U46" s="18">
        <f t="shared" si="7"/>
        <v>6703.8902135804328</v>
      </c>
      <c r="W46" s="18">
        <f t="shared" si="1"/>
        <v>1951.9769284212907</v>
      </c>
      <c r="Y46" s="271">
        <f t="shared" si="8"/>
        <v>14.016479096538857</v>
      </c>
      <c r="Z46" s="235"/>
      <c r="AB46" s="146">
        <f>+IF(AB45&gt;$G$13+$G$14,XX,AB45+1)</f>
        <v>2019</v>
      </c>
      <c r="AC46" s="117"/>
      <c r="AD46" s="151">
        <f t="shared" si="2"/>
        <v>139263</v>
      </c>
      <c r="AF46" s="154">
        <f t="shared" si="18"/>
        <v>77.936545084679551</v>
      </c>
      <c r="AH46" s="154">
        <f t="shared" si="19"/>
        <v>9.5638496468401453</v>
      </c>
      <c r="AJ46" s="154">
        <f t="shared" si="20"/>
        <v>2.2342057395482224</v>
      </c>
      <c r="AL46" s="153">
        <f t="shared" si="9"/>
        <v>2118.9521090530816</v>
      </c>
      <c r="AN46" s="154">
        <f>INDEX('(2.2)_Forward_Price_Curve'!$G:$G,MATCH($AB46,'(2.2)_Forward_Price_Curve'!$C:$C,0),1)</f>
        <v>5.46</v>
      </c>
      <c r="AP46" s="154">
        <f t="shared" si="10"/>
        <v>39.114024720327421</v>
      </c>
      <c r="AR46" s="154">
        <f t="shared" si="21"/>
        <v>4.5609117072144159</v>
      </c>
      <c r="AS46" s="154"/>
      <c r="AT46" s="153">
        <f t="shared" si="3"/>
        <v>621.58754187167415</v>
      </c>
      <c r="AV46" s="153">
        <f t="shared" si="4"/>
        <v>6082.3026717087587</v>
      </c>
      <c r="AW46" s="273"/>
      <c r="AX46" s="155">
        <f t="shared" si="11"/>
        <v>6703.8902135804328</v>
      </c>
      <c r="AZ46" s="146">
        <f>+IF(AZ45&gt;$G$13+$G$14,XX,AZ45+1)</f>
        <v>2019</v>
      </c>
      <c r="BA46" s="117"/>
      <c r="BB46" s="154">
        <f t="shared" si="22"/>
        <v>66.945844788575315</v>
      </c>
      <c r="BD46" s="154">
        <f t="shared" si="23"/>
        <v>14.555396573306002</v>
      </c>
      <c r="BF46" s="153">
        <f t="shared" si="12"/>
        <v>1497.3645671814074</v>
      </c>
      <c r="BH46" s="157"/>
    </row>
    <row r="47" spans="2:60" ht="12">
      <c r="B47" s="2"/>
      <c r="C47">
        <f>+IF(C46&gt;$G$13+$G$14,XX,C46+1)</f>
        <v>2020</v>
      </c>
      <c r="E47" s="169">
        <f t="shared" si="13"/>
        <v>2.5000000000000001E-2</v>
      </c>
      <c r="G47" s="18">
        <f t="shared" si="14"/>
        <v>139263</v>
      </c>
      <c r="I47" s="28">
        <f t="shared" si="15"/>
        <v>0</v>
      </c>
      <c r="K47" s="28">
        <f t="shared" si="16"/>
        <v>56.720108586832374</v>
      </c>
      <c r="M47" s="28">
        <f t="shared" si="17"/>
        <v>0</v>
      </c>
      <c r="O47" s="270">
        <f>'(2.2)_Forward_Price_Curve'!Y38</f>
        <v>6.9476763922816716</v>
      </c>
      <c r="Q47" s="28"/>
      <c r="S47" s="18">
        <f t="shared" si="6"/>
        <v>8866.5667395463588</v>
      </c>
      <c r="U47" s="18">
        <f t="shared" si="7"/>
        <v>6865.0027827001504</v>
      </c>
      <c r="W47" s="18">
        <f t="shared" si="1"/>
        <v>2001.5639568462084</v>
      </c>
      <c r="Y47" s="271">
        <f t="shared" si="8"/>
        <v>14.372546597776928</v>
      </c>
      <c r="Z47" s="235"/>
      <c r="AB47" s="146">
        <f>+IF(AB46&gt;$G$13+$G$14,XX,AB46+1)</f>
        <v>2020</v>
      </c>
      <c r="AC47" s="117"/>
      <c r="AD47" s="151">
        <f t="shared" si="2"/>
        <v>139263</v>
      </c>
      <c r="AF47" s="154">
        <f t="shared" si="18"/>
        <v>79.884958711796529</v>
      </c>
      <c r="AH47" s="154">
        <f t="shared" si="19"/>
        <v>9.8029458880111484</v>
      </c>
      <c r="AJ47" s="154">
        <f t="shared" si="20"/>
        <v>2.290060883036928</v>
      </c>
      <c r="AL47" s="153">
        <f t="shared" si="9"/>
        <v>2171.925911779409</v>
      </c>
      <c r="AN47" s="154">
        <f>INDEX('(2.2)_Forward_Price_Curve'!$G:$G,MATCH($AB47,'(2.2)_Forward_Price_Curve'!$C:$C,0),1)</f>
        <v>5.59</v>
      </c>
      <c r="AP47" s="154">
        <f t="shared" si="10"/>
        <v>40.045311023192355</v>
      </c>
      <c r="AR47" s="154">
        <f t="shared" si="21"/>
        <v>4.6749344998947757</v>
      </c>
      <c r="AS47" s="154"/>
      <c r="AT47" s="153">
        <f t="shared" si="3"/>
        <v>637.1272304184663</v>
      </c>
      <c r="AV47" s="153">
        <f t="shared" si="4"/>
        <v>6227.8755522816837</v>
      </c>
      <c r="AW47" s="273"/>
      <c r="AX47" s="155">
        <f t="shared" si="11"/>
        <v>6865.0027827001504</v>
      </c>
      <c r="AZ47" s="146">
        <f>+IF(AZ46&gt;$G$13+$G$14,XX,AZ46+1)</f>
        <v>2020</v>
      </c>
      <c r="BA47" s="117"/>
      <c r="BB47" s="154">
        <f t="shared" si="22"/>
        <v>68.619490908289691</v>
      </c>
      <c r="BD47" s="154">
        <f t="shared" si="23"/>
        <v>14.919281487638651</v>
      </c>
      <c r="BF47" s="153">
        <f t="shared" si="12"/>
        <v>1534.7986813609427</v>
      </c>
      <c r="BH47" s="157"/>
    </row>
    <row r="48" spans="2:60" ht="12">
      <c r="B48" s="2"/>
      <c r="C48">
        <f>+IF(C47&gt;$G$13+$G$14,XX,C47+1)</f>
        <v>2021</v>
      </c>
      <c r="E48" s="169">
        <f t="shared" si="13"/>
        <v>2.5000000000000001E-2</v>
      </c>
      <c r="G48" s="18">
        <f t="shared" si="14"/>
        <v>139263</v>
      </c>
      <c r="I48" s="28">
        <f t="shared" si="15"/>
        <v>0</v>
      </c>
      <c r="K48" s="28">
        <f t="shared" si="16"/>
        <v>58.13811130150318</v>
      </c>
      <c r="M48" s="28">
        <f t="shared" si="17"/>
        <v>0</v>
      </c>
      <c r="O48" s="270">
        <f>'(2.2)_Forward_Price_Curve'!Y39</f>
        <v>7.0796822437350224</v>
      </c>
      <c r="Q48" s="28"/>
      <c r="S48" s="18">
        <f t="shared" si="6"/>
        <v>9082.4255824905085</v>
      </c>
      <c r="U48" s="18">
        <f t="shared" si="7"/>
        <v>6986.9950615853832</v>
      </c>
      <c r="W48" s="18">
        <f t="shared" si="1"/>
        <v>2095.4305209051254</v>
      </c>
      <c r="Y48" s="271">
        <f t="shared" si="8"/>
        <v>15.046570308733299</v>
      </c>
      <c r="Z48" s="235"/>
      <c r="AB48" s="146">
        <f>+IF(AB47&gt;$G$13+$G$14,XX,AB47+1)</f>
        <v>2021</v>
      </c>
      <c r="AC48" s="117"/>
      <c r="AD48" s="151">
        <f t="shared" si="2"/>
        <v>139263</v>
      </c>
      <c r="AF48" s="154">
        <f t="shared" si="18"/>
        <v>81.882082679591434</v>
      </c>
      <c r="AH48" s="154">
        <f t="shared" si="19"/>
        <v>10.048019535211425</v>
      </c>
      <c r="AJ48" s="154">
        <f t="shared" si="20"/>
        <v>2.3473124051128509</v>
      </c>
      <c r="AL48" s="153">
        <f t="shared" si="9"/>
        <v>2226.2240595738936</v>
      </c>
      <c r="AN48" s="154">
        <f>INDEX('(2.2)_Forward_Price_Curve'!$G:$G,MATCH($AB48,'(2.2)_Forward_Price_Curve'!$C:$C,0),1)</f>
        <v>5.68</v>
      </c>
      <c r="AP48" s="154">
        <f t="shared" si="10"/>
        <v>40.690047694406545</v>
      </c>
      <c r="AR48" s="154">
        <f t="shared" si="21"/>
        <v>4.7918078623921447</v>
      </c>
      <c r="AS48" s="154"/>
      <c r="AT48" s="153">
        <f t="shared" si="3"/>
        <v>653.05541117892744</v>
      </c>
      <c r="AV48" s="153">
        <f t="shared" si="4"/>
        <v>6333.9396504064562</v>
      </c>
      <c r="AW48" s="273"/>
      <c r="AX48" s="155">
        <f t="shared" si="11"/>
        <v>6986.9950615853832</v>
      </c>
      <c r="AZ48" s="146">
        <f>+IF(AZ47&gt;$G$13+$G$14,XX,AZ47+1)</f>
        <v>2021</v>
      </c>
      <c r="BA48" s="117"/>
      <c r="BB48" s="154">
        <f t="shared" si="22"/>
        <v>70.334978180996927</v>
      </c>
      <c r="BD48" s="154">
        <f t="shared" si="23"/>
        <v>15.292263524829616</v>
      </c>
      <c r="BF48" s="153">
        <f t="shared" si="12"/>
        <v>1573.1686483949661</v>
      </c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>
      <c r="B50" s="2"/>
      <c r="E50" s="169"/>
      <c r="G50" s="267"/>
      <c r="I50" s="267"/>
      <c r="K50" s="267"/>
      <c r="M50" s="267"/>
      <c r="O50" s="267"/>
      <c r="Q50" s="267"/>
      <c r="S50" s="267"/>
      <c r="U50" s="267"/>
      <c r="W50" s="267"/>
      <c r="Y50" s="267"/>
      <c r="Z50" s="235"/>
      <c r="AB50" s="2"/>
      <c r="AF50" s="274"/>
      <c r="AH50" s="274"/>
      <c r="AJ50" s="274"/>
      <c r="AL50" s="273"/>
      <c r="AN50" s="274"/>
      <c r="AP50" s="274"/>
      <c r="AR50" s="274"/>
      <c r="AS50" s="274"/>
      <c r="AT50" s="274"/>
      <c r="AV50" s="273"/>
      <c r="AW50" s="273"/>
      <c r="AX50" s="275"/>
      <c r="AZ50" s="2"/>
      <c r="BB50" s="274"/>
      <c r="BF50" s="273"/>
      <c r="BH50" s="235"/>
    </row>
    <row r="51" spans="2:60">
      <c r="B51" s="2"/>
      <c r="E51" s="169"/>
      <c r="G51" s="267"/>
      <c r="I51" s="267"/>
      <c r="K51" s="267"/>
      <c r="M51" s="267"/>
      <c r="O51" s="267"/>
      <c r="Q51" s="267"/>
      <c r="S51" s="267"/>
      <c r="U51" s="267"/>
      <c r="W51" s="267"/>
      <c r="Y51" s="267"/>
      <c r="Z51" s="235"/>
      <c r="AB51" s="2"/>
      <c r="AF51" s="274"/>
      <c r="AH51" s="274"/>
      <c r="AJ51" s="274"/>
      <c r="AL51" s="273"/>
      <c r="AN51" s="274"/>
      <c r="AP51" s="274"/>
      <c r="AR51" s="274"/>
      <c r="AS51" s="274"/>
      <c r="AT51" s="274"/>
      <c r="AV51" s="273"/>
      <c r="AW51" s="273"/>
      <c r="AX51" s="275"/>
      <c r="AZ51" s="2"/>
      <c r="BB51" s="274"/>
      <c r="BF51" s="273"/>
      <c r="BH51" s="235"/>
    </row>
    <row r="52" spans="2:60" ht="12">
      <c r="B52" s="2"/>
      <c r="C52" s="276" t="str">
        <f>G14&amp;"-year Nominal Levelized at "&amp;TEXT($G$18,"#.00%")</f>
        <v>19-year Nominal Levelized at 7.82%</v>
      </c>
      <c r="E52" s="169"/>
      <c r="G52" s="285">
        <f>+-PMT($G$18,$G$14,NPV($G$18,G28:G48))</f>
        <v>145383.09612426531</v>
      </c>
      <c r="I52" s="28">
        <f>+-PMT($G$18,$G$14,NPV($G$18,I28:I48))</f>
        <v>0</v>
      </c>
      <c r="J52" s="28"/>
      <c r="K52" s="28">
        <f>+-PMT($G$18,$G$14,NPV($G$18,K28:K48))</f>
        <v>44.860815298555671</v>
      </c>
      <c r="M52" s="28">
        <f>+-PMT($G$18,$G$14,NPV($G$18,M28:M48))</f>
        <v>0</v>
      </c>
      <c r="O52" s="28">
        <f>+-PMT($G$18,$G$14,NPV($G$18,O28:O48))</f>
        <v>5.7793048886418132</v>
      </c>
      <c r="Q52" s="28">
        <f>+-PMT($G$18,$G$14,NPV($G$18,Q28:Q48))</f>
        <v>0</v>
      </c>
      <c r="S52" s="285">
        <f>+-PMT($G$18,$G$14,NPV($G$18,S28:S48))</f>
        <v>7052.2950576296835</v>
      </c>
      <c r="U52" s="18">
        <f>+-PMT($G$18,$G$14,NPV($G$18,U28:U48))</f>
        <v>5419.8604861047306</v>
      </c>
      <c r="W52" s="18">
        <f>+-PMT($G$18,$G$14,NPV($G$18,W28:W48))</f>
        <v>1632.4345715249522</v>
      </c>
      <c r="Y52" s="271">
        <f>+-PMT($G$18,$G$14,NPV($G$18,Y28:Y48))</f>
        <v>11.721954657913106</v>
      </c>
      <c r="Z52" s="235"/>
      <c r="AB52" s="2"/>
      <c r="AD52" s="151">
        <f>+-PMT($G$18,$G$14,NPV($G$18,AD28:AD48))</f>
        <v>145383.09612426531</v>
      </c>
      <c r="AF52" s="154">
        <f>+-PMT($G$18,$G$14,NPV($G$18,AF28:AF48))</f>
        <v>63.182255238746293</v>
      </c>
      <c r="AH52" s="154">
        <f>+-PMT($G$18,$G$14,NPV($G$18,AH28:AH48))</f>
        <v>7.7533022383158237</v>
      </c>
      <c r="AJ52" s="154">
        <f>+-PMT($G$18,$G$14,NPV($G$18,AJ28:AJ48))</f>
        <v>1.8112447394047611</v>
      </c>
      <c r="AL52" s="153">
        <f>+-PMT($G$18,$G$14,NPV($G$18,AL28:AL48))</f>
        <v>1717.8099548473472</v>
      </c>
      <c r="AN52" s="154">
        <f>+-PMT($G$18,$G$14,NPV($G$18,AN28:AN48))</f>
        <v>4.4114178835917333</v>
      </c>
      <c r="AP52" s="154">
        <f>+-PMT($G$18,$G$14,NPV($G$18,AP28:AP48))</f>
        <v>31.602254240018592</v>
      </c>
      <c r="AR52" s="154">
        <f>+-PMT($G$18,$G$14,NPV($G$18,AR28:AR48))</f>
        <v>3.6974783433562086</v>
      </c>
      <c r="AS52" s="154"/>
      <c r="AT52" s="153">
        <f>+-PMT($G$18,$G$14,NPV($G$18,AT28:AT48))</f>
        <v>503.91382734620595</v>
      </c>
      <c r="AV52" s="153">
        <f>+-PMT($G$18,$G$14,NPV($G$18,AV28:AV48))</f>
        <v>4915.9466587585248</v>
      </c>
      <c r="AW52" s="273"/>
      <c r="AX52" s="155">
        <f>+-PMT($G$18,$G$14,NPV($G$18,AX28:AX48))</f>
        <v>5419.8604861047306</v>
      </c>
      <c r="AZ52" s="2"/>
      <c r="BB52" s="154">
        <f>+-PMT($G$18,$G$14,NPV($G$18,BB28:BB48))</f>
        <v>54.272221690216227</v>
      </c>
      <c r="BD52" s="154">
        <f>+-PMT($G$18,$G$14,NPV($G$18,BD28:BD48))</f>
        <v>11.799891570720559</v>
      </c>
      <c r="BF52" s="153">
        <f>+-PMT($G$18,$G$14,NPV($G$18,BF28:BF48))</f>
        <v>1213.8961275011409</v>
      </c>
      <c r="BH52" s="157"/>
    </row>
    <row r="53" spans="2:60">
      <c r="B53" s="2"/>
      <c r="E53" s="169"/>
      <c r="W53" s="18"/>
      <c r="Y53" s="271"/>
      <c r="Z53" s="235"/>
      <c r="AB53" s="2"/>
      <c r="AT53" s="273"/>
      <c r="AX53" s="235"/>
      <c r="AZ53" s="2"/>
      <c r="BH53" s="235"/>
    </row>
    <row r="54" spans="2:60">
      <c r="B54" s="238"/>
      <c r="C54" s="277"/>
      <c r="D54" s="277"/>
      <c r="E54" s="278"/>
      <c r="F54" s="277"/>
      <c r="G54" s="277"/>
      <c r="H54" s="277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39"/>
      <c r="AB54" s="238"/>
      <c r="AC54" s="277"/>
      <c r="AD54" s="277"/>
      <c r="AE54" s="277"/>
      <c r="AF54" s="277"/>
      <c r="AG54" s="277"/>
      <c r="AH54" s="277"/>
      <c r="AI54" s="277"/>
      <c r="AJ54" s="277"/>
      <c r="AK54" s="277"/>
      <c r="AL54" s="277"/>
      <c r="AM54" s="277"/>
      <c r="AN54" s="277"/>
      <c r="AO54" s="277"/>
      <c r="AP54" s="277"/>
      <c r="AQ54" s="277"/>
      <c r="AR54" s="277"/>
      <c r="AS54" s="277"/>
      <c r="AT54" s="277"/>
      <c r="AU54" s="277"/>
      <c r="AV54" s="277"/>
      <c r="AW54" s="277"/>
      <c r="AX54" s="239"/>
      <c r="AZ54" s="238"/>
      <c r="BA54" s="277"/>
      <c r="BB54" s="277"/>
      <c r="BC54" s="277"/>
      <c r="BD54" s="277"/>
      <c r="BE54" s="277"/>
      <c r="BF54" s="277"/>
      <c r="BG54" s="277"/>
      <c r="BH54" s="239"/>
    </row>
    <row r="55" spans="2:60">
      <c r="E55" s="169"/>
    </row>
    <row r="56" spans="2:60">
      <c r="E56" s="169"/>
      <c r="G56" s="18"/>
      <c r="I56" s="18"/>
      <c r="K56" s="18"/>
      <c r="O56" s="18"/>
      <c r="Q56" s="18"/>
      <c r="S56" s="18"/>
      <c r="U56" s="18"/>
      <c r="W56" s="18"/>
    </row>
    <row r="57" spans="2:60">
      <c r="E57" s="169"/>
    </row>
    <row r="58" spans="2:60">
      <c r="E58" s="169"/>
    </row>
    <row r="59" spans="2:60">
      <c r="E59" s="169"/>
    </row>
    <row r="60" spans="2:60">
      <c r="E60" s="169"/>
    </row>
    <row r="61" spans="2:60">
      <c r="E61" s="169"/>
    </row>
    <row r="62" spans="2:60">
      <c r="E62" s="169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</sheetData>
  <pageMargins left="0.25" right="0.25" top="0.25" bottom="0.75" header="0.3" footer="0.3"/>
  <pageSetup paperSize="5" scale="46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6EA1B-8EC4-4038-A722-5B0BE854A190}">
  <sheetPr>
    <tabColor theme="8" tint="0.79998168889431442"/>
    <pageSetUpPr fitToPage="1"/>
  </sheetPr>
  <dimension ref="A1:BH86"/>
  <sheetViews>
    <sheetView zoomScaleNormal="100"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409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410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50</v>
      </c>
      <c r="H11" s="252"/>
      <c r="AB11" s="122" t="s">
        <v>99</v>
      </c>
      <c r="AC11" s="123"/>
      <c r="AD11" s="123"/>
      <c r="AE11" s="123"/>
      <c r="AF11" s="281">
        <f>+G11*(G12/AJ16)</f>
        <v>34.332063745974089</v>
      </c>
      <c r="AG11" s="127"/>
      <c r="AH11" s="123" t="s">
        <v>100</v>
      </c>
      <c r="AI11" s="124"/>
      <c r="AJ11" s="166">
        <f>'(2.1)_Proxy Resources'!N14</f>
        <v>24.131165356579</v>
      </c>
      <c r="AK11" s="235"/>
      <c r="AZ11" s="122" t="s">
        <v>99</v>
      </c>
      <c r="BA11" s="123"/>
      <c r="BB11" s="123"/>
      <c r="BC11" s="123"/>
      <c r="BD11" s="134">
        <f>(AF11*AF13-G11*G19)</f>
        <v>18.477063745974089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0.47584240351920087</v>
      </c>
      <c r="H12" s="252"/>
      <c r="AB12" s="122" t="s">
        <v>32</v>
      </c>
      <c r="AC12" s="123"/>
      <c r="AD12" s="123"/>
      <c r="AE12" s="123"/>
      <c r="AF12" s="131">
        <f>+AD60/8760/AF11</f>
        <v>0.69299999999999962</v>
      </c>
      <c r="AG12" s="127"/>
      <c r="AH12" s="117" t="s">
        <v>101</v>
      </c>
      <c r="AI12" s="118"/>
      <c r="AJ12" s="117">
        <v>2022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2025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Resources'!O14</f>
        <v>1.8152776658187928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30</v>
      </c>
      <c r="H14" s="252"/>
      <c r="AB14" s="122" t="s">
        <v>104</v>
      </c>
      <c r="AC14" s="123"/>
      <c r="AD14" s="123"/>
      <c r="AE14" s="123"/>
      <c r="AF14" s="134">
        <f>'(2.1)_Proxy Resources'!H14</f>
        <v>6556.5707888395682</v>
      </c>
      <c r="AG14" s="127"/>
      <c r="AH14" s="117" t="s">
        <v>148</v>
      </c>
      <c r="AI14" s="118"/>
      <c r="AJ14" s="166">
        <v>0</v>
      </c>
      <c r="AK14" s="235"/>
      <c r="AZ14" s="122" t="s">
        <v>406</v>
      </c>
      <c r="BA14" s="123"/>
      <c r="BB14" s="123"/>
      <c r="BC14" s="123"/>
      <c r="BD14" s="167">
        <f>'(2.1)_Proxy Resources'!J15</f>
        <v>843</v>
      </c>
      <c r="BE14" s="132"/>
    </row>
    <row r="15" spans="1:57" ht="12">
      <c r="A15" t="s">
        <v>405</v>
      </c>
      <c r="B15" s="250"/>
      <c r="C15" s="231" t="s">
        <v>107</v>
      </c>
      <c r="D15" s="231"/>
      <c r="E15" s="231"/>
      <c r="F15" s="231"/>
      <c r="G15" s="283">
        <v>1887.3</v>
      </c>
      <c r="H15" s="252"/>
      <c r="AB15" s="122" t="s">
        <v>406</v>
      </c>
      <c r="AC15" s="123"/>
      <c r="AD15" s="123"/>
      <c r="AE15" s="123"/>
      <c r="AF15" s="167">
        <f>'(2.1)_Proxy Resources'!J14</f>
        <v>1355.0378286709158</v>
      </c>
      <c r="AG15" s="127"/>
      <c r="AH15" s="117" t="s">
        <v>145</v>
      </c>
      <c r="AI15" s="118"/>
      <c r="AJ15" s="166">
        <f>'(2.1)_Proxy Resources'!P14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Resources'!K15</f>
        <v>6.4562857142857144E-2</v>
      </c>
      <c r="BE15" s="132"/>
    </row>
    <row r="16" spans="1:57" ht="12">
      <c r="A16" t="s">
        <v>405</v>
      </c>
      <c r="B16" s="250"/>
      <c r="C16" s="231" t="s">
        <v>109</v>
      </c>
      <c r="D16" s="231"/>
      <c r="E16" s="231"/>
      <c r="F16" s="231"/>
      <c r="G16" s="283">
        <f>AVERAGE(K28:K57)</f>
        <v>68.821611807531809</v>
      </c>
      <c r="H16" s="252"/>
      <c r="AB16" s="122" t="s">
        <v>108</v>
      </c>
      <c r="AC16" s="123"/>
      <c r="AD16" s="123"/>
      <c r="AE16" s="123"/>
      <c r="AF16" s="136">
        <f>'(2.1)_Proxy Resources'!K13</f>
        <v>6.6086000000000006E-2</v>
      </c>
      <c r="AG16" s="127"/>
      <c r="AH16" s="117" t="s">
        <v>110</v>
      </c>
      <c r="AI16" s="124"/>
      <c r="AJ16" s="137">
        <f>'(2.1)_Proxy Resources'!D14</f>
        <v>0.69299999999999995</v>
      </c>
      <c r="AK16" s="235"/>
      <c r="AZ16" s="122" t="s">
        <v>100</v>
      </c>
      <c r="BA16" s="124"/>
      <c r="BB16" s="166">
        <f>'(2.1)_Proxy Resources'!O15</f>
        <v>2.7759300458983387</v>
      </c>
      <c r="BE16" s="130"/>
    </row>
    <row r="17" spans="1:60" ht="12">
      <c r="A17" t="s">
        <v>405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2022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'(2.2)_Forward_Price_Curve'!AA11</f>
        <v>6.7699999999999996E-2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'(2.2)_Forward_Price_Curve'!M103</f>
        <v>0.31709999999999999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2025</v>
      </c>
      <c r="E28" s="169">
        <f>'(2.2)_Forward_Price_Curve'!Q43</f>
        <v>2.1000000000000001E-2</v>
      </c>
      <c r="G28" s="18">
        <v>208418.97274140999</v>
      </c>
      <c r="I28" s="28">
        <v>164.78277421166101</v>
      </c>
      <c r="K28" s="28">
        <v>48.7763850589848</v>
      </c>
      <c r="L28" s="269"/>
      <c r="M28" s="268">
        <f>$G$17</f>
        <v>0</v>
      </c>
      <c r="O28" s="270">
        <f>'(2.2)_Forward_Price_Curve'!AH43</f>
        <v>1.7146167584000003</v>
      </c>
      <c r="Q28" s="28">
        <v>-19.018000000000001</v>
      </c>
      <c r="S28" s="18">
        <f>(I28*$G$11*1000+(K28+M28+O28+Q28)*G28)/1000</f>
        <v>14798.709418450921</v>
      </c>
      <c r="U28" s="18">
        <f t="shared" ref="U28:U57" si="0">AX28</f>
        <v>8972.0310729049379</v>
      </c>
      <c r="W28" s="18">
        <f t="shared" ref="W28:W57" si="1">S28-U28</f>
        <v>5826.6783455459827</v>
      </c>
      <c r="Y28" s="271">
        <f>+W28*1000/G28</f>
        <v>27.956563977384491</v>
      </c>
      <c r="Z28" s="235"/>
      <c r="AB28" s="146">
        <f>$C$28</f>
        <v>2025</v>
      </c>
      <c r="AC28" s="117"/>
      <c r="AD28" s="151">
        <f t="shared" ref="AD28:AD57" si="2">G28</f>
        <v>208418.97274140999</v>
      </c>
      <c r="AF28" s="152">
        <f>$AF$15*$AF$16*(1+E28)</f>
        <v>91.429559574402617</v>
      </c>
      <c r="AG28" s="272"/>
      <c r="AH28" s="152">
        <f>$AJ$11*(1+E28)</f>
        <v>24.637919829067158</v>
      </c>
      <c r="AI28" s="272"/>
      <c r="AJ28" s="152">
        <f>$AJ$13*(1+E28)</f>
        <v>1.8533984968009873</v>
      </c>
      <c r="AK28" s="272"/>
      <c r="AL28" s="153">
        <f>((AF28+AH28)*$AF$11*1000+AJ28*AD28)/1000</f>
        <v>4371.1195124981941</v>
      </c>
      <c r="AN28" s="154">
        <f>INDEX('(2.2)_Forward_Price_Curve'!$N:$N,MATCH($AB28,'(2.2)_Forward_Price_Curve'!$C:$C,0),1)</f>
        <v>3.8012999999999999</v>
      </c>
      <c r="AO28" s="279"/>
      <c r="AP28" s="154">
        <f>AN28*$AF$14/1000+$AJ$14/(1+E29)</f>
        <v>24.92349253961585</v>
      </c>
      <c r="AQ28" s="272"/>
      <c r="AR28" s="152">
        <f>$AJ$15*(1+E28)</f>
        <v>2.3294960359966055</v>
      </c>
      <c r="AS28" s="152"/>
      <c r="AT28" s="153">
        <f t="shared" ref="AT28:AT57" si="3">AL28-BF28</f>
        <v>3291.9911898424089</v>
      </c>
      <c r="AU28" s="272"/>
      <c r="AV28" s="153">
        <f t="shared" ref="AV28:AV57" si="4">(AP28+AR28)*AD28/1000</f>
        <v>5680.03988306253</v>
      </c>
      <c r="AW28" s="273"/>
      <c r="AX28" s="155">
        <f>AT28+AV28</f>
        <v>8972.0310729049379</v>
      </c>
      <c r="AZ28" s="146">
        <f>$C$28</f>
        <v>2025</v>
      </c>
      <c r="BA28" s="117"/>
      <c r="BB28" s="152">
        <f>$BD$14*$BD$15*(1+E28)</f>
        <v>55.569444831428569</v>
      </c>
      <c r="BD28" s="152">
        <f>$BB$16*(1+E28)</f>
        <v>2.8342245768622036</v>
      </c>
      <c r="BE28" s="272"/>
      <c r="BF28" s="153">
        <f>(BB28+BD28)*$BD$11</f>
        <v>1079.1283226557855</v>
      </c>
      <c r="BG28" s="272"/>
      <c r="BH28" s="156"/>
    </row>
    <row r="29" spans="1:60" ht="12">
      <c r="B29" s="2"/>
      <c r="C29">
        <f>+IF(C28&gt;$G$13+$G$14,XX,C28+1)</f>
        <v>2026</v>
      </c>
      <c r="E29" s="169">
        <f>'(2.2)_Forward_Price_Curve'!Q44</f>
        <v>2.1999999999999999E-2</v>
      </c>
      <c r="G29" s="18">
        <v>208418.97274140999</v>
      </c>
      <c r="I29" s="28">
        <v>164.78277421166101</v>
      </c>
      <c r="K29" s="28">
        <v>49.88360899982375</v>
      </c>
      <c r="M29" s="28">
        <f>M28*(1+$E29)</f>
        <v>0</v>
      </c>
      <c r="O29" s="270">
        <f>'(2.2)_Forward_Price_Curve'!AH44</f>
        <v>1.7523383270848003</v>
      </c>
      <c r="Q29" s="28">
        <v>-18.946999999999999</v>
      </c>
      <c r="S29" s="18">
        <f t="shared" ref="S29:S57" si="5">(I29*$G$11*1000+(K29+M29+O29+Q29)*G29)/1000</f>
        <v>15052.13553245539</v>
      </c>
      <c r="U29" s="18">
        <f t="shared" si="0"/>
        <v>9886.3636628329914</v>
      </c>
      <c r="W29" s="18">
        <f t="shared" si="1"/>
        <v>5165.7718696223983</v>
      </c>
      <c r="Y29" s="271">
        <f t="shared" ref="Y29:Y57" si="6">+W29*1000/G29</f>
        <v>24.785516412806071</v>
      </c>
      <c r="Z29" s="235"/>
      <c r="AB29" s="146">
        <f>+IF(AB28&gt;$G$13+$G$14,XX,AB28+1)</f>
        <v>2026</v>
      </c>
      <c r="AC29" s="117"/>
      <c r="AD29" s="151">
        <f t="shared" si="2"/>
        <v>208418.97274140999</v>
      </c>
      <c r="AF29" s="154">
        <f>AF28*(1+$E29)</f>
        <v>93.441009885039477</v>
      </c>
      <c r="AH29" s="154">
        <f>AH28*(1+$E29)</f>
        <v>25.179954065306635</v>
      </c>
      <c r="AJ29" s="154">
        <f>AJ28*(1+$E29)</f>
        <v>1.894173263730609</v>
      </c>
      <c r="AL29" s="153">
        <f t="shared" ref="AL29:AL57" si="7">((AF29+AH29)*$AF$11*1000+AJ29*AD29)/1000</f>
        <v>4467.2841417731543</v>
      </c>
      <c r="AN29" s="154">
        <f>INDEX('(2.2)_Forward_Price_Curve'!$N:$N,MATCH($AB29,'(2.2)_Forward_Price_Curve'!$C:$C,0),1)</f>
        <v>4.4095833333333339</v>
      </c>
      <c r="AP29" s="154">
        <f>AN29*$AF$14/1000+$AJ$14</f>
        <v>28.911745274287149</v>
      </c>
      <c r="AR29" s="154">
        <f>AR28*(1+$E29)</f>
        <v>2.3807449487885308</v>
      </c>
      <c r="AS29" s="154"/>
      <c r="AT29" s="153">
        <f t="shared" si="3"/>
        <v>3364.4149960189416</v>
      </c>
      <c r="AV29" s="153">
        <f t="shared" si="4"/>
        <v>6521.9486668140489</v>
      </c>
      <c r="AW29" s="273"/>
      <c r="AX29" s="155">
        <f t="shared" ref="AX29:AX57" si="8">AT29+AV29</f>
        <v>9886.3636628329914</v>
      </c>
      <c r="AZ29" s="146">
        <f>+IF(AZ28&gt;$G$13+$G$14,XX,AZ28+1)</f>
        <v>2026</v>
      </c>
      <c r="BA29" s="117"/>
      <c r="BB29" s="154">
        <f>BB28*(1+$E29)</f>
        <v>56.791972617719999</v>
      </c>
      <c r="BD29" s="154">
        <f>BD28*(1+$E29)</f>
        <v>2.8965775175531721</v>
      </c>
      <c r="BF29" s="153">
        <f t="shared" ref="BF29:BF57" si="9">(BB29+BD29)*$BD$11</f>
        <v>1102.8691457542127</v>
      </c>
      <c r="BH29" s="157"/>
    </row>
    <row r="30" spans="1:60" ht="12">
      <c r="B30" s="2"/>
      <c r="C30">
        <f>+IF(C29&gt;$G$13+$G$14,XX,C29+1)</f>
        <v>2027</v>
      </c>
      <c r="E30" s="169">
        <f>'(2.2)_Forward_Price_Curve'!Q45</f>
        <v>2.1999999999999999E-2</v>
      </c>
      <c r="G30" s="18">
        <v>208418.97274140999</v>
      </c>
      <c r="I30" s="28">
        <v>164.78277421166101</v>
      </c>
      <c r="K30" s="28">
        <v>51.015966924119745</v>
      </c>
      <c r="M30" s="28">
        <f t="shared" ref="M30:M57" si="10">M29*(1+$E30)</f>
        <v>0</v>
      </c>
      <c r="O30" s="270">
        <f>'(2.2)_Forward_Price_Curve'!AH45</f>
        <v>1.7908897702806659</v>
      </c>
      <c r="Q30" s="28">
        <v>-19.670999999999999</v>
      </c>
      <c r="S30" s="18">
        <f t="shared" si="5"/>
        <v>15145.279923736558</v>
      </c>
      <c r="U30" s="18">
        <f t="shared" si="0"/>
        <v>10634.893183611657</v>
      </c>
      <c r="W30" s="18">
        <f t="shared" si="1"/>
        <v>4510.3867401249008</v>
      </c>
      <c r="Y30" s="271">
        <f t="shared" si="6"/>
        <v>21.640960421204248</v>
      </c>
      <c r="Z30" s="235"/>
      <c r="AB30" s="146">
        <f>+IF(AB29&gt;$G$13+$G$14,XX,AB29+1)</f>
        <v>2027</v>
      </c>
      <c r="AC30" s="117"/>
      <c r="AD30" s="151">
        <f t="shared" si="2"/>
        <v>208418.97274140999</v>
      </c>
      <c r="AF30" s="154">
        <f t="shared" ref="AF30:AF57" si="11">AF29*(1+$E30)</f>
        <v>95.496712102510344</v>
      </c>
      <c r="AH30" s="154">
        <f t="shared" ref="AH30:AH57" si="12">AH29*(1+$E30)</f>
        <v>25.733913054743383</v>
      </c>
      <c r="AJ30" s="154">
        <f t="shared" ref="AJ30:AJ57" si="13">AJ29*(1+$E30)</f>
        <v>1.9358450755326824</v>
      </c>
      <c r="AL30" s="153">
        <f t="shared" si="7"/>
        <v>4565.5643928921645</v>
      </c>
      <c r="AN30" s="154">
        <f>INDEX('(2.2)_Forward_Price_Curve'!$N:$N,MATCH($AB30,'(2.2)_Forward_Price_Curve'!$C:$C,0),1)</f>
        <v>4.8951958333333341</v>
      </c>
      <c r="AP30" s="154">
        <f t="shared" ref="AP30:AP57" si="14">AN30*$AF$14/1000+$AJ$14</f>
        <v>32.0956980064825</v>
      </c>
      <c r="AR30" s="154">
        <f t="shared" ref="AR30:AR57" si="15">AR29*(1+$E30)</f>
        <v>2.4331213376618788</v>
      </c>
      <c r="AS30" s="154"/>
      <c r="AT30" s="153">
        <f t="shared" si="3"/>
        <v>3438.4321259313592</v>
      </c>
      <c r="AV30" s="153">
        <f t="shared" si="4"/>
        <v>7196.4610576802979</v>
      </c>
      <c r="AW30" s="273"/>
      <c r="AX30" s="155">
        <f t="shared" si="8"/>
        <v>10634.893183611657</v>
      </c>
      <c r="AZ30" s="146">
        <f>+IF(AZ29&gt;$G$13+$G$14,XX,AZ29+1)</f>
        <v>2027</v>
      </c>
      <c r="BA30" s="117"/>
      <c r="BB30" s="154">
        <f t="shared" ref="BB30:BB57" si="16">BB29*(1+$E30)</f>
        <v>58.041396015309843</v>
      </c>
      <c r="BD30" s="154">
        <f t="shared" ref="BD30:BD57" si="17">BD29*(1+$E30)</f>
        <v>2.9603022229393421</v>
      </c>
      <c r="BF30" s="153">
        <f t="shared" si="9"/>
        <v>1127.1322669608055</v>
      </c>
      <c r="BH30" s="157"/>
    </row>
    <row r="31" spans="1:60" ht="12">
      <c r="B31" s="2"/>
      <c r="C31">
        <f>+IF(C30&gt;$G$13+$G$14,XX,C30+1)</f>
        <v>2028</v>
      </c>
      <c r="E31" s="169">
        <f>'(2.2)_Forward_Price_Curve'!Q46</f>
        <v>2.1999999999999999E-2</v>
      </c>
      <c r="G31" s="18">
        <v>208418.97274140999</v>
      </c>
      <c r="I31" s="28">
        <v>164.78277421166101</v>
      </c>
      <c r="K31" s="28">
        <v>52.174029373297259</v>
      </c>
      <c r="M31" s="28">
        <f t="shared" si="10"/>
        <v>0</v>
      </c>
      <c r="O31" s="270">
        <f>'(2.2)_Forward_Price_Curve'!AH46</f>
        <v>1.8302893452268405</v>
      </c>
      <c r="Q31" s="28">
        <v>-20.597999999999999</v>
      </c>
      <c r="S31" s="18">
        <f t="shared" si="5"/>
        <v>15201.64934096998</v>
      </c>
      <c r="U31" s="18">
        <f t="shared" si="0"/>
        <v>10735.200791557831</v>
      </c>
      <c r="W31" s="18">
        <f t="shared" si="1"/>
        <v>4466.4485494121491</v>
      </c>
      <c r="Y31" s="271">
        <f t="shared" si="6"/>
        <v>21.430143766008147</v>
      </c>
      <c r="Z31" s="235"/>
      <c r="AB31" s="146">
        <f>+IF(AB30&gt;$G$13+$G$14,XX,AB30+1)</f>
        <v>2028</v>
      </c>
      <c r="AC31" s="117"/>
      <c r="AD31" s="151">
        <f t="shared" si="2"/>
        <v>208418.97274140999</v>
      </c>
      <c r="AF31" s="154">
        <f t="shared" si="11"/>
        <v>97.597639768765575</v>
      </c>
      <c r="AH31" s="154">
        <f t="shared" si="12"/>
        <v>26.300059141947738</v>
      </c>
      <c r="AJ31" s="154">
        <f t="shared" si="13"/>
        <v>1.9784336671944014</v>
      </c>
      <c r="AL31" s="153">
        <f t="shared" si="7"/>
        <v>4666.006809535791</v>
      </c>
      <c r="AN31" s="154">
        <f>INDEX('(2.2)_Forward_Price_Curve'!$N:$N,MATCH($AB31,'(2.2)_Forward_Price_Curve'!$C:$C,0),1)</f>
        <v>4.9050791666666669</v>
      </c>
      <c r="AP31" s="154">
        <f t="shared" si="14"/>
        <v>32.160498781112203</v>
      </c>
      <c r="AR31" s="154">
        <f t="shared" si="15"/>
        <v>2.4866500070904403</v>
      </c>
      <c r="AS31" s="154"/>
      <c r="AT31" s="153">
        <f t="shared" si="3"/>
        <v>3514.077632701848</v>
      </c>
      <c r="AV31" s="153">
        <f t="shared" si="4"/>
        <v>7221.1231588559831</v>
      </c>
      <c r="AW31" s="273"/>
      <c r="AX31" s="155">
        <f t="shared" si="8"/>
        <v>10735.200791557831</v>
      </c>
      <c r="AZ31" s="146">
        <f>+IF(AZ30&gt;$G$13+$G$14,XX,AZ30+1)</f>
        <v>2028</v>
      </c>
      <c r="BA31" s="117"/>
      <c r="BB31" s="154">
        <f t="shared" si="16"/>
        <v>59.318306727646657</v>
      </c>
      <c r="BD31" s="154">
        <f t="shared" si="17"/>
        <v>3.0254288718440079</v>
      </c>
      <c r="BF31" s="153">
        <f t="shared" si="9"/>
        <v>1151.9291768339431</v>
      </c>
      <c r="BH31" s="157"/>
    </row>
    <row r="32" spans="1:60" ht="12">
      <c r="B32" s="2"/>
      <c r="C32">
        <f>+IF(C31&gt;$G$13+$G$14,XX,C31+1)</f>
        <v>2029</v>
      </c>
      <c r="E32" s="169">
        <f>'(2.2)_Forward_Price_Curve'!Q47</f>
        <v>2.1999999999999999E-2</v>
      </c>
      <c r="G32" s="18">
        <v>208418.97274140999</v>
      </c>
      <c r="I32" s="28">
        <v>164.78277421166101</v>
      </c>
      <c r="K32" s="28">
        <v>53.358379840071102</v>
      </c>
      <c r="M32" s="28">
        <f t="shared" si="10"/>
        <v>0</v>
      </c>
      <c r="O32" s="270">
        <f>'(2.2)_Forward_Price_Curve'!AH47</f>
        <v>1.8705557108218309</v>
      </c>
      <c r="Q32" s="28">
        <v>-21.318999999999999</v>
      </c>
      <c r="S32" s="18">
        <f t="shared" si="5"/>
        <v>15306.612643827577</v>
      </c>
      <c r="U32" s="18">
        <f t="shared" si="0"/>
        <v>10937.999146937518</v>
      </c>
      <c r="W32" s="18">
        <f t="shared" si="1"/>
        <v>4368.6134968900587</v>
      </c>
      <c r="Y32" s="271">
        <f t="shared" si="6"/>
        <v>20.96072847605047</v>
      </c>
      <c r="Z32" s="235"/>
      <c r="AB32" s="146">
        <f>+IF(AB31&gt;$G$13+$G$14,XX,AB31+1)</f>
        <v>2029</v>
      </c>
      <c r="AC32" s="117"/>
      <c r="AD32" s="151">
        <f t="shared" si="2"/>
        <v>208418.97274140999</v>
      </c>
      <c r="AF32" s="154">
        <f t="shared" si="11"/>
        <v>99.744787843678424</v>
      </c>
      <c r="AH32" s="154">
        <f t="shared" si="12"/>
        <v>26.87866044307059</v>
      </c>
      <c r="AJ32" s="154">
        <f t="shared" si="13"/>
        <v>2.0219592078726785</v>
      </c>
      <c r="AL32" s="153">
        <f t="shared" si="7"/>
        <v>4768.6589593455792</v>
      </c>
      <c r="AN32" s="154">
        <f>INDEX('(2.2)_Forward_Price_Curve'!$N:$N,MATCH($AB32,'(2.2)_Forward_Price_Curve'!$C:$C,0),1)</f>
        <v>4.9885666666666664</v>
      </c>
      <c r="AP32" s="154">
        <f t="shared" si="14"/>
        <v>32.707890484845443</v>
      </c>
      <c r="AR32" s="154">
        <f t="shared" si="15"/>
        <v>2.54135630724643</v>
      </c>
      <c r="AS32" s="154"/>
      <c r="AT32" s="153">
        <f t="shared" si="3"/>
        <v>3591.3873406212892</v>
      </c>
      <c r="AV32" s="153">
        <f t="shared" si="4"/>
        <v>7346.6118063162294</v>
      </c>
      <c r="AW32" s="273"/>
      <c r="AX32" s="155">
        <f t="shared" si="8"/>
        <v>10937.999146937518</v>
      </c>
      <c r="AZ32" s="146">
        <f>+IF(AZ31&gt;$G$13+$G$14,XX,AZ31+1)</f>
        <v>2029</v>
      </c>
      <c r="BA32" s="117"/>
      <c r="BB32" s="154">
        <f t="shared" si="16"/>
        <v>60.623309475654885</v>
      </c>
      <c r="BD32" s="154">
        <f t="shared" si="17"/>
        <v>3.0919883070245762</v>
      </c>
      <c r="BF32" s="153">
        <f t="shared" si="9"/>
        <v>1177.27161872429</v>
      </c>
      <c r="BH32" s="157"/>
    </row>
    <row r="33" spans="2:60" ht="12">
      <c r="B33" s="2"/>
      <c r="C33">
        <f>+IF(C32&gt;$G$13+$G$14,XX,C32+1)</f>
        <v>2030</v>
      </c>
      <c r="E33" s="169">
        <f>'(2.2)_Forward_Price_Curve'!Q48</f>
        <v>2.1999999999999999E-2</v>
      </c>
      <c r="G33" s="18">
        <v>208418.97274140999</v>
      </c>
      <c r="I33" s="28">
        <v>164.78277421166101</v>
      </c>
      <c r="K33" s="28">
        <v>54.569615062440711</v>
      </c>
      <c r="M33" s="28">
        <f t="shared" si="10"/>
        <v>0</v>
      </c>
      <c r="O33" s="270">
        <f>'(2.2)_Forward_Price_Curve'!AH48</f>
        <v>1.9117079364599112</v>
      </c>
      <c r="Q33" s="28">
        <v>-22.038</v>
      </c>
      <c r="S33" s="18">
        <f t="shared" si="5"/>
        <v>15417.7807078145</v>
      </c>
      <c r="U33" s="18">
        <f t="shared" si="0"/>
        <v>11244.172945347153</v>
      </c>
      <c r="W33" s="18">
        <f t="shared" si="1"/>
        <v>4173.6077624673471</v>
      </c>
      <c r="Y33" s="271">
        <f t="shared" si="6"/>
        <v>20.025085564765902</v>
      </c>
      <c r="Z33" s="235"/>
      <c r="AB33" s="146">
        <f>+IF(AB32&gt;$G$13+$G$14,XX,AB32+1)</f>
        <v>2030</v>
      </c>
      <c r="AC33" s="117"/>
      <c r="AD33" s="151">
        <f t="shared" si="2"/>
        <v>208418.97274140999</v>
      </c>
      <c r="AF33" s="154">
        <f t="shared" si="11"/>
        <v>101.93917317623935</v>
      </c>
      <c r="AH33" s="154">
        <f t="shared" si="12"/>
        <v>27.469990972818142</v>
      </c>
      <c r="AJ33" s="154">
        <f t="shared" si="13"/>
        <v>2.0664423104458773</v>
      </c>
      <c r="AL33" s="153">
        <f t="shared" si="7"/>
        <v>4873.5694564511823</v>
      </c>
      <c r="AN33" s="154">
        <f>INDEX('(2.2)_Forward_Price_Curve'!$N:$N,MATCH($AB33,'(2.2)_Forward_Price_Curve'!$C:$C,0),1)</f>
        <v>5.1462750000000002</v>
      </c>
      <c r="AP33" s="154">
        <f t="shared" si="14"/>
        <v>33.74191633633535</v>
      </c>
      <c r="AR33" s="154">
        <f t="shared" si="15"/>
        <v>2.5972661460058517</v>
      </c>
      <c r="AS33" s="154"/>
      <c r="AT33" s="153">
        <f t="shared" si="3"/>
        <v>3670.3978621149581</v>
      </c>
      <c r="AV33" s="153">
        <f t="shared" si="4"/>
        <v>7573.7750832321944</v>
      </c>
      <c r="AW33" s="273"/>
      <c r="AX33" s="155">
        <f t="shared" si="8"/>
        <v>11244.172945347153</v>
      </c>
      <c r="AZ33" s="146">
        <f>+IF(AZ32&gt;$G$13+$G$14,XX,AZ32+1)</f>
        <v>2030</v>
      </c>
      <c r="BA33" s="117"/>
      <c r="BB33" s="154">
        <f t="shared" si="16"/>
        <v>61.957022284119297</v>
      </c>
      <c r="BD33" s="154">
        <f t="shared" si="17"/>
        <v>3.1600120497791169</v>
      </c>
      <c r="BF33" s="153">
        <f t="shared" si="9"/>
        <v>1203.1715943362244</v>
      </c>
      <c r="BH33" s="157"/>
    </row>
    <row r="34" spans="2:60" ht="12">
      <c r="B34" s="2"/>
      <c r="C34">
        <f>+IF(C33&gt;$G$13+$G$14,XX,C33+1)</f>
        <v>2031</v>
      </c>
      <c r="E34" s="169">
        <f>'(2.2)_Forward_Price_Curve'!Q49</f>
        <v>2.1999999999999999E-2</v>
      </c>
      <c r="G34" s="18">
        <v>208418.97274140999</v>
      </c>
      <c r="I34" s="28">
        <v>164.78277421166101</v>
      </c>
      <c r="K34" s="28">
        <v>55.808345324358115</v>
      </c>
      <c r="M34" s="28">
        <f t="shared" si="10"/>
        <v>0</v>
      </c>
      <c r="O34" s="270">
        <f>'(2.2)_Forward_Price_Curve'!AH49</f>
        <v>1.9537655110620293</v>
      </c>
      <c r="Q34" s="28">
        <v>-21.96</v>
      </c>
      <c r="S34" s="18">
        <f t="shared" si="5"/>
        <v>15700.977872875423</v>
      </c>
      <c r="U34" s="18">
        <f t="shared" si="0"/>
        <v>11511.021374524413</v>
      </c>
      <c r="W34" s="18">
        <f t="shared" si="1"/>
        <v>4189.9564983510099</v>
      </c>
      <c r="Y34" s="271">
        <f t="shared" si="6"/>
        <v>20.10352725204908</v>
      </c>
      <c r="Z34" s="235"/>
      <c r="AB34" s="146">
        <f>+IF(AB33&gt;$G$13+$G$14,XX,AB33+1)</f>
        <v>2031</v>
      </c>
      <c r="AC34" s="117"/>
      <c r="AD34" s="151">
        <f t="shared" si="2"/>
        <v>208418.97274140999</v>
      </c>
      <c r="AF34" s="154">
        <f t="shared" si="11"/>
        <v>104.18183498611661</v>
      </c>
      <c r="AH34" s="154">
        <f t="shared" si="12"/>
        <v>28.07433077422014</v>
      </c>
      <c r="AJ34" s="154">
        <f t="shared" si="13"/>
        <v>2.1119040412756869</v>
      </c>
      <c r="AL34" s="153">
        <f t="shared" si="7"/>
        <v>4980.7879844931085</v>
      </c>
      <c r="AN34" s="154">
        <f>INDEX('(2.2)_Forward_Price_Curve'!$N:$N,MATCH($AB34,'(2.2)_Forward_Price_Curve'!$C:$C,0),1)</f>
        <v>5.2737458333333338</v>
      </c>
      <c r="AP34" s="154">
        <f t="shared" si="14"/>
        <v>34.577687878597722</v>
      </c>
      <c r="AR34" s="154">
        <f t="shared" si="15"/>
        <v>2.6544060012179806</v>
      </c>
      <c r="AS34" s="154"/>
      <c r="AT34" s="153">
        <f t="shared" si="3"/>
        <v>3751.1466150814867</v>
      </c>
      <c r="AV34" s="153">
        <f t="shared" si="4"/>
        <v>7759.874759442926</v>
      </c>
      <c r="AW34" s="273"/>
      <c r="AX34" s="155">
        <f t="shared" si="8"/>
        <v>11511.021374524413</v>
      </c>
      <c r="AZ34" s="146">
        <f>+IF(AZ33&gt;$G$13+$G$14,XX,AZ33+1)</f>
        <v>2031</v>
      </c>
      <c r="BA34" s="117"/>
      <c r="BB34" s="154">
        <f t="shared" si="16"/>
        <v>63.320076774369923</v>
      </c>
      <c r="BD34" s="154">
        <f t="shared" si="17"/>
        <v>3.2295323148742576</v>
      </c>
      <c r="BF34" s="153">
        <f t="shared" si="9"/>
        <v>1229.6413694116216</v>
      </c>
      <c r="BH34" s="157"/>
    </row>
    <row r="35" spans="2:60" ht="12">
      <c r="B35" s="2"/>
      <c r="C35">
        <f>+IF(C34&gt;$G$13+$G$14,XX,C34+1)</f>
        <v>2032</v>
      </c>
      <c r="E35" s="169">
        <f>'(2.2)_Forward_Price_Curve'!Q50</f>
        <v>2.1999999999999999E-2</v>
      </c>
      <c r="G35" s="18">
        <v>208418.97274140999</v>
      </c>
      <c r="I35" s="28">
        <v>164.78277421166101</v>
      </c>
      <c r="K35" s="28">
        <v>57.075194763221042</v>
      </c>
      <c r="M35" s="28">
        <f t="shared" si="10"/>
        <v>0</v>
      </c>
      <c r="O35" s="270">
        <f>'(2.2)_Forward_Price_Curve'!AH50</f>
        <v>1.9967483523053939</v>
      </c>
      <c r="Q35" s="28">
        <v>-22.675999999999998</v>
      </c>
      <c r="S35" s="18">
        <f t="shared" si="5"/>
        <v>15824.743786675863</v>
      </c>
      <c r="U35" s="18">
        <f t="shared" si="0"/>
        <v>12079.607515204068</v>
      </c>
      <c r="W35" s="18">
        <f t="shared" si="1"/>
        <v>3745.1362714717943</v>
      </c>
      <c r="Y35" s="271">
        <f t="shared" si="6"/>
        <v>17.96926749139325</v>
      </c>
      <c r="Z35" s="235"/>
      <c r="AB35" s="146">
        <f>+IF(AB34&gt;$G$13+$G$14,XX,AB34+1)</f>
        <v>2032</v>
      </c>
      <c r="AC35" s="117"/>
      <c r="AD35" s="151">
        <f t="shared" si="2"/>
        <v>208418.97274140999</v>
      </c>
      <c r="AF35" s="154">
        <f t="shared" si="11"/>
        <v>106.47383535581118</v>
      </c>
      <c r="AH35" s="154">
        <f t="shared" si="12"/>
        <v>28.691966051252983</v>
      </c>
      <c r="AJ35" s="154">
        <f t="shared" si="13"/>
        <v>2.1583659301837521</v>
      </c>
      <c r="AL35" s="153">
        <f t="shared" si="7"/>
        <v>5090.3653201519555</v>
      </c>
      <c r="AN35" s="154">
        <f>INDEX('(2.2)_Forward_Price_Curve'!$N:$N,MATCH($AB35,'(2.2)_Forward_Price_Curve'!$C:$C,0),1)</f>
        <v>5.6205333333333334</v>
      </c>
      <c r="AP35" s="154">
        <f t="shared" si="14"/>
        <v>36.851424671032426</v>
      </c>
      <c r="AR35" s="154">
        <f t="shared" si="15"/>
        <v>2.7128029332447761</v>
      </c>
      <c r="AS35" s="154"/>
      <c r="AT35" s="153">
        <f t="shared" si="3"/>
        <v>3833.6718406132786</v>
      </c>
      <c r="AV35" s="153">
        <f t="shared" si="4"/>
        <v>8245.9356745907899</v>
      </c>
      <c r="AW35" s="273"/>
      <c r="AX35" s="155">
        <f t="shared" si="8"/>
        <v>12079.607515204068</v>
      </c>
      <c r="AZ35" s="146">
        <f>+IF(AZ34&gt;$G$13+$G$14,XX,AZ34+1)</f>
        <v>2032</v>
      </c>
      <c r="BA35" s="117"/>
      <c r="BB35" s="154">
        <f t="shared" si="16"/>
        <v>64.713118463406062</v>
      </c>
      <c r="BD35" s="154">
        <f t="shared" si="17"/>
        <v>3.3005820258014915</v>
      </c>
      <c r="BF35" s="153">
        <f t="shared" si="9"/>
        <v>1256.6934795386769</v>
      </c>
      <c r="BH35" s="157"/>
    </row>
    <row r="36" spans="2:60" ht="12">
      <c r="B36" s="2"/>
      <c r="C36">
        <f>+IF(C35&gt;$G$13+$G$14,XX,C35+1)</f>
        <v>2033</v>
      </c>
      <c r="E36" s="169">
        <f>'(2.2)_Forward_Price_Curve'!Q51</f>
        <v>2.1999999999999999E-2</v>
      </c>
      <c r="G36" s="18">
        <v>208418.97274140999</v>
      </c>
      <c r="I36" s="28">
        <v>164.78277421166101</v>
      </c>
      <c r="K36" s="28">
        <v>58.370801684346155</v>
      </c>
      <c r="M36" s="28">
        <f t="shared" si="10"/>
        <v>0</v>
      </c>
      <c r="O36" s="270">
        <f>'(2.2)_Forward_Price_Curve'!AH51</f>
        <v>2.0406768160561128</v>
      </c>
      <c r="Q36" s="28">
        <v>-22.594000000000001</v>
      </c>
      <c r="S36" s="18">
        <f t="shared" si="5"/>
        <v>16121.018731307249</v>
      </c>
      <c r="U36" s="18">
        <f t="shared" si="0"/>
        <v>12544.024835719854</v>
      </c>
      <c r="W36" s="18">
        <f t="shared" si="1"/>
        <v>3576.9938955873949</v>
      </c>
      <c r="Y36" s="271">
        <f t="shared" si="6"/>
        <v>17.162515717920989</v>
      </c>
      <c r="Z36" s="235"/>
      <c r="AB36" s="146">
        <f>+IF(AB35&gt;$G$13+$G$14,XX,AB35+1)</f>
        <v>2033</v>
      </c>
      <c r="AC36" s="117"/>
      <c r="AD36" s="151">
        <f t="shared" si="2"/>
        <v>208418.97274140999</v>
      </c>
      <c r="AF36" s="154">
        <f t="shared" si="11"/>
        <v>108.81625973363903</v>
      </c>
      <c r="AH36" s="154">
        <f t="shared" si="12"/>
        <v>29.323189304380548</v>
      </c>
      <c r="AJ36" s="154">
        <f t="shared" si="13"/>
        <v>2.2058499806477947</v>
      </c>
      <c r="AL36" s="153">
        <f t="shared" si="7"/>
        <v>5202.3533571953003</v>
      </c>
      <c r="AN36" s="154">
        <f>INDEX('(2.2)_Forward_Price_Curve'!$N:$N,MATCH($AB36,'(2.2)_Forward_Price_Curve'!$C:$C,0),1)</f>
        <v>5.8895666666666662</v>
      </c>
      <c r="AP36" s="154">
        <f t="shared" si="14"/>
        <v>38.615360765589891</v>
      </c>
      <c r="AR36" s="154">
        <f t="shared" si="15"/>
        <v>2.7724845977761614</v>
      </c>
      <c r="AS36" s="154"/>
      <c r="AT36" s="153">
        <f t="shared" si="3"/>
        <v>3918.0126211067723</v>
      </c>
      <c r="AV36" s="153">
        <f t="shared" si="4"/>
        <v>8626.0122146130816</v>
      </c>
      <c r="AW36" s="273"/>
      <c r="AX36" s="155">
        <f t="shared" si="8"/>
        <v>12544.024835719854</v>
      </c>
      <c r="AZ36" s="146">
        <f>+IF(AZ35&gt;$G$13+$G$14,XX,AZ35+1)</f>
        <v>2033</v>
      </c>
      <c r="BA36" s="117"/>
      <c r="BB36" s="154">
        <f t="shared" si="16"/>
        <v>66.136807069600991</v>
      </c>
      <c r="BD36" s="154">
        <f t="shared" si="17"/>
        <v>3.3731948303691244</v>
      </c>
      <c r="BF36" s="153">
        <f t="shared" si="9"/>
        <v>1284.340736088528</v>
      </c>
      <c r="BH36" s="157"/>
    </row>
    <row r="37" spans="2:60" ht="12">
      <c r="B37" s="2"/>
      <c r="C37">
        <f>+IF(C36&gt;$G$13+$G$14,XX,C36+1)</f>
        <v>2034</v>
      </c>
      <c r="E37" s="169">
        <f>'(2.2)_Forward_Price_Curve'!Q52</f>
        <v>2.1000000000000001E-2</v>
      </c>
      <c r="G37" s="18">
        <v>208418.97274140999</v>
      </c>
      <c r="I37" s="28">
        <v>164.78277421166101</v>
      </c>
      <c r="K37" s="28">
        <v>59.695818882580809</v>
      </c>
      <c r="M37" s="28">
        <f t="shared" si="10"/>
        <v>0</v>
      </c>
      <c r="O37" s="270">
        <f>'(2.2)_Forward_Price_Curve'!AH52</f>
        <v>2.0835310291932911</v>
      </c>
      <c r="Q37" s="28">
        <v>-23.306000000000001</v>
      </c>
      <c r="S37" s="18">
        <f t="shared" si="5"/>
        <v>16257.714777115823</v>
      </c>
      <c r="U37" s="18">
        <f t="shared" si="0"/>
        <v>12754.608457036844</v>
      </c>
      <c r="W37" s="18">
        <f t="shared" si="1"/>
        <v>3503.1063200789795</v>
      </c>
      <c r="Y37" s="271">
        <f t="shared" si="6"/>
        <v>16.808001085512309</v>
      </c>
      <c r="Z37" s="235"/>
      <c r="AB37" s="146">
        <f>+IF(AB36&gt;$G$13+$G$14,XX,AB36+1)</f>
        <v>2034</v>
      </c>
      <c r="AC37" s="117"/>
      <c r="AD37" s="151">
        <f t="shared" si="2"/>
        <v>208418.97274140999</v>
      </c>
      <c r="AF37" s="154">
        <f t="shared" si="11"/>
        <v>111.10140118804544</v>
      </c>
      <c r="AH37" s="154">
        <f t="shared" si="12"/>
        <v>29.938976279772536</v>
      </c>
      <c r="AJ37" s="154">
        <f t="shared" si="13"/>
        <v>2.2521728302413981</v>
      </c>
      <c r="AL37" s="153">
        <f t="shared" si="7"/>
        <v>5311.6027776964002</v>
      </c>
      <c r="AN37" s="154">
        <f>INDEX('(2.2)_Forward_Price_Curve'!$N:$N,MATCH($AB37,'(2.2)_Forward_Price_Curve'!$C:$C,0),1)</f>
        <v>5.9745791666666674</v>
      </c>
      <c r="AP37" s="154">
        <f t="shared" si="14"/>
        <v>39.172751239776126</v>
      </c>
      <c r="AR37" s="154">
        <f t="shared" si="15"/>
        <v>2.8307067743294607</v>
      </c>
      <c r="AS37" s="154"/>
      <c r="AT37" s="153">
        <f t="shared" si="3"/>
        <v>4000.2908861500132</v>
      </c>
      <c r="AV37" s="153">
        <f t="shared" si="4"/>
        <v>8754.3175708868312</v>
      </c>
      <c r="AW37" s="273"/>
      <c r="AX37" s="155">
        <f t="shared" si="8"/>
        <v>12754.608457036844</v>
      </c>
      <c r="AZ37" s="146">
        <f>+IF(AZ36&gt;$G$13+$G$14,XX,AZ36+1)</f>
        <v>2034</v>
      </c>
      <c r="BA37" s="117"/>
      <c r="BB37" s="154">
        <f t="shared" si="16"/>
        <v>67.525680018062602</v>
      </c>
      <c r="BD37" s="154">
        <f t="shared" si="17"/>
        <v>3.4440319218068756</v>
      </c>
      <c r="BF37" s="153">
        <f t="shared" si="9"/>
        <v>1311.311891546387</v>
      </c>
      <c r="BH37" s="157"/>
    </row>
    <row r="38" spans="2:60" ht="12">
      <c r="B38" s="2"/>
      <c r="C38">
        <f>+IF(C37&gt;$G$13+$G$14,XX,C37+1)</f>
        <v>2035</v>
      </c>
      <c r="E38" s="169">
        <f>'(2.2)_Forward_Price_Curve'!Q53</f>
        <v>2.1000000000000001E-2</v>
      </c>
      <c r="G38" s="18">
        <v>208418.97274140999</v>
      </c>
      <c r="I38" s="28">
        <v>164.78277421166101</v>
      </c>
      <c r="K38" s="28">
        <v>61.050913971215387</v>
      </c>
      <c r="M38" s="28">
        <f t="shared" si="10"/>
        <v>0</v>
      </c>
      <c r="O38" s="270">
        <f>'(2.2)_Forward_Price_Curve'!AH53</f>
        <v>2.12728518080635</v>
      </c>
      <c r="Q38" s="28">
        <v>3.0339999999999998</v>
      </c>
      <c r="S38" s="18">
        <f t="shared" si="5"/>
        <v>22039.017240797079</v>
      </c>
      <c r="U38" s="18">
        <f t="shared" si="0"/>
        <v>12972.623722222739</v>
      </c>
      <c r="W38" s="18">
        <f t="shared" si="1"/>
        <v>9066.3935185743394</v>
      </c>
      <c r="Y38" s="271">
        <f t="shared" si="6"/>
        <v>43.500807048997473</v>
      </c>
      <c r="Z38" s="235"/>
      <c r="AB38" s="146">
        <f>+IF(AB37&gt;$G$13+$G$14,XX,AB37+1)</f>
        <v>2035</v>
      </c>
      <c r="AC38" s="117"/>
      <c r="AD38" s="151">
        <f t="shared" si="2"/>
        <v>208418.97274140999</v>
      </c>
      <c r="AF38" s="154">
        <f t="shared" si="11"/>
        <v>113.43453061299439</v>
      </c>
      <c r="AH38" s="154">
        <f t="shared" si="12"/>
        <v>30.567694781647756</v>
      </c>
      <c r="AJ38" s="154">
        <f t="shared" si="13"/>
        <v>2.2994684596764672</v>
      </c>
      <c r="AL38" s="153">
        <f t="shared" si="7"/>
        <v>5423.1464360280243</v>
      </c>
      <c r="AN38" s="154">
        <f>INDEX('(2.2)_Forward_Price_Curve'!$N:$N,MATCH($AB38,'(2.2)_Forward_Price_Curve'!$C:$C,0),1)</f>
        <v>6.063579166666667</v>
      </c>
      <c r="AP38" s="154">
        <f t="shared" si="14"/>
        <v>39.756286039982839</v>
      </c>
      <c r="AR38" s="154">
        <f t="shared" si="15"/>
        <v>2.8901516165903791</v>
      </c>
      <c r="AS38" s="154"/>
      <c r="AT38" s="153">
        <f t="shared" si="3"/>
        <v>4084.2969947591637</v>
      </c>
      <c r="AV38" s="153">
        <f t="shared" si="4"/>
        <v>8888.3267274635746</v>
      </c>
      <c r="AW38" s="273"/>
      <c r="AX38" s="155">
        <f t="shared" si="8"/>
        <v>12972.623722222739</v>
      </c>
      <c r="AZ38" s="146">
        <f>+IF(AZ37&gt;$G$13+$G$14,XX,AZ37+1)</f>
        <v>2035</v>
      </c>
      <c r="BA38" s="117"/>
      <c r="BB38" s="154">
        <f t="shared" si="16"/>
        <v>68.943719298441906</v>
      </c>
      <c r="BD38" s="154">
        <f t="shared" si="17"/>
        <v>3.5163565921648194</v>
      </c>
      <c r="BF38" s="153">
        <f t="shared" si="9"/>
        <v>1338.8494412688608</v>
      </c>
      <c r="BH38" s="157"/>
    </row>
    <row r="39" spans="2:60" ht="12">
      <c r="B39" s="2"/>
      <c r="C39">
        <f>+IF(C38&gt;$G$13+$G$14,XX,C38+1)</f>
        <v>2036</v>
      </c>
      <c r="E39" s="169">
        <f>'(2.2)_Forward_Price_Curve'!Q54</f>
        <v>2.1999999999999999E-2</v>
      </c>
      <c r="G39" s="18">
        <v>208418.97274140999</v>
      </c>
      <c r="I39" s="28">
        <v>164.78277421166101</v>
      </c>
      <c r="K39" s="28">
        <v>62.436769718361973</v>
      </c>
      <c r="M39" s="28">
        <f t="shared" si="10"/>
        <v>0</v>
      </c>
      <c r="O39" s="270">
        <f>'(2.2)_Forward_Price_Curve'!AH54</f>
        <v>2.1740854547840898</v>
      </c>
      <c r="Q39" s="28">
        <v>3.1210000000000004</v>
      </c>
      <c r="S39" s="18">
        <f t="shared" si="5"/>
        <v>22355.742387640108</v>
      </c>
      <c r="U39" s="18">
        <f t="shared" si="0"/>
        <v>13019.589289754491</v>
      </c>
      <c r="W39" s="18">
        <f t="shared" si="1"/>
        <v>9336.1530978856172</v>
      </c>
      <c r="Y39" s="271">
        <f t="shared" si="6"/>
        <v>44.795120977153978</v>
      </c>
      <c r="Z39" s="235"/>
      <c r="AB39" s="146">
        <f>+IF(AB38&gt;$G$13+$G$14,XX,AB38+1)</f>
        <v>2036</v>
      </c>
      <c r="AC39" s="117"/>
      <c r="AD39" s="151">
        <f t="shared" si="2"/>
        <v>208418.97274140999</v>
      </c>
      <c r="AF39" s="154">
        <f t="shared" si="11"/>
        <v>115.93009028648028</v>
      </c>
      <c r="AH39" s="154">
        <f t="shared" si="12"/>
        <v>31.240184066844009</v>
      </c>
      <c r="AJ39" s="154">
        <f t="shared" si="13"/>
        <v>2.3500567657893496</v>
      </c>
      <c r="AL39" s="153">
        <f t="shared" si="7"/>
        <v>5542.4556576206414</v>
      </c>
      <c r="AN39" s="154">
        <f>INDEX('(2.2)_Forward_Price_Curve'!$N:$N,MATCH($AB39,'(2.2)_Forward_Price_Curve'!$C:$C,0),1)</f>
        <v>6.022495833333334</v>
      </c>
      <c r="AP39" s="154">
        <f t="shared" si="14"/>
        <v>39.48692025674135</v>
      </c>
      <c r="AR39" s="154">
        <f t="shared" si="15"/>
        <v>2.9537349521553673</v>
      </c>
      <c r="AS39" s="154"/>
      <c r="AT39" s="153">
        <f t="shared" si="3"/>
        <v>4174.1515286438662</v>
      </c>
      <c r="AV39" s="153">
        <f t="shared" si="4"/>
        <v>8845.4377611106247</v>
      </c>
      <c r="AW39" s="273"/>
      <c r="AX39" s="155">
        <f t="shared" si="8"/>
        <v>13019.589289754491</v>
      </c>
      <c r="AZ39" s="146">
        <f>+IF(AZ38&gt;$G$13+$G$14,XX,AZ38+1)</f>
        <v>2036</v>
      </c>
      <c r="BA39" s="117"/>
      <c r="BB39" s="154">
        <f t="shared" si="16"/>
        <v>70.460481123007625</v>
      </c>
      <c r="BD39" s="154">
        <f t="shared" si="17"/>
        <v>3.5937164371924455</v>
      </c>
      <c r="BF39" s="153">
        <f t="shared" si="9"/>
        <v>1368.3041289767755</v>
      </c>
      <c r="BH39" s="157"/>
    </row>
    <row r="40" spans="2:60" ht="12">
      <c r="B40" s="2"/>
      <c r="C40">
        <f>+IF(C39&gt;$G$13+$G$14,XX,C39+1)</f>
        <v>2037</v>
      </c>
      <c r="E40" s="169">
        <f>'(2.2)_Forward_Price_Curve'!Q55</f>
        <v>2.1999999999999999E-2</v>
      </c>
      <c r="G40" s="18">
        <v>208418.97274140999</v>
      </c>
      <c r="I40" s="28">
        <v>164.78277421166101</v>
      </c>
      <c r="K40" s="28">
        <v>63.854084390968787</v>
      </c>
      <c r="M40" s="28">
        <f t="shared" si="10"/>
        <v>0</v>
      </c>
      <c r="O40" s="270">
        <f>'(2.2)_Forward_Price_Curve'!AH55</f>
        <v>2.2219153347893399</v>
      </c>
      <c r="Q40" s="28">
        <v>3.21</v>
      </c>
      <c r="S40" s="18">
        <f t="shared" si="5"/>
        <v>22679.655598787172</v>
      </c>
      <c r="U40" s="18">
        <f t="shared" si="0"/>
        <v>13448.816511066972</v>
      </c>
      <c r="W40" s="18">
        <f t="shared" si="1"/>
        <v>9230.8390877202</v>
      </c>
      <c r="Y40" s="271">
        <f t="shared" si="6"/>
        <v>44.289821441415057</v>
      </c>
      <c r="Z40" s="235"/>
      <c r="AB40" s="146">
        <f>+IF(AB39&gt;$G$13+$G$14,XX,AB39+1)</f>
        <v>2037</v>
      </c>
      <c r="AC40" s="117"/>
      <c r="AD40" s="151">
        <f t="shared" si="2"/>
        <v>208418.97274140999</v>
      </c>
      <c r="AF40" s="154">
        <f t="shared" si="11"/>
        <v>118.48055227278284</v>
      </c>
      <c r="AH40" s="154">
        <f t="shared" si="12"/>
        <v>31.927468116314579</v>
      </c>
      <c r="AJ40" s="154">
        <f t="shared" si="13"/>
        <v>2.4017580146367155</v>
      </c>
      <c r="AL40" s="153">
        <f t="shared" si="7"/>
        <v>5664.3896820882956</v>
      </c>
      <c r="AN40" s="154">
        <f>INDEX('(2.2)_Forward_Price_Curve'!$N:$N,MATCH($AB40,'(2.2)_Forward_Price_Curve'!$C:$C,0),1)</f>
        <v>6.2594874999999996</v>
      </c>
      <c r="AP40" s="154">
        <f t="shared" si="14"/>
        <v>41.040772895606416</v>
      </c>
      <c r="AR40" s="154">
        <f t="shared" si="15"/>
        <v>3.0187171211027852</v>
      </c>
      <c r="AS40" s="154"/>
      <c r="AT40" s="153">
        <f t="shared" si="3"/>
        <v>4265.9828622740315</v>
      </c>
      <c r="AV40" s="153">
        <f t="shared" si="4"/>
        <v>9182.8336487929409</v>
      </c>
      <c r="AW40" s="273"/>
      <c r="AX40" s="155">
        <f t="shared" si="8"/>
        <v>13448.816511066972</v>
      </c>
      <c r="AZ40" s="146">
        <f>+IF(AZ39&gt;$G$13+$G$14,XX,AZ39+1)</f>
        <v>2037</v>
      </c>
      <c r="BA40" s="117"/>
      <c r="BB40" s="154">
        <f t="shared" si="16"/>
        <v>72.010611707713792</v>
      </c>
      <c r="BD40" s="154">
        <f t="shared" si="17"/>
        <v>3.6727781988106796</v>
      </c>
      <c r="BF40" s="153">
        <f t="shared" si="9"/>
        <v>1398.4068198142645</v>
      </c>
      <c r="BH40" s="157"/>
    </row>
    <row r="41" spans="2:60" ht="12">
      <c r="B41" s="2"/>
      <c r="C41">
        <f>+IF(C40&gt;$G$13+$G$14,XX,C40+1)</f>
        <v>2038</v>
      </c>
      <c r="E41" s="169">
        <f>'(2.2)_Forward_Price_Curve'!Q56</f>
        <v>2.1999999999999999E-2</v>
      </c>
      <c r="G41" s="18">
        <v>208418.97274140999</v>
      </c>
      <c r="I41" s="28">
        <v>164.78277421166101</v>
      </c>
      <c r="K41" s="28">
        <v>65.30357210664377</v>
      </c>
      <c r="M41" s="28">
        <f t="shared" si="10"/>
        <v>0</v>
      </c>
      <c r="O41" s="270">
        <f>'(2.2)_Forward_Price_Curve'!AH56</f>
        <v>2.2707974721547055</v>
      </c>
      <c r="Q41" s="28">
        <v>3.3010000000000002</v>
      </c>
      <c r="S41" s="18">
        <f t="shared" si="5"/>
        <v>23010.910430864009</v>
      </c>
      <c r="U41" s="18">
        <f t="shared" si="0"/>
        <v>13930.655378843772</v>
      </c>
      <c r="W41" s="18">
        <f t="shared" si="1"/>
        <v>9080.2550520202367</v>
      </c>
      <c r="Y41" s="271">
        <f t="shared" si="6"/>
        <v>43.567315070141476</v>
      </c>
      <c r="Z41" s="235"/>
      <c r="AB41" s="146">
        <f>+IF(AB40&gt;$G$13+$G$14,XX,AB40+1)</f>
        <v>2038</v>
      </c>
      <c r="AC41" s="117"/>
      <c r="AD41" s="151">
        <f t="shared" si="2"/>
        <v>208418.97274140999</v>
      </c>
      <c r="AF41" s="154">
        <f t="shared" si="11"/>
        <v>121.08712442278407</v>
      </c>
      <c r="AH41" s="154">
        <f t="shared" si="12"/>
        <v>32.629872414873503</v>
      </c>
      <c r="AJ41" s="154">
        <f t="shared" si="13"/>
        <v>2.4545966909587231</v>
      </c>
      <c r="AL41" s="153">
        <f t="shared" si="7"/>
        <v>5789.0062550942384</v>
      </c>
      <c r="AN41" s="154">
        <f>INDEX('(2.2)_Forward_Price_Curve'!$N:$N,MATCH($AB41,'(2.2)_Forward_Price_Curve'!$C:$C,0),1)</f>
        <v>6.5332833333333333</v>
      </c>
      <c r="AP41" s="154">
        <f t="shared" si="14"/>
        <v>42.835934658545739</v>
      </c>
      <c r="AR41" s="154">
        <f t="shared" si="15"/>
        <v>3.0851288977670466</v>
      </c>
      <c r="AS41" s="154"/>
      <c r="AT41" s="153">
        <f t="shared" si="3"/>
        <v>4359.8344852440605</v>
      </c>
      <c r="AV41" s="153">
        <f t="shared" si="4"/>
        <v>9570.8208935997118</v>
      </c>
      <c r="AW41" s="273"/>
      <c r="AX41" s="155">
        <f t="shared" si="8"/>
        <v>13930.655378843772</v>
      </c>
      <c r="AZ41" s="146">
        <f>+IF(AZ40&gt;$G$13+$G$14,XX,AZ40+1)</f>
        <v>2038</v>
      </c>
      <c r="BA41" s="117"/>
      <c r="BB41" s="154">
        <f t="shared" si="16"/>
        <v>73.594845165283502</v>
      </c>
      <c r="BD41" s="154">
        <f t="shared" si="17"/>
        <v>3.7535793191845146</v>
      </c>
      <c r="BF41" s="153">
        <f t="shared" si="9"/>
        <v>1429.1717698501784</v>
      </c>
      <c r="BH41" s="157"/>
    </row>
    <row r="42" spans="2:60" ht="12">
      <c r="B42" s="2"/>
      <c r="C42">
        <f>+IF(C41&gt;$G$13+$G$14,XX,C41+1)</f>
        <v>2039</v>
      </c>
      <c r="E42" s="169">
        <f>'(2.2)_Forward_Price_Curve'!Q57</f>
        <v>2.1000000000000001E-2</v>
      </c>
      <c r="G42" s="18">
        <v>208418.97274140999</v>
      </c>
      <c r="I42" s="28">
        <v>164.78277421166101</v>
      </c>
      <c r="K42" s="28">
        <v>66.785963193464582</v>
      </c>
      <c r="M42" s="28">
        <f t="shared" si="10"/>
        <v>0</v>
      </c>
      <c r="O42" s="270">
        <f>'(2.2)_Forward_Price_Curve'!AH57</f>
        <v>2.3184842190699539</v>
      </c>
      <c r="Q42" s="28">
        <v>3.3929999999999998</v>
      </c>
      <c r="S42" s="18">
        <f t="shared" si="5"/>
        <v>23348.98222667789</v>
      </c>
      <c r="U42" s="18">
        <f t="shared" si="0"/>
        <v>14435.055758117229</v>
      </c>
      <c r="W42" s="18">
        <f t="shared" si="1"/>
        <v>8913.9264685606613</v>
      </c>
      <c r="Y42" s="271">
        <f t="shared" si="6"/>
        <v>42.769265922927119</v>
      </c>
      <c r="Z42" s="235"/>
      <c r="AB42" s="146">
        <f>+IF(AB41&gt;$G$13+$G$14,XX,AB41+1)</f>
        <v>2039</v>
      </c>
      <c r="AC42" s="117"/>
      <c r="AD42" s="151">
        <f t="shared" si="2"/>
        <v>208418.97274140999</v>
      </c>
      <c r="AF42" s="154">
        <f t="shared" si="11"/>
        <v>123.62995403566252</v>
      </c>
      <c r="AH42" s="154">
        <f t="shared" si="12"/>
        <v>33.315099735585846</v>
      </c>
      <c r="AJ42" s="154">
        <f t="shared" si="13"/>
        <v>2.5061432214688559</v>
      </c>
      <c r="AL42" s="153">
        <f t="shared" si="7"/>
        <v>5910.5753864512162</v>
      </c>
      <c r="AN42" s="154">
        <f>INDEX('(2.2)_Forward_Price_Curve'!$N:$N,MATCH($AB42,'(2.2)_Forward_Price_Curve'!$C:$C,0),1)</f>
        <v>6.8255166666666662</v>
      </c>
      <c r="AP42" s="154">
        <f t="shared" si="14"/>
        <v>44.751983195404279</v>
      </c>
      <c r="AR42" s="154">
        <f t="shared" si="15"/>
        <v>3.1499166046201541</v>
      </c>
      <c r="AS42" s="154"/>
      <c r="AT42" s="153">
        <f t="shared" si="3"/>
        <v>4451.3910094341836</v>
      </c>
      <c r="AV42" s="153">
        <f t="shared" si="4"/>
        <v>9983.6647486830443</v>
      </c>
      <c r="AW42" s="273"/>
      <c r="AX42" s="155">
        <f t="shared" si="8"/>
        <v>14435.055758117229</v>
      </c>
      <c r="AZ42" s="146">
        <f>+IF(AZ41&gt;$G$13+$G$14,XX,AZ41+1)</f>
        <v>2039</v>
      </c>
      <c r="BA42" s="117"/>
      <c r="BB42" s="154">
        <f t="shared" si="16"/>
        <v>75.140336913754453</v>
      </c>
      <c r="BD42" s="154">
        <f t="shared" si="17"/>
        <v>3.8324044848873893</v>
      </c>
      <c r="BF42" s="153">
        <f t="shared" si="9"/>
        <v>1459.1843770170324</v>
      </c>
      <c r="BH42" s="157"/>
    </row>
    <row r="43" spans="2:60" ht="12">
      <c r="B43" s="2"/>
      <c r="C43">
        <f>+IF(C42&gt;$G$13+$G$14,XX,C42+1)</f>
        <v>2040</v>
      </c>
      <c r="E43" s="169">
        <f>'(2.2)_Forward_Price_Curve'!Q58</f>
        <v>2.1999999999999999E-2</v>
      </c>
      <c r="G43" s="18">
        <v>208418.97274140999</v>
      </c>
      <c r="I43" s="28">
        <v>164.78277421166101</v>
      </c>
      <c r="K43" s="28">
        <v>68.302004557956224</v>
      </c>
      <c r="M43" s="28">
        <f t="shared" si="10"/>
        <v>0</v>
      </c>
      <c r="O43" s="270">
        <f>'(2.2)_Forward_Price_Curve'!AH58</f>
        <v>2.3694908718894929</v>
      </c>
      <c r="Q43" s="28">
        <v>3.4880000000000004</v>
      </c>
      <c r="S43" s="18">
        <f t="shared" si="5"/>
        <v>23695.384567092784</v>
      </c>
      <c r="U43" s="18">
        <f t="shared" si="0"/>
        <v>14753.590786942641</v>
      </c>
      <c r="W43" s="18">
        <f t="shared" si="1"/>
        <v>8941.793780150143</v>
      </c>
      <c r="Y43" s="271">
        <f t="shared" si="6"/>
        <v>42.902974055267144</v>
      </c>
      <c r="Z43" s="235"/>
      <c r="AB43" s="146">
        <f>+IF(AB42&gt;$G$13+$G$14,XX,AB42+1)</f>
        <v>2040</v>
      </c>
      <c r="AC43" s="117"/>
      <c r="AD43" s="151">
        <f t="shared" si="2"/>
        <v>208418.97274140999</v>
      </c>
      <c r="AF43" s="154">
        <f t="shared" si="11"/>
        <v>126.3498130244471</v>
      </c>
      <c r="AH43" s="154">
        <f t="shared" si="12"/>
        <v>34.048031929768733</v>
      </c>
      <c r="AJ43" s="154">
        <f t="shared" si="13"/>
        <v>2.561278372341171</v>
      </c>
      <c r="AL43" s="153">
        <f t="shared" si="7"/>
        <v>6040.6080449531446</v>
      </c>
      <c r="AN43" s="154">
        <f>INDEX('(2.2)_Forward_Price_Curve'!$N:$N,MATCH($AB43,'(2.2)_Forward_Price_Curve'!$C:$C,0),1)</f>
        <v>6.9763833333333336</v>
      </c>
      <c r="AP43" s="154">
        <f t="shared" si="14"/>
        <v>45.741151175080553</v>
      </c>
      <c r="AR43" s="154">
        <f t="shared" si="15"/>
        <v>3.2192147699217974</v>
      </c>
      <c r="AS43" s="154"/>
      <c r="AT43" s="153">
        <f t="shared" si="3"/>
        <v>4549.3216116417379</v>
      </c>
      <c r="AV43" s="153">
        <f t="shared" si="4"/>
        <v>10204.269175300904</v>
      </c>
      <c r="AW43" s="273"/>
      <c r="AX43" s="155">
        <f t="shared" si="8"/>
        <v>14753.590786942641</v>
      </c>
      <c r="AZ43" s="146">
        <f>+IF(AZ42&gt;$G$13+$G$14,XX,AZ42+1)</f>
        <v>2040</v>
      </c>
      <c r="BA43" s="117"/>
      <c r="BB43" s="154">
        <f t="shared" si="16"/>
        <v>76.793424325857046</v>
      </c>
      <c r="BD43" s="154">
        <f t="shared" si="17"/>
        <v>3.9167173835549121</v>
      </c>
      <c r="BF43" s="153">
        <f t="shared" si="9"/>
        <v>1491.2864333114069</v>
      </c>
      <c r="BH43" s="157"/>
    </row>
    <row r="44" spans="2:60" ht="12">
      <c r="B44" s="2"/>
      <c r="C44">
        <f>+IF(C43&gt;$G$13+$G$14,XX,C43+1)</f>
        <v>2041</v>
      </c>
      <c r="E44" s="169">
        <f>'(2.2)_Forward_Price_Curve'!Q59</f>
        <v>2.1999999999999999E-2</v>
      </c>
      <c r="G44" s="18">
        <v>208418.97274140999</v>
      </c>
      <c r="I44" s="28">
        <v>164.78277421166101</v>
      </c>
      <c r="K44" s="28">
        <v>69.852460061421823</v>
      </c>
      <c r="M44" s="28">
        <f t="shared" si="10"/>
        <v>0</v>
      </c>
      <c r="O44" s="270">
        <f>'(2.2)_Forward_Price_Curve'!AH59</f>
        <v>2.421619671071062</v>
      </c>
      <c r="Q44" s="28">
        <v>3.5671776000000004</v>
      </c>
      <c r="S44" s="18">
        <f t="shared" si="5"/>
        <v>24045.895655238142</v>
      </c>
      <c r="U44" s="18">
        <f t="shared" si="0"/>
        <v>15339.098159809862</v>
      </c>
      <c r="W44" s="18">
        <f t="shared" si="1"/>
        <v>8706.7974954282799</v>
      </c>
      <c r="Y44" s="271">
        <f t="shared" si="6"/>
        <v>41.775455376756867</v>
      </c>
      <c r="Z44" s="235"/>
      <c r="AB44" s="146">
        <f>+IF(AB43&gt;$G$13+$G$14,XX,AB43+1)</f>
        <v>2041</v>
      </c>
      <c r="AC44" s="117"/>
      <c r="AD44" s="151">
        <f t="shared" si="2"/>
        <v>208418.97274140999</v>
      </c>
      <c r="AF44" s="154">
        <f t="shared" si="11"/>
        <v>129.12950891098495</v>
      </c>
      <c r="AH44" s="154">
        <f t="shared" si="12"/>
        <v>34.797088632223648</v>
      </c>
      <c r="AJ44" s="154">
        <f t="shared" si="13"/>
        <v>2.6176264965326768</v>
      </c>
      <c r="AL44" s="153">
        <f t="shared" si="7"/>
        <v>6173.5014219421128</v>
      </c>
      <c r="AN44" s="154">
        <f>INDEX('(2.2)_Forward_Price_Curve'!$N:$N,MATCH($AB44,'(2.2)_Forward_Price_Curve'!$C:$C,0),1)</f>
        <v>7.3208083333333347</v>
      </c>
      <c r="AP44" s="154">
        <f t="shared" si="14"/>
        <v>47.999398069026626</v>
      </c>
      <c r="AR44" s="154">
        <f t="shared" si="15"/>
        <v>3.2900374948600772</v>
      </c>
      <c r="AS44" s="154"/>
      <c r="AT44" s="153">
        <f t="shared" si="3"/>
        <v>4649.406687097855</v>
      </c>
      <c r="AV44" s="153">
        <f t="shared" si="4"/>
        <v>10689.691472712007</v>
      </c>
      <c r="AW44" s="273"/>
      <c r="AX44" s="155">
        <f t="shared" si="8"/>
        <v>15339.098159809862</v>
      </c>
      <c r="AZ44" s="146">
        <f>+IF(AZ43&gt;$G$13+$G$14,XX,AZ43+1)</f>
        <v>2041</v>
      </c>
      <c r="BA44" s="117"/>
      <c r="BB44" s="154">
        <f t="shared" si="16"/>
        <v>78.482879661025905</v>
      </c>
      <c r="BD44" s="154">
        <f t="shared" si="17"/>
        <v>4.0028851659931206</v>
      </c>
      <c r="BF44" s="153">
        <f t="shared" si="9"/>
        <v>1524.0947348442578</v>
      </c>
      <c r="BH44" s="157"/>
    </row>
    <row r="45" spans="2:60" ht="12">
      <c r="B45" s="2"/>
      <c r="C45">
        <f>+IF(C44&gt;$G$13+$G$14,XX,C44+1)</f>
        <v>2042</v>
      </c>
      <c r="E45" s="169">
        <f>'(2.2)_Forward_Price_Curve'!Q60</f>
        <v>2.1999999999999999E-2</v>
      </c>
      <c r="G45" s="18">
        <v>208418.97274140999</v>
      </c>
      <c r="I45" s="28">
        <v>164.78277421166101</v>
      </c>
      <c r="K45" s="28">
        <v>71.438110904816099</v>
      </c>
      <c r="M45" s="28">
        <f t="shared" si="10"/>
        <v>0</v>
      </c>
      <c r="O45" s="270">
        <f>'(2.2)_Forward_Price_Curve'!AH60</f>
        <v>2.4748953038346255</v>
      </c>
      <c r="Q45" s="28">
        <v>3.6481525315200001</v>
      </c>
      <c r="S45" s="18">
        <f t="shared" si="5"/>
        <v>24404.355739842864</v>
      </c>
      <c r="U45" s="18">
        <f t="shared" si="0"/>
        <v>15885.265576957674</v>
      </c>
      <c r="W45" s="18">
        <f t="shared" si="1"/>
        <v>8519.0901628851898</v>
      </c>
      <c r="Y45" s="271">
        <f t="shared" si="6"/>
        <v>40.874830399701722</v>
      </c>
      <c r="Z45" s="235"/>
      <c r="AB45" s="146">
        <f>+IF(AB44&gt;$G$13+$G$14,XX,AB44+1)</f>
        <v>2042</v>
      </c>
      <c r="AC45" s="117"/>
      <c r="AD45" s="151">
        <f t="shared" si="2"/>
        <v>208418.97274140999</v>
      </c>
      <c r="AF45" s="154">
        <f t="shared" si="11"/>
        <v>131.97035810702661</v>
      </c>
      <c r="AH45" s="154">
        <f t="shared" si="12"/>
        <v>35.562624582132571</v>
      </c>
      <c r="AJ45" s="154">
        <f t="shared" si="13"/>
        <v>2.6752142794563958</v>
      </c>
      <c r="AL45" s="153">
        <f t="shared" si="7"/>
        <v>6309.3184532248406</v>
      </c>
      <c r="AN45" s="154">
        <f>INDEX('(2.2)_Forward_Price_Curve'!$N:$N,MATCH($AB45,'(2.2)_Forward_Price_Curve'!$C:$C,0),1)</f>
        <v>7.634595833333333</v>
      </c>
      <c r="AP45" s="154">
        <f t="shared" si="14"/>
        <v>50.056768025429612</v>
      </c>
      <c r="AR45" s="154">
        <f t="shared" si="15"/>
        <v>3.362418319746999</v>
      </c>
      <c r="AS45" s="154"/>
      <c r="AT45" s="153">
        <f t="shared" si="3"/>
        <v>4751.6936342140089</v>
      </c>
      <c r="AV45" s="153">
        <f t="shared" si="4"/>
        <v>11133.571942743665</v>
      </c>
      <c r="AW45" s="273"/>
      <c r="AX45" s="155">
        <f t="shared" si="8"/>
        <v>15885.265576957674</v>
      </c>
      <c r="AZ45" s="146">
        <f>+IF(AZ44&gt;$G$13+$G$14,XX,AZ44+1)</f>
        <v>2042</v>
      </c>
      <c r="BA45" s="117"/>
      <c r="BB45" s="154">
        <f t="shared" si="16"/>
        <v>80.209503013568479</v>
      </c>
      <c r="BD45" s="154">
        <f t="shared" si="17"/>
        <v>4.090948639644969</v>
      </c>
      <c r="BF45" s="153">
        <f t="shared" si="9"/>
        <v>1557.6248190108315</v>
      </c>
      <c r="BH45" s="157"/>
    </row>
    <row r="46" spans="2:60" ht="12">
      <c r="B46" s="2"/>
      <c r="C46">
        <f>+IF(C45&gt;$G$13+$G$14,XX,C45+1)</f>
        <v>2043</v>
      </c>
      <c r="E46" s="169">
        <f>'(2.2)_Forward_Price_Curve'!Q61</f>
        <v>2.1999999999999999E-2</v>
      </c>
      <c r="G46" s="18">
        <v>208418.97274140999</v>
      </c>
      <c r="I46" s="28">
        <v>164.78277421166101</v>
      </c>
      <c r="K46" s="28">
        <v>73.059756022355415</v>
      </c>
      <c r="M46" s="28">
        <f t="shared" si="10"/>
        <v>0</v>
      </c>
      <c r="O46" s="270">
        <f>'(2.2)_Forward_Price_Curve'!AH61</f>
        <v>2.5293430005189874</v>
      </c>
      <c r="Q46" s="28">
        <v>3.7309655939855038</v>
      </c>
      <c r="S46" s="18">
        <f t="shared" si="5"/>
        <v>24770.945095811254</v>
      </c>
      <c r="U46" s="18">
        <f t="shared" si="0"/>
        <v>16525.913238347486</v>
      </c>
      <c r="W46" s="18">
        <f t="shared" si="1"/>
        <v>8245.0318574637677</v>
      </c>
      <c r="Y46" s="271">
        <f t="shared" si="6"/>
        <v>39.559891064685175</v>
      </c>
      <c r="Z46" s="235"/>
      <c r="AB46" s="146">
        <f>+IF(AB45&gt;$G$13+$G$14,XX,AB45+1)</f>
        <v>2043</v>
      </c>
      <c r="AC46" s="117"/>
      <c r="AD46" s="151">
        <f t="shared" si="2"/>
        <v>208418.97274140999</v>
      </c>
      <c r="AF46" s="154">
        <f t="shared" si="11"/>
        <v>134.87370598538121</v>
      </c>
      <c r="AH46" s="154">
        <f t="shared" si="12"/>
        <v>36.345002322939486</v>
      </c>
      <c r="AJ46" s="154">
        <f t="shared" si="13"/>
        <v>2.7340689936044367</v>
      </c>
      <c r="AL46" s="153">
        <f t="shared" si="7"/>
        <v>6448.1234591957873</v>
      </c>
      <c r="AN46" s="154">
        <f>INDEX('(2.2)_Forward_Price_Curve'!$N:$N,MATCH($AB46,'(2.2)_Forward_Price_Curve'!$C:$C,0),1)</f>
        <v>8.0156333333333336</v>
      </c>
      <c r="AP46" s="154">
        <f t="shared" si="14"/>
        <v>52.555067367382073</v>
      </c>
      <c r="AR46" s="154">
        <f t="shared" si="15"/>
        <v>3.4363915227814332</v>
      </c>
      <c r="AS46" s="154"/>
      <c r="AT46" s="153">
        <f t="shared" si="3"/>
        <v>4856.2308941667179</v>
      </c>
      <c r="AV46" s="153">
        <f t="shared" si="4"/>
        <v>11669.682344180766</v>
      </c>
      <c r="AW46" s="273"/>
      <c r="AX46" s="155">
        <f t="shared" si="8"/>
        <v>16525.913238347486</v>
      </c>
      <c r="AZ46" s="146">
        <f>+IF(AZ45&gt;$G$13+$G$14,XX,AZ45+1)</f>
        <v>2043</v>
      </c>
      <c r="BA46" s="117"/>
      <c r="BB46" s="154">
        <f t="shared" si="16"/>
        <v>81.974112079866984</v>
      </c>
      <c r="BD46" s="154">
        <f t="shared" si="17"/>
        <v>4.1809495097171583</v>
      </c>
      <c r="BF46" s="153">
        <f t="shared" si="9"/>
        <v>1591.8925650290698</v>
      </c>
      <c r="BH46" s="157"/>
    </row>
    <row r="47" spans="2:60" ht="12">
      <c r="B47" s="2"/>
      <c r="C47">
        <f>+IF(C46&gt;$G$13+$G$14,XX,C46+1)</f>
        <v>2044</v>
      </c>
      <c r="E47" s="169">
        <f>'(2.2)_Forward_Price_Curve'!Q62</f>
        <v>2.1999999999999999E-2</v>
      </c>
      <c r="G47" s="18">
        <v>208418.97274140999</v>
      </c>
      <c r="I47" s="28">
        <v>164.78277421166101</v>
      </c>
      <c r="K47" s="28">
        <v>74.718212484062875</v>
      </c>
      <c r="M47" s="28">
        <f t="shared" si="10"/>
        <v>0</v>
      </c>
      <c r="O47" s="270">
        <f>'(2.2)_Forward_Price_Curve'!AH62</f>
        <v>2.584988546530405</v>
      </c>
      <c r="Q47" s="28">
        <v>3.8156585129689744</v>
      </c>
      <c r="S47" s="18">
        <f t="shared" si="5"/>
        <v>25145.84808660702</v>
      </c>
      <c r="U47" s="18">
        <f t="shared" si="0"/>
        <v>17206.591135117735</v>
      </c>
      <c r="W47" s="18">
        <f t="shared" si="1"/>
        <v>7939.2569514892857</v>
      </c>
      <c r="Y47" s="271">
        <f t="shared" si="6"/>
        <v>38.092774602337649</v>
      </c>
      <c r="Z47" s="235"/>
      <c r="AB47" s="146">
        <f>+IF(AB46&gt;$G$13+$G$14,XX,AB46+1)</f>
        <v>2044</v>
      </c>
      <c r="AC47" s="117"/>
      <c r="AD47" s="151">
        <f t="shared" si="2"/>
        <v>208418.97274140999</v>
      </c>
      <c r="AF47" s="154">
        <f t="shared" si="11"/>
        <v>137.84092751705958</v>
      </c>
      <c r="AH47" s="154">
        <f t="shared" si="12"/>
        <v>37.144592374044159</v>
      </c>
      <c r="AJ47" s="154">
        <f t="shared" si="13"/>
        <v>2.7942185114637343</v>
      </c>
      <c r="AL47" s="153">
        <f t="shared" si="7"/>
        <v>6589.9821752980943</v>
      </c>
      <c r="AN47" s="154">
        <f>INDEX('(2.2)_Forward_Price_Curve'!$N:$N,MATCH($AB47,'(2.2)_Forward_Price_Curve'!$C:$C,0),1)</f>
        <v>8.4240333333333339</v>
      </c>
      <c r="AP47" s="154">
        <f t="shared" si="14"/>
        <v>55.232770877544155</v>
      </c>
      <c r="AR47" s="154">
        <f t="shared" si="15"/>
        <v>3.511992136282625</v>
      </c>
      <c r="AS47" s="154"/>
      <c r="AT47" s="153">
        <f t="shared" si="3"/>
        <v>4963.0679738383842</v>
      </c>
      <c r="AV47" s="153">
        <f t="shared" si="4"/>
        <v>12243.523161279352</v>
      </c>
      <c r="AW47" s="273"/>
      <c r="AX47" s="155">
        <f t="shared" si="8"/>
        <v>17206.591135117735</v>
      </c>
      <c r="AZ47" s="146">
        <f>+IF(AZ46&gt;$G$13+$G$14,XX,AZ46+1)</f>
        <v>2044</v>
      </c>
      <c r="BA47" s="117"/>
      <c r="BB47" s="154">
        <f t="shared" si="16"/>
        <v>83.777542545624058</v>
      </c>
      <c r="BD47" s="154">
        <f t="shared" si="17"/>
        <v>4.272930398930936</v>
      </c>
      <c r="BF47" s="153">
        <f t="shared" si="9"/>
        <v>1626.9142014597096</v>
      </c>
      <c r="BH47" s="157"/>
    </row>
    <row r="48" spans="2:60" ht="12">
      <c r="B48" s="2"/>
      <c r="C48">
        <f>+IF(C47&gt;$G$13+$G$14,XX,C47+1)</f>
        <v>2045</v>
      </c>
      <c r="E48" s="169">
        <f>'(2.2)_Forward_Price_Curve'!Q63</f>
        <v>2.1999999999999999E-2</v>
      </c>
      <c r="G48" s="18">
        <v>208418.97274140999</v>
      </c>
      <c r="I48" s="28">
        <v>164.78277421166101</v>
      </c>
      <c r="K48" s="28">
        <v>76.414315907451098</v>
      </c>
      <c r="M48" s="28">
        <f t="shared" si="10"/>
        <v>0</v>
      </c>
      <c r="O48" s="270">
        <f>'(2.2)_Forward_Price_Curve'!AH63</f>
        <v>2.6418582945540741</v>
      </c>
      <c r="Q48" s="28">
        <v>3.9022739612133699</v>
      </c>
      <c r="S48" s="18">
        <f t="shared" si="5"/>
        <v>25529.253256982567</v>
      </c>
      <c r="U48" s="18">
        <f t="shared" si="0"/>
        <v>17880.411884264227</v>
      </c>
      <c r="W48" s="18">
        <f t="shared" si="1"/>
        <v>7648.8413727183397</v>
      </c>
      <c r="Y48" s="271">
        <f t="shared" si="6"/>
        <v>36.699352617040418</v>
      </c>
      <c r="Z48" s="235"/>
      <c r="AB48" s="146">
        <f>+IF(AB47&gt;$G$13+$G$14,XX,AB47+1)</f>
        <v>2045</v>
      </c>
      <c r="AC48" s="117"/>
      <c r="AD48" s="151">
        <f t="shared" si="2"/>
        <v>208418.97274140999</v>
      </c>
      <c r="AF48" s="154">
        <f t="shared" si="11"/>
        <v>140.8734279224349</v>
      </c>
      <c r="AH48" s="154">
        <f t="shared" si="12"/>
        <v>37.961773406273132</v>
      </c>
      <c r="AJ48" s="154">
        <f t="shared" si="13"/>
        <v>2.8556913187159365</v>
      </c>
      <c r="AL48" s="153">
        <f t="shared" si="7"/>
        <v>6734.9617831546511</v>
      </c>
      <c r="AN48" s="154">
        <f>INDEX('(2.2)_Forward_Price_Curve'!$N:$N,MATCH($AB48,'(2.2)_Forward_Price_Curve'!$C:$C,0),1)</f>
        <v>8.8254416666666682</v>
      </c>
      <c r="AP48" s="154">
        <f t="shared" si="14"/>
        <v>57.86463303027427</v>
      </c>
      <c r="AR48" s="154">
        <f t="shared" si="15"/>
        <v>3.5892559632808427</v>
      </c>
      <c r="AS48" s="154"/>
      <c r="AT48" s="153">
        <f t="shared" si="3"/>
        <v>5072.2554692628282</v>
      </c>
      <c r="AV48" s="153">
        <f t="shared" si="4"/>
        <v>12808.156415001398</v>
      </c>
      <c r="AW48" s="273"/>
      <c r="AX48" s="155">
        <f t="shared" si="8"/>
        <v>17880.411884264227</v>
      </c>
      <c r="AZ48" s="146">
        <f>+IF(AZ47&gt;$G$13+$G$14,XX,AZ47+1)</f>
        <v>2045</v>
      </c>
      <c r="BA48" s="117"/>
      <c r="BB48" s="154">
        <f t="shared" si="16"/>
        <v>85.620648481627782</v>
      </c>
      <c r="BD48" s="154">
        <f t="shared" si="17"/>
        <v>4.3669348677074167</v>
      </c>
      <c r="BF48" s="153">
        <f t="shared" si="9"/>
        <v>1662.7063138918229</v>
      </c>
      <c r="BH48" s="157"/>
    </row>
    <row r="49" spans="2:60" ht="12">
      <c r="B49" s="2"/>
      <c r="C49">
        <f>+IF(C48&gt;$G$13+$G$14,XX,C48+1)</f>
        <v>2046</v>
      </c>
      <c r="E49" s="169">
        <f>'(2.2)_Forward_Price_Curve'!Q64</f>
        <v>2.1999999999999999E-2</v>
      </c>
      <c r="G49" s="18">
        <v>208418.97274140999</v>
      </c>
      <c r="I49" s="28">
        <v>164.78277421166101</v>
      </c>
      <c r="K49" s="28">
        <v>78.148920878550229</v>
      </c>
      <c r="M49" s="28">
        <f t="shared" si="10"/>
        <v>0</v>
      </c>
      <c r="O49" s="270">
        <f>'(2.2)_Forward_Price_Curve'!AH64</f>
        <v>2.6999791770342636</v>
      </c>
      <c r="Q49" s="28">
        <v>3.9908555801329131</v>
      </c>
      <c r="S49" s="18">
        <f t="shared" si="5"/>
        <v>25921.353427811522</v>
      </c>
      <c r="U49" s="18">
        <f t="shared" si="0"/>
        <v>19737.26972957667</v>
      </c>
      <c r="W49" s="18">
        <f t="shared" si="1"/>
        <v>6184.0836982348519</v>
      </c>
      <c r="Y49" s="271">
        <f t="shared" si="6"/>
        <v>29.671404752136361</v>
      </c>
      <c r="Z49" s="235"/>
      <c r="AB49" s="146">
        <f>+IF(AB48&gt;$G$13+$G$14,XX,AB48+1)</f>
        <v>2046</v>
      </c>
      <c r="AC49" s="117"/>
      <c r="AD49" s="151">
        <f t="shared" si="2"/>
        <v>208418.97274140999</v>
      </c>
      <c r="AF49" s="154">
        <f t="shared" si="11"/>
        <v>143.97264333672848</v>
      </c>
      <c r="AH49" s="154">
        <f t="shared" si="12"/>
        <v>38.796932421211139</v>
      </c>
      <c r="AJ49" s="154">
        <f t="shared" si="13"/>
        <v>2.9185165277276872</v>
      </c>
      <c r="AL49" s="153">
        <f t="shared" si="7"/>
        <v>6883.1309423840539</v>
      </c>
      <c r="AN49" s="154">
        <f>INDEX('(2.2)_Forward_Price_Curve'!$N:$N,MATCH($AB49,'(2.2)_Forward_Price_Curve'!$C:$C,0),1)</f>
        <v>10.090566666666668</v>
      </c>
      <c r="AP49" s="154">
        <f t="shared" si="14"/>
        <v>66.159514649504928</v>
      </c>
      <c r="AR49" s="154">
        <f t="shared" si="15"/>
        <v>3.6682195944730212</v>
      </c>
      <c r="AS49" s="154"/>
      <c r="AT49" s="153">
        <f t="shared" si="3"/>
        <v>5183.8450895866108</v>
      </c>
      <c r="AV49" s="153">
        <f t="shared" si="4"/>
        <v>14553.42463999006</v>
      </c>
      <c r="AW49" s="273"/>
      <c r="AX49" s="155">
        <f t="shared" si="8"/>
        <v>19737.26972957667</v>
      </c>
      <c r="AZ49" s="146">
        <f>+IF(AZ48&gt;$G$13+$G$14,XX,AZ48+1)</f>
        <v>2046</v>
      </c>
      <c r="BA49" s="117"/>
      <c r="BB49" s="154">
        <f t="shared" si="16"/>
        <v>87.504302748223594</v>
      </c>
      <c r="BD49" s="154">
        <f t="shared" si="17"/>
        <v>4.4630074347969799</v>
      </c>
      <c r="BF49" s="153">
        <f t="shared" si="9"/>
        <v>1699.2858527974431</v>
      </c>
      <c r="BH49" s="157"/>
    </row>
    <row r="50" spans="2:60" ht="12">
      <c r="B50" s="2"/>
      <c r="C50">
        <f>+IF(C49&gt;$G$13+$G$14,XX,C49+1)</f>
        <v>2047</v>
      </c>
      <c r="E50" s="169">
        <f>'(2.2)_Forward_Price_Curve'!Q65</f>
        <v>2.1999999999999999E-2</v>
      </c>
      <c r="G50" s="18">
        <v>208418.97274140999</v>
      </c>
      <c r="I50" s="28">
        <v>164.78277421166101</v>
      </c>
      <c r="K50" s="28">
        <v>79.922901382493308</v>
      </c>
      <c r="M50" s="28">
        <f t="shared" si="10"/>
        <v>0</v>
      </c>
      <c r="O50" s="270">
        <f>'(2.2)_Forward_Price_Curve'!AH65</f>
        <v>2.7593787189290175</v>
      </c>
      <c r="Q50" s="28">
        <v>4.0814480018019301</v>
      </c>
      <c r="S50" s="18">
        <f t="shared" si="5"/>
        <v>26322.345793072051</v>
      </c>
      <c r="U50" s="18">
        <f t="shared" si="0"/>
        <v>20525.11955330323</v>
      </c>
      <c r="W50" s="18">
        <f t="shared" si="1"/>
        <v>5797.226239768821</v>
      </c>
      <c r="Y50" s="271">
        <f t="shared" si="6"/>
        <v>27.815251958666771</v>
      </c>
      <c r="Z50" s="235"/>
      <c r="AB50" s="146">
        <f>+IF(AB49&gt;$G$13+$G$14,XX,AB49+1)</f>
        <v>2047</v>
      </c>
      <c r="AC50" s="117"/>
      <c r="AD50" s="151">
        <f t="shared" si="2"/>
        <v>208418.97274140999</v>
      </c>
      <c r="AF50" s="154">
        <f t="shared" si="11"/>
        <v>147.1400414901365</v>
      </c>
      <c r="AH50" s="154">
        <f t="shared" si="12"/>
        <v>39.650464934477782</v>
      </c>
      <c r="AJ50" s="154">
        <f t="shared" si="13"/>
        <v>2.9827238913376966</v>
      </c>
      <c r="AL50" s="153">
        <f t="shared" si="7"/>
        <v>7034.559823116504</v>
      </c>
      <c r="AN50" s="154">
        <f>INDEX('(2.2)_Forward_Price_Curve'!$N:$N,MATCH($AB50,'(2.2)_Forward_Price_Curve'!$C:$C,0),1)</f>
        <v>10.571341666666667</v>
      </c>
      <c r="AP50" s="154">
        <f t="shared" si="14"/>
        <v>69.311749970509268</v>
      </c>
      <c r="AR50" s="154">
        <f t="shared" si="15"/>
        <v>3.7489204255514279</v>
      </c>
      <c r="AS50" s="154"/>
      <c r="AT50" s="153">
        <f t="shared" si="3"/>
        <v>5297.8896815575172</v>
      </c>
      <c r="AV50" s="153">
        <f t="shared" si="4"/>
        <v>15227.229871745714</v>
      </c>
      <c r="AW50" s="273"/>
      <c r="AX50" s="155">
        <f t="shared" si="8"/>
        <v>20525.11955330323</v>
      </c>
      <c r="AZ50" s="146">
        <f>+IF(AZ49&gt;$G$13+$G$14,XX,AZ49+1)</f>
        <v>2047</v>
      </c>
      <c r="BA50" s="117"/>
      <c r="BB50" s="154">
        <f t="shared" si="16"/>
        <v>89.429397408684508</v>
      </c>
      <c r="BD50" s="154">
        <f t="shared" si="17"/>
        <v>4.5611935983625136</v>
      </c>
      <c r="BF50" s="153">
        <f t="shared" si="9"/>
        <v>1736.6701415589866</v>
      </c>
      <c r="BH50" s="157"/>
    </row>
    <row r="51" spans="2:60" ht="12">
      <c r="B51" s="2"/>
      <c r="C51">
        <f>+IF(C50&gt;$G$13+$G$14,XX,C50+1)</f>
        <v>2048</v>
      </c>
      <c r="E51" s="169">
        <f>'(2.2)_Forward_Price_Curve'!Q66</f>
        <v>2.1999999999999999E-2</v>
      </c>
      <c r="G51" s="18">
        <v>208418.97274140999</v>
      </c>
      <c r="I51" s="28">
        <v>164.78277421166101</v>
      </c>
      <c r="K51" s="28">
        <v>81.7371512438759</v>
      </c>
      <c r="M51" s="28">
        <f t="shared" si="10"/>
        <v>0</v>
      </c>
      <c r="O51" s="270">
        <f>'(2.2)_Forward_Price_Curve'!AH66</f>
        <v>2.820085050745456</v>
      </c>
      <c r="Q51" s="28">
        <v>4.1740968714428339</v>
      </c>
      <c r="S51" s="18">
        <f t="shared" si="5"/>
        <v>26732.432019029948</v>
      </c>
      <c r="U51" s="18">
        <f t="shared" si="0"/>
        <v>21305.172500247747</v>
      </c>
      <c r="W51" s="18">
        <f t="shared" si="1"/>
        <v>5427.2595187822008</v>
      </c>
      <c r="Y51" s="271">
        <f t="shared" si="6"/>
        <v>26.040141391138707</v>
      </c>
      <c r="Z51" s="235"/>
      <c r="AB51" s="146">
        <f>+IF(AB50&gt;$G$13+$G$14,XX,AB50+1)</f>
        <v>2048</v>
      </c>
      <c r="AC51" s="117"/>
      <c r="AD51" s="151">
        <f t="shared" si="2"/>
        <v>208418.97274140999</v>
      </c>
      <c r="AF51" s="154">
        <f t="shared" si="11"/>
        <v>150.3771224029195</v>
      </c>
      <c r="AH51" s="154">
        <f t="shared" si="12"/>
        <v>40.522775163036293</v>
      </c>
      <c r="AJ51" s="154">
        <f t="shared" si="13"/>
        <v>3.048343816947126</v>
      </c>
      <c r="AL51" s="153">
        <f t="shared" si="7"/>
        <v>7189.3201392250667</v>
      </c>
      <c r="AN51" s="154">
        <f>INDEX('(2.2)_Forward_Price_Curve'!$N:$N,MATCH($AB51,'(2.2)_Forward_Price_Curve'!$C:$C,0),1)</f>
        <v>11.044304166666668</v>
      </c>
      <c r="AP51" s="154">
        <f t="shared" si="14"/>
        <v>72.412762082225797</v>
      </c>
      <c r="AR51" s="154">
        <f t="shared" si="15"/>
        <v>3.8313966749135595</v>
      </c>
      <c r="AS51" s="154"/>
      <c r="AT51" s="153">
        <f t="shared" si="3"/>
        <v>5414.443254551782</v>
      </c>
      <c r="AV51" s="153">
        <f t="shared" si="4"/>
        <v>15890.729245695964</v>
      </c>
      <c r="AW51" s="273"/>
      <c r="AX51" s="155">
        <f t="shared" si="8"/>
        <v>21305.172500247747</v>
      </c>
      <c r="AZ51" s="146">
        <f>+IF(AZ50&gt;$G$13+$G$14,XX,AZ50+1)</f>
        <v>2048</v>
      </c>
      <c r="BA51" s="117"/>
      <c r="BB51" s="154">
        <f t="shared" si="16"/>
        <v>91.396844151675566</v>
      </c>
      <c r="BD51" s="154">
        <f t="shared" si="17"/>
        <v>4.6615398575264893</v>
      </c>
      <c r="BF51" s="153">
        <f t="shared" si="9"/>
        <v>1774.8768846732844</v>
      </c>
      <c r="BH51" s="157"/>
    </row>
    <row r="52" spans="2:60" ht="12">
      <c r="B52" s="2"/>
      <c r="C52">
        <f>+IF(C51&gt;$G$13+$G$14,XX,C51+1)</f>
        <v>2049</v>
      </c>
      <c r="E52" s="169">
        <f>'(2.2)_Forward_Price_Curve'!Q67</f>
        <v>2.1999999999999999E-2</v>
      </c>
      <c r="G52" s="18">
        <v>208418.97274140999</v>
      </c>
      <c r="I52" s="28">
        <v>164.78277421166101</v>
      </c>
      <c r="K52" s="28">
        <v>83.592584577111879</v>
      </c>
      <c r="M52" s="28">
        <f t="shared" si="10"/>
        <v>0</v>
      </c>
      <c r="O52" s="270">
        <f>'(2.2)_Forward_Price_Curve'!AH67</f>
        <v>2.8821269218618562</v>
      </c>
      <c r="Q52" s="28">
        <v>4.2688488704245859</v>
      </c>
      <c r="S52" s="18">
        <f t="shared" si="5"/>
        <v>27151.81834567117</v>
      </c>
      <c r="U52" s="18">
        <f t="shared" si="0"/>
        <v>22141.399201643817</v>
      </c>
      <c r="W52" s="18">
        <f t="shared" si="1"/>
        <v>5010.4191440273535</v>
      </c>
      <c r="Y52" s="271">
        <f t="shared" si="6"/>
        <v>24.040129735424284</v>
      </c>
      <c r="Z52" s="235"/>
      <c r="AB52" s="146">
        <f>+IF(AB51&gt;$G$13+$G$14,XX,AB51+1)</f>
        <v>2049</v>
      </c>
      <c r="AC52" s="117"/>
      <c r="AD52" s="151">
        <f t="shared" si="2"/>
        <v>208418.97274140999</v>
      </c>
      <c r="AF52" s="154">
        <f t="shared" si="11"/>
        <v>153.68541909578371</v>
      </c>
      <c r="AH52" s="154">
        <f t="shared" si="12"/>
        <v>41.414276216623094</v>
      </c>
      <c r="AJ52" s="154">
        <f t="shared" si="13"/>
        <v>3.1154073809199629</v>
      </c>
      <c r="AL52" s="153">
        <f t="shared" si="7"/>
        <v>7347.4851822880182</v>
      </c>
      <c r="AN52" s="154">
        <f>INDEX('(2.2)_Forward_Price_Curve'!$N:$N,MATCH($AB52,'(2.2)_Forward_Price_Curve'!$C:$C,0),1)</f>
        <v>11.556220833333333</v>
      </c>
      <c r="AP52" s="154">
        <f t="shared" si="14"/>
        <v>75.769179945212585</v>
      </c>
      <c r="AR52" s="154">
        <f t="shared" si="15"/>
        <v>3.9156874017616579</v>
      </c>
      <c r="AS52" s="154"/>
      <c r="AT52" s="153">
        <f t="shared" si="3"/>
        <v>5533.5610061519219</v>
      </c>
      <c r="AV52" s="153">
        <f t="shared" si="4"/>
        <v>16607.838195491895</v>
      </c>
      <c r="AW52" s="273"/>
      <c r="AX52" s="155">
        <f t="shared" si="8"/>
        <v>22141.399201643817</v>
      </c>
      <c r="AZ52" s="146">
        <f>+IF(AZ51&gt;$G$13+$G$14,XX,AZ51+1)</f>
        <v>2049</v>
      </c>
      <c r="BA52" s="117"/>
      <c r="BB52" s="154">
        <f t="shared" si="16"/>
        <v>93.407574723012431</v>
      </c>
      <c r="BD52" s="154">
        <f t="shared" si="17"/>
        <v>4.7640937343920724</v>
      </c>
      <c r="BF52" s="153">
        <f t="shared" si="9"/>
        <v>1813.9241761360968</v>
      </c>
      <c r="BH52" s="157"/>
    </row>
    <row r="53" spans="2:60" ht="12">
      <c r="B53" s="2"/>
      <c r="C53">
        <f>+IF(C52&gt;$G$13+$G$14,XX,C52+1)</f>
        <v>2050</v>
      </c>
      <c r="E53" s="169">
        <f>'(2.2)_Forward_Price_Curve'!Q68</f>
        <v>2.1999999999999999E-2</v>
      </c>
      <c r="G53" s="18">
        <v>208418.97274140999</v>
      </c>
      <c r="I53" s="28">
        <v>164.78277421166101</v>
      </c>
      <c r="K53" s="28">
        <v>85.490136247012316</v>
      </c>
      <c r="M53" s="28">
        <f t="shared" si="10"/>
        <v>0</v>
      </c>
      <c r="O53" s="270">
        <f>'(2.2)_Forward_Price_Curve'!AH68</f>
        <v>2.9455337141428171</v>
      </c>
      <c r="Q53" s="28">
        <v>4.3657517397832235</v>
      </c>
      <c r="S53" s="18">
        <f t="shared" si="5"/>
        <v>27580.715690435016</v>
      </c>
      <c r="U53" s="18">
        <f t="shared" si="0"/>
        <v>23009.859297678915</v>
      </c>
      <c r="W53" s="18">
        <f t="shared" si="1"/>
        <v>4570.8563927561008</v>
      </c>
      <c r="Y53" s="271">
        <f t="shared" si="6"/>
        <v>21.931095488256066</v>
      </c>
      <c r="Z53" s="235"/>
      <c r="AB53" s="146">
        <f>+IF(AB52&gt;$G$13+$G$14,XX,AB52+1)</f>
        <v>2050</v>
      </c>
      <c r="AC53" s="117"/>
      <c r="AD53" s="151">
        <f t="shared" si="2"/>
        <v>208418.97274140999</v>
      </c>
      <c r="AF53" s="154">
        <f t="shared" si="11"/>
        <v>157.06649831589095</v>
      </c>
      <c r="AH53" s="154">
        <f t="shared" si="12"/>
        <v>42.3253902933888</v>
      </c>
      <c r="AJ53" s="154">
        <f t="shared" si="13"/>
        <v>3.1839463433002022</v>
      </c>
      <c r="AL53" s="153">
        <f t="shared" si="7"/>
        <v>7509.1298562983548</v>
      </c>
      <c r="AN53" s="154">
        <f>INDEX('(2.2)_Forward_Price_Curve'!$N:$N,MATCH($AB53,'(2.2)_Forward_Price_Curve'!$C:$C,0),1)</f>
        <v>12.089525</v>
      </c>
      <c r="AP53" s="154">
        <f t="shared" si="14"/>
        <v>79.265826465945679</v>
      </c>
      <c r="AR53" s="154">
        <f t="shared" si="15"/>
        <v>4.0018325246004141</v>
      </c>
      <c r="AS53" s="154"/>
      <c r="AT53" s="153">
        <f t="shared" si="3"/>
        <v>5655.2993482872644</v>
      </c>
      <c r="AV53" s="153">
        <f t="shared" si="4"/>
        <v>17354.559949391649</v>
      </c>
      <c r="AW53" s="273"/>
      <c r="AX53" s="155">
        <f t="shared" si="8"/>
        <v>23009.859297678915</v>
      </c>
      <c r="AZ53" s="146">
        <f>+IF(AZ52&gt;$G$13+$G$14,XX,AZ52+1)</f>
        <v>2050</v>
      </c>
      <c r="BA53" s="117"/>
      <c r="BB53" s="154">
        <f t="shared" si="16"/>
        <v>95.4625413669187</v>
      </c>
      <c r="BD53" s="154">
        <f t="shared" si="17"/>
        <v>4.8689037965486976</v>
      </c>
      <c r="BF53" s="153">
        <f t="shared" si="9"/>
        <v>1853.8305080110906</v>
      </c>
      <c r="BH53" s="157"/>
    </row>
    <row r="54" spans="2:60" ht="12">
      <c r="B54" s="2"/>
      <c r="C54">
        <f>+IF(C53&gt;$G$13+$G$14,XX,C53+1)</f>
        <v>2051</v>
      </c>
      <c r="E54" s="169">
        <f>'(2.2)_Forward_Price_Curve'!Q69</f>
        <v>2.1999999999999999E-2</v>
      </c>
      <c r="G54" s="18">
        <v>208418.97274140999</v>
      </c>
      <c r="I54" s="28">
        <v>164.78277421166101</v>
      </c>
      <c r="K54" s="28">
        <v>87.430762339819495</v>
      </c>
      <c r="M54" s="28">
        <f t="shared" si="10"/>
        <v>0</v>
      </c>
      <c r="O54" s="270">
        <f>'(2.2)_Forward_Price_Curve'!AH69</f>
        <v>3.010335455853959</v>
      </c>
      <c r="Q54" s="28">
        <v>4.4648543042763027</v>
      </c>
      <c r="S54" s="18">
        <f t="shared" si="5"/>
        <v>28019.339754300039</v>
      </c>
      <c r="U54" s="18">
        <f t="shared" si="0"/>
        <v>23516.055180691354</v>
      </c>
      <c r="W54" s="18">
        <f t="shared" si="1"/>
        <v>4503.2845736086856</v>
      </c>
      <c r="Y54" s="271">
        <f t="shared" si="6"/>
        <v>21.60688402968001</v>
      </c>
      <c r="Z54" s="235"/>
      <c r="AB54" s="146">
        <f>+IF(AB53&gt;$G$13+$G$14,XX,AB53+1)</f>
        <v>2051</v>
      </c>
      <c r="AC54" s="117"/>
      <c r="AD54" s="151">
        <f t="shared" si="2"/>
        <v>208418.97274140999</v>
      </c>
      <c r="AF54" s="154">
        <f t="shared" si="11"/>
        <v>160.52196127884056</v>
      </c>
      <c r="AH54" s="154">
        <f t="shared" si="12"/>
        <v>43.256548879843358</v>
      </c>
      <c r="AJ54" s="154">
        <f t="shared" si="13"/>
        <v>3.2539931628528067</v>
      </c>
      <c r="AL54" s="153">
        <f t="shared" si="7"/>
        <v>7674.3307131369183</v>
      </c>
      <c r="AN54" s="154">
        <f>INDEX('(2.2)_Forward_Price_Curve'!$N:$N,MATCH($AB54,'(2.2)_Forward_Price_Curve'!$C:$C,0),1)</f>
        <v>12.355479166666667</v>
      </c>
      <c r="AP54" s="154">
        <f t="shared" si="14"/>
        <v>81.009573786282516</v>
      </c>
      <c r="AR54" s="154">
        <f t="shared" si="15"/>
        <v>4.0898728401416236</v>
      </c>
      <c r="AS54" s="154"/>
      <c r="AT54" s="153">
        <f t="shared" si="3"/>
        <v>5779.7159339495838</v>
      </c>
      <c r="AV54" s="153">
        <f t="shared" si="4"/>
        <v>17736.339246741769</v>
      </c>
      <c r="AW54" s="273"/>
      <c r="AX54" s="155">
        <f t="shared" si="8"/>
        <v>23516.055180691354</v>
      </c>
      <c r="AZ54" s="146">
        <f>+IF(AZ53&gt;$G$13+$G$14,XX,AZ53+1)</f>
        <v>2051</v>
      </c>
      <c r="BA54" s="117"/>
      <c r="BB54" s="154">
        <f t="shared" si="16"/>
        <v>97.562717276990909</v>
      </c>
      <c r="BD54" s="154">
        <f t="shared" si="17"/>
        <v>4.9760196800727687</v>
      </c>
      <c r="BF54" s="153">
        <f t="shared" si="9"/>
        <v>1894.6147791873348</v>
      </c>
      <c r="BH54" s="157"/>
    </row>
    <row r="55" spans="2:60" ht="12">
      <c r="B55" s="2"/>
      <c r="C55">
        <f>+IF(C54&gt;$G$13+$G$14,XX,C54+1)</f>
        <v>2052</v>
      </c>
      <c r="E55" s="169">
        <f>'(2.2)_Forward_Price_Curve'!Q70</f>
        <v>2.1999999999999999E-2</v>
      </c>
      <c r="G55" s="18">
        <v>208418.97274140999</v>
      </c>
      <c r="I55" s="28">
        <v>164.78277421166101</v>
      </c>
      <c r="K55" s="28">
        <v>89.415440644933398</v>
      </c>
      <c r="M55" s="28">
        <f t="shared" si="10"/>
        <v>0</v>
      </c>
      <c r="O55" s="270">
        <f>'(2.2)_Forward_Price_Curve'!AH70</f>
        <v>3.0765628358827461</v>
      </c>
      <c r="Q55" s="28">
        <v>4.5662064969833747</v>
      </c>
      <c r="S55" s="18">
        <f t="shared" si="5"/>
        <v>28467.91113027609</v>
      </c>
      <c r="U55" s="18">
        <f t="shared" si="0"/>
        <v>25234.23274974175</v>
      </c>
      <c r="W55" s="18">
        <f t="shared" si="1"/>
        <v>3233.6783805343402</v>
      </c>
      <c r="Y55" s="271">
        <f t="shared" si="6"/>
        <v>15.515278374135526</v>
      </c>
      <c r="Z55" s="235"/>
      <c r="AB55" s="146">
        <f>+IF(AB54&gt;$G$13+$G$14,XX,AB54+1)</f>
        <v>2052</v>
      </c>
      <c r="AC55" s="117"/>
      <c r="AD55" s="151">
        <f t="shared" si="2"/>
        <v>208418.97274140999</v>
      </c>
      <c r="AF55" s="154">
        <f t="shared" si="11"/>
        <v>164.05344442697506</v>
      </c>
      <c r="AH55" s="154">
        <f t="shared" si="12"/>
        <v>44.208192955199912</v>
      </c>
      <c r="AJ55" s="154">
        <f t="shared" si="13"/>
        <v>3.3255810124355687</v>
      </c>
      <c r="AL55" s="153">
        <f t="shared" si="7"/>
        <v>7843.165988825931</v>
      </c>
      <c r="AN55" s="154">
        <f>INDEX('(2.2)_Forward_Price_Curve'!$N:$N,MATCH($AB55,'(2.2)_Forward_Price_Curve'!$C:$C,0),1)</f>
        <v>13.50605</v>
      </c>
      <c r="AP55" s="154">
        <f t="shared" si="14"/>
        <v>88.553372902606654</v>
      </c>
      <c r="AR55" s="154">
        <f t="shared" si="15"/>
        <v>4.1798500426247394</v>
      </c>
      <c r="AS55" s="154"/>
      <c r="AT55" s="153">
        <f t="shared" si="3"/>
        <v>5906.8696844964743</v>
      </c>
      <c r="AV55" s="153">
        <f t="shared" si="4"/>
        <v>19327.363065245278</v>
      </c>
      <c r="AW55" s="273"/>
      <c r="AX55" s="155">
        <f t="shared" si="8"/>
        <v>25234.23274974175</v>
      </c>
      <c r="AZ55" s="146">
        <f>+IF(AZ54&gt;$G$13+$G$14,XX,AZ54+1)</f>
        <v>2052</v>
      </c>
      <c r="BA55" s="117"/>
      <c r="BB55" s="154">
        <f t="shared" si="16"/>
        <v>99.709097057084705</v>
      </c>
      <c r="BD55" s="154">
        <f t="shared" si="17"/>
        <v>5.0854921130343698</v>
      </c>
      <c r="BF55" s="153">
        <f t="shared" si="9"/>
        <v>1936.2963043294562</v>
      </c>
      <c r="BH55" s="157"/>
    </row>
    <row r="56" spans="2:60" ht="12">
      <c r="B56" s="2"/>
      <c r="C56">
        <f>+IF(C55&gt;$G$13+$G$14,XX,C55+1)</f>
        <v>2053</v>
      </c>
      <c r="E56" s="169">
        <f>'(2.2)_Forward_Price_Curve'!Q71</f>
        <v>2.1999999999999999E-2</v>
      </c>
      <c r="G56" s="18">
        <v>208418.97274140999</v>
      </c>
      <c r="I56" s="28">
        <v>164.78277421166101</v>
      </c>
      <c r="K56" s="28">
        <v>91.445171147573376</v>
      </c>
      <c r="M56" s="28">
        <f t="shared" si="10"/>
        <v>0</v>
      </c>
      <c r="O56" s="270">
        <f>'(2.2)_Forward_Price_Curve'!AH71</f>
        <v>3.1442472182721666</v>
      </c>
      <c r="Q56" s="28">
        <v>4.669859384464897</v>
      </c>
      <c r="S56" s="18">
        <f t="shared" si="5"/>
        <v>28926.655414357047</v>
      </c>
      <c r="U56" s="18">
        <f t="shared" si="0"/>
        <v>25789.385870236067</v>
      </c>
      <c r="W56" s="18">
        <f t="shared" si="1"/>
        <v>3137.2695441209798</v>
      </c>
      <c r="Y56" s="271">
        <f t="shared" si="6"/>
        <v>15.052706108543484</v>
      </c>
      <c r="Z56" s="235"/>
      <c r="AB56" s="146">
        <f>+IF(AB55&gt;$G$13+$G$14,XX,AB55+1)</f>
        <v>2053</v>
      </c>
      <c r="AC56" s="117"/>
      <c r="AD56" s="151">
        <f t="shared" si="2"/>
        <v>208418.97274140999</v>
      </c>
      <c r="AF56" s="154">
        <f t="shared" si="11"/>
        <v>167.66262020436852</v>
      </c>
      <c r="AH56" s="154">
        <f t="shared" si="12"/>
        <v>45.180773200214311</v>
      </c>
      <c r="AJ56" s="154">
        <f t="shared" si="13"/>
        <v>3.3987437947091514</v>
      </c>
      <c r="AL56" s="153">
        <f t="shared" si="7"/>
        <v>8015.7156405801015</v>
      </c>
      <c r="AN56" s="154">
        <f>INDEX('(2.2)_Forward_Price_Curve'!$N:$N,MATCH($AB56,'(2.2)_Forward_Price_Curve'!$C:$C,0),1)</f>
        <v>13.8031831</v>
      </c>
      <c r="AP56" s="154">
        <f t="shared" si="14"/>
        <v>90.501547106464002</v>
      </c>
      <c r="AR56" s="154">
        <f t="shared" si="15"/>
        <v>4.2718067435624834</v>
      </c>
      <c r="AS56" s="154"/>
      <c r="AT56" s="153">
        <f t="shared" si="3"/>
        <v>6036.8208175553973</v>
      </c>
      <c r="AV56" s="153">
        <f t="shared" si="4"/>
        <v>19752.565052680671</v>
      </c>
      <c r="AW56" s="273"/>
      <c r="AX56" s="155">
        <f t="shared" si="8"/>
        <v>25789.385870236067</v>
      </c>
      <c r="AZ56" s="146">
        <f>+IF(AZ55&gt;$G$13+$G$14,XX,AZ55+1)</f>
        <v>2053</v>
      </c>
      <c r="BA56" s="117"/>
      <c r="BB56" s="154">
        <f t="shared" si="16"/>
        <v>101.90269719234057</v>
      </c>
      <c r="BD56" s="154">
        <f t="shared" si="17"/>
        <v>5.1973729395211263</v>
      </c>
      <c r="BF56" s="153">
        <f t="shared" si="9"/>
        <v>1978.8948230247042</v>
      </c>
      <c r="BH56" s="157"/>
    </row>
    <row r="57" spans="2:60" ht="12">
      <c r="B57" s="2"/>
      <c r="C57">
        <f>+IF(C56&gt;$G$13+$G$14,XX,C56+1)</f>
        <v>2054</v>
      </c>
      <c r="E57" s="169">
        <f>'(2.2)_Forward_Price_Curve'!Q72</f>
        <v>2.1999999999999999E-2</v>
      </c>
      <c r="G57" s="18">
        <v>208418.97274140999</v>
      </c>
      <c r="I57" s="28">
        <v>164.78277421166101</v>
      </c>
      <c r="K57" s="28">
        <v>93.52097653262328</v>
      </c>
      <c r="M57" s="28">
        <f t="shared" si="10"/>
        <v>0</v>
      </c>
      <c r="O57" s="270">
        <f>'(2.2)_Forward_Price_Curve'!AH72</f>
        <v>3.2134206570741544</v>
      </c>
      <c r="Q57" s="28">
        <v>4.7758651924922502</v>
      </c>
      <c r="S57" s="18">
        <f t="shared" si="5"/>
        <v>29395.80331899002</v>
      </c>
      <c r="U57" s="18">
        <f t="shared" si="0"/>
        <v>26356.752359381266</v>
      </c>
      <c r="W57" s="18">
        <f t="shared" si="1"/>
        <v>3039.0509596087541</v>
      </c>
      <c r="Y57" s="271">
        <f t="shared" si="6"/>
        <v>14.581450621481432</v>
      </c>
      <c r="Z57" s="235"/>
      <c r="AB57" s="146">
        <f>+IF(AB56&gt;$G$13+$G$14,XX,AB56+1)</f>
        <v>2054</v>
      </c>
      <c r="AC57" s="117"/>
      <c r="AD57" s="151">
        <f t="shared" si="2"/>
        <v>208418.97274140999</v>
      </c>
      <c r="AF57" s="154">
        <f t="shared" si="11"/>
        <v>171.35119784886464</v>
      </c>
      <c r="AH57" s="154">
        <f t="shared" si="12"/>
        <v>46.174750210619024</v>
      </c>
      <c r="AJ57" s="154">
        <f t="shared" si="13"/>
        <v>3.4735161581927527</v>
      </c>
      <c r="AL57" s="153">
        <f t="shared" si="7"/>
        <v>8192.0613846728629</v>
      </c>
      <c r="AN57" s="154">
        <f>INDEX('(2.2)_Forward_Price_Curve'!$N:$N,MATCH($AB57,'(2.2)_Forward_Price_Curve'!$C:$C,0),1)</f>
        <v>14.106853128200001</v>
      </c>
      <c r="AP57" s="154">
        <f t="shared" si="14"/>
        <v>92.492581142806216</v>
      </c>
      <c r="AR57" s="154">
        <f t="shared" si="15"/>
        <v>4.3657864919208578</v>
      </c>
      <c r="AS57" s="154"/>
      <c r="AT57" s="153">
        <f t="shared" si="3"/>
        <v>6169.6308755416158</v>
      </c>
      <c r="AV57" s="153">
        <f t="shared" si="4"/>
        <v>20187.121483839648</v>
      </c>
      <c r="AW57" s="273"/>
      <c r="AX57" s="155">
        <f t="shared" si="8"/>
        <v>26356.752359381266</v>
      </c>
      <c r="AZ57" s="146">
        <f>+IF(AZ56&gt;$G$13+$G$14,XX,AZ56+1)</f>
        <v>2054</v>
      </c>
      <c r="BA57" s="117"/>
      <c r="BB57" s="154">
        <f t="shared" si="16"/>
        <v>104.14455653057206</v>
      </c>
      <c r="BD57" s="154">
        <f t="shared" si="17"/>
        <v>5.3117151441905914</v>
      </c>
      <c r="BF57" s="153">
        <f t="shared" si="9"/>
        <v>2022.4305091312474</v>
      </c>
      <c r="BH57" s="157"/>
    </row>
    <row r="58" spans="2:60" ht="12">
      <c r="B58" s="2"/>
      <c r="E58" s="169"/>
      <c r="G58" s="18"/>
      <c r="I58" s="28"/>
      <c r="K58" s="28"/>
      <c r="M58" s="28"/>
      <c r="O58" s="270"/>
      <c r="Q58" s="28"/>
      <c r="S58" s="18"/>
      <c r="U58" s="18"/>
      <c r="W58" s="18"/>
      <c r="Y58" s="271"/>
      <c r="Z58" s="235"/>
      <c r="AB58" s="146"/>
      <c r="AC58" s="117"/>
      <c r="AD58" s="151"/>
      <c r="AF58" s="154"/>
      <c r="AH58" s="154"/>
      <c r="AJ58" s="154"/>
      <c r="AL58" s="153"/>
      <c r="AN58" s="154"/>
      <c r="AP58" s="154"/>
      <c r="AR58" s="154"/>
      <c r="AS58" s="154"/>
      <c r="AT58" s="153"/>
      <c r="AV58" s="153"/>
      <c r="AW58" s="273"/>
      <c r="AX58" s="155"/>
      <c r="AZ58" s="146"/>
      <c r="BA58" s="117"/>
      <c r="BB58" s="154"/>
      <c r="BD58" s="154"/>
      <c r="BF58" s="153"/>
      <c r="BH58" s="157"/>
    </row>
    <row r="59" spans="2:60">
      <c r="B59" s="2"/>
      <c r="E59" s="169"/>
      <c r="G59" s="267"/>
      <c r="I59" s="267"/>
      <c r="K59" s="267"/>
      <c r="M59" s="267"/>
      <c r="O59" s="267"/>
      <c r="Q59" s="267"/>
      <c r="S59" s="267"/>
      <c r="U59" s="267"/>
      <c r="W59" s="267"/>
      <c r="Y59" s="267"/>
      <c r="Z59" s="235"/>
      <c r="AB59" s="2"/>
      <c r="AF59" s="274"/>
      <c r="AH59" s="274"/>
      <c r="AJ59" s="274"/>
      <c r="AL59" s="273"/>
      <c r="AN59" s="274"/>
      <c r="AP59" s="274"/>
      <c r="AR59" s="274"/>
      <c r="AS59" s="274"/>
      <c r="AT59" s="274"/>
      <c r="AV59" s="273"/>
      <c r="AW59" s="273"/>
      <c r="AX59" s="275"/>
      <c r="AZ59" s="2"/>
      <c r="BB59" s="274"/>
      <c r="BF59" s="273"/>
      <c r="BH59" s="235"/>
    </row>
    <row r="60" spans="2:60" ht="12">
      <c r="B60" s="2"/>
      <c r="C60" s="276" t="str">
        <f>G14&amp;"-year Nominal Levelized at "&amp;TEXT($G$18,"#.00%")</f>
        <v>30-year Nominal Levelized at 6.77%</v>
      </c>
      <c r="E60" s="169"/>
      <c r="G60" s="285">
        <f>+-PMT($G$18,$G$14,NPV($G$18,G28:G57))</f>
        <v>208418.97274140985</v>
      </c>
      <c r="I60" s="28">
        <f>+-PMT($G$18,$G$14,NPV($G$18,I28:I57))</f>
        <v>164.78277421166089</v>
      </c>
      <c r="J60" s="28"/>
      <c r="K60" s="28">
        <f>+-PMT($G$18,$G$14,NPV($G$18,K28:K57))</f>
        <v>61.890921554020814</v>
      </c>
      <c r="M60" s="28">
        <f>+-PMT($G$18,$G$14,NPV($G$18,M28:M57))</f>
        <v>0</v>
      </c>
      <c r="O60" s="28">
        <f>+-PMT($G$18,$G$14,NPV($G$18,O28:O57))</f>
        <v>2.1557584548727</v>
      </c>
      <c r="Q60" s="28">
        <f>+-PMT($G$18,$G$14,NPV($G$18,Q28:Q57))</f>
        <v>-10.075113194414609</v>
      </c>
      <c r="S60" s="285">
        <f>+-PMT($G$18,$G$14,NPV($G$18,S28:S57))</f>
        <v>19487.83722330111</v>
      </c>
      <c r="U60" s="285">
        <f>+-PMT($G$18,$G$14,NPV($G$18,U28:U57))</f>
        <v>13641.063818113835</v>
      </c>
      <c r="W60" s="285">
        <f>+-PMT($G$18,$G$14,NPV($G$18,W28:W57))</f>
        <v>5846.7734051872749</v>
      </c>
      <c r="Y60" s="285">
        <f>+-PMT($G$18,$G$14,NPV($G$18,Y28:Y57))</f>
        <v>28.052980629750504</v>
      </c>
      <c r="Z60" s="235"/>
      <c r="AB60" s="2"/>
      <c r="AD60" s="412">
        <f>+-PMT($G$18,$G$14,NPV($G$18,AD28:AD57))</f>
        <v>208418.97274140985</v>
      </c>
      <c r="AF60" s="154">
        <f>+-PMT($G$18,$G$14,NPV($G$18,AF28:AF57))</f>
        <v>114.95282844530816</v>
      </c>
      <c r="AH60" s="154">
        <f>+-PMT($G$18,$G$14,NPV($G$18,AH28:AH57))</f>
        <v>30.976837081395502</v>
      </c>
      <c r="AJ60" s="154">
        <f>+-PMT($G$18,$G$14,NPV($G$18,AJ28:AJ57))</f>
        <v>2.3302463714722315</v>
      </c>
      <c r="AL60" s="153">
        <f>+-PMT($G$18,$G$14,NPV($G$18,AL28:AL57))</f>
        <v>5495.7341342681084</v>
      </c>
      <c r="AN60" s="154">
        <f>+-PMT($G$18,$G$14,NPV($G$18,AN28:AN57))</f>
        <v>6.5068312929434837</v>
      </c>
      <c r="AP60" s="154">
        <f>+-PMT($G$18,$G$14,NPV($G$18,AP28:AP57))</f>
        <v>42.662499983220464</v>
      </c>
      <c r="AR60" s="154">
        <f>+-PMT($G$18,$G$14,NPV($G$18,AR28:AR57))</f>
        <v>2.9288357008001356</v>
      </c>
      <c r="AS60" s="154"/>
      <c r="AT60" s="153">
        <f>+-PMT($G$18,$G$14,NPV($G$18,AT28:AT57))</f>
        <v>4138.9644689414763</v>
      </c>
      <c r="AV60" s="153">
        <f>+-PMT($G$18,$G$14,NPV($G$18,AV28:AV57))</f>
        <v>9502.0993491723584</v>
      </c>
      <c r="AW60" s="273"/>
      <c r="AX60" s="155">
        <f>+-PMT($G$18,$G$14,NPV($G$18,AX28:AX57))</f>
        <v>13641.063818113835</v>
      </c>
      <c r="AZ60" s="2"/>
      <c r="BB60" s="154">
        <f>+-PMT($G$18,$G$14,NPV($G$18,BB28:BB57))</f>
        <v>69.866516783447622</v>
      </c>
      <c r="BD60" s="154">
        <f>+-PMT($G$18,$G$14,NPV($G$18,BD28:BD57))</f>
        <v>3.5634223010162183</v>
      </c>
      <c r="BF60" s="153">
        <f>+-PMT($G$18,$G$14,NPV($G$18,BF28:BF57))</f>
        <v>1356.7696653266328</v>
      </c>
      <c r="BH60" s="157"/>
    </row>
    <row r="61" spans="2:60">
      <c r="B61" s="2"/>
      <c r="E61" s="169"/>
      <c r="W61" s="18"/>
      <c r="Y61" s="271"/>
      <c r="Z61" s="235"/>
      <c r="AB61" s="2"/>
      <c r="AT61" s="273"/>
      <c r="AX61" s="235"/>
      <c r="AZ61" s="2"/>
      <c r="BH61" s="235"/>
    </row>
    <row r="62" spans="2:60">
      <c r="B62" s="238"/>
      <c r="C62" s="277"/>
      <c r="D62" s="277"/>
      <c r="E62" s="278"/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39"/>
      <c r="AB62" s="238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39"/>
      <c r="AZ62" s="238"/>
      <c r="BA62" s="277"/>
      <c r="BB62" s="277"/>
      <c r="BC62" s="277"/>
      <c r="BD62" s="277"/>
      <c r="BE62" s="277"/>
      <c r="BF62" s="277"/>
      <c r="BG62" s="277"/>
      <c r="BH62" s="239"/>
    </row>
    <row r="63" spans="2:60">
      <c r="E63" s="169"/>
    </row>
    <row r="64" spans="2:60">
      <c r="E64" s="169"/>
      <c r="G64" s="18"/>
      <c r="I64" s="18"/>
      <c r="K64" s="18"/>
      <c r="O64" s="18"/>
      <c r="Q64" s="18"/>
      <c r="S64" s="18"/>
      <c r="U64" s="18"/>
      <c r="W64" s="18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</sheetData>
  <pageMargins left="0.25" right="0.25" top="0.25" bottom="0.75" header="0.3" footer="0.3"/>
  <pageSetup paperSize="5" scale="46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1784D-A74D-4FD9-AD38-925C85D38085}">
  <sheetPr>
    <tabColor theme="0" tint="-0.249977111117893"/>
    <pageSetUpPr fitToPage="1"/>
  </sheetPr>
  <dimension ref="A1:BL81"/>
  <sheetViews>
    <sheetView zoomScale="80" zoomScaleNormal="80" workbookViewId="0"/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8.5" customWidth="1"/>
    <col min="9" max="9" width="13.5" customWidth="1"/>
    <col min="10" max="10" width="12.16406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231" customFormat="1">
      <c r="A1" s="231" t="s">
        <v>0</v>
      </c>
    </row>
    <row r="2" spans="1:64" s="231" customFormat="1">
      <c r="A2" s="231" t="s">
        <v>143</v>
      </c>
    </row>
    <row r="3" spans="1:64" s="231" customFormat="1">
      <c r="A3" s="231" t="s">
        <v>1</v>
      </c>
    </row>
    <row r="4" spans="1:64" s="231" customFormat="1"/>
    <row r="5" spans="1:64" s="231" customFormat="1"/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85" t="s">
        <v>96</v>
      </c>
      <c r="AO8" s="386"/>
      <c r="AP8" s="386"/>
      <c r="AQ8" s="386"/>
      <c r="AR8" s="386"/>
      <c r="AS8" s="386"/>
      <c r="AT8" s="386"/>
      <c r="AU8" s="386"/>
      <c r="AV8" s="386"/>
      <c r="AW8" s="387"/>
      <c r="AZ8" s="244" t="s">
        <v>97</v>
      </c>
      <c r="BA8" s="245"/>
      <c r="BB8" s="245"/>
      <c r="BC8" s="245"/>
      <c r="BD8" s="245"/>
      <c r="BE8" s="246"/>
      <c r="BG8" s="385" t="s">
        <v>97</v>
      </c>
      <c r="BH8" s="386"/>
      <c r="BI8" s="386"/>
      <c r="BJ8" s="386"/>
      <c r="BK8" s="386"/>
      <c r="BL8" s="38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436"/>
      <c r="AO9" s="437"/>
      <c r="AP9" s="437"/>
      <c r="AQ9" s="437"/>
      <c r="AR9" s="438"/>
      <c r="AS9" s="437"/>
      <c r="AT9" s="437"/>
      <c r="AU9" s="437"/>
      <c r="AV9" s="439"/>
      <c r="AW9" s="440"/>
      <c r="AZ9" s="116"/>
      <c r="BA9" s="117"/>
      <c r="BB9" s="117"/>
      <c r="BC9" s="117"/>
      <c r="BD9" s="118"/>
      <c r="BE9" s="121"/>
      <c r="BG9" s="436"/>
      <c r="BH9" s="437"/>
      <c r="BI9" s="437"/>
      <c r="BJ9" s="437"/>
      <c r="BK9" s="438"/>
      <c r="BL9" s="441"/>
    </row>
    <row r="10" spans="1:64" ht="12">
      <c r="B10" s="250"/>
      <c r="C10" s="231" t="s">
        <v>98</v>
      </c>
      <c r="D10" s="231"/>
      <c r="E10" s="231"/>
      <c r="F10" s="231"/>
      <c r="G10" s="251" t="s">
        <v>289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230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388" t="s">
        <v>230</v>
      </c>
      <c r="BH10" s="389"/>
      <c r="BI10" s="389"/>
      <c r="BJ10" s="389"/>
      <c r="BK10" s="390"/>
      <c r="BL10" s="398"/>
    </row>
    <row r="11" spans="1:64" ht="12">
      <c r="B11" s="250"/>
      <c r="C11" s="231" t="s">
        <v>31</v>
      </c>
      <c r="D11" s="231"/>
      <c r="E11" s="231"/>
      <c r="F11" s="231"/>
      <c r="G11" s="251">
        <v>99</v>
      </c>
      <c r="H11" s="252"/>
      <c r="I11" s="348">
        <v>99</v>
      </c>
      <c r="AB11" s="122" t="s">
        <v>99</v>
      </c>
      <c r="AC11" s="123"/>
      <c r="AD11" s="123"/>
      <c r="AE11" s="123"/>
      <c r="AF11" s="134">
        <f>+G11*(G12/AJ16)</f>
        <v>69.596421930769054</v>
      </c>
      <c r="AG11" s="127"/>
      <c r="AH11" s="123" t="s">
        <v>100</v>
      </c>
      <c r="AI11" s="124"/>
      <c r="AJ11" s="129">
        <v>7.9126910299003335</v>
      </c>
      <c r="AK11" s="235"/>
      <c r="AN11" s="444" t="s">
        <v>99</v>
      </c>
      <c r="AO11" s="445"/>
      <c r="AP11" s="445"/>
      <c r="AQ11" s="445"/>
      <c r="AR11" s="446">
        <f>+I11*(I12/AV16)</f>
        <v>52.546068959882639</v>
      </c>
      <c r="AS11" s="447"/>
      <c r="AT11" s="445" t="s">
        <v>100</v>
      </c>
      <c r="AU11" s="448"/>
      <c r="AV11" s="396">
        <f>'(2.1)_Proxy Resources'!N53</f>
        <v>19.805241420865066</v>
      </c>
      <c r="AW11" s="235"/>
      <c r="AZ11" s="122" t="s">
        <v>99</v>
      </c>
      <c r="BA11" s="123"/>
      <c r="BB11" s="123"/>
      <c r="BC11" s="123"/>
      <c r="BD11" s="134">
        <f>(AF11*AF13-G11*B19)</f>
        <v>69.596421930769054</v>
      </c>
      <c r="BE11" s="130"/>
      <c r="BG11" s="444" t="s">
        <v>99</v>
      </c>
      <c r="BH11" s="445"/>
      <c r="BI11" s="445"/>
      <c r="BJ11" s="445"/>
      <c r="BK11" s="368">
        <f>(AR11*AR13-I11*I19)</f>
        <v>36.904068959882636</v>
      </c>
      <c r="BL11" s="449"/>
    </row>
    <row r="12" spans="1:64" ht="12">
      <c r="B12" s="250"/>
      <c r="C12" s="231" t="s">
        <v>32</v>
      </c>
      <c r="D12" s="231"/>
      <c r="E12" s="231"/>
      <c r="F12" s="231"/>
      <c r="G12" s="254">
        <v>0.34229509708961764</v>
      </c>
      <c r="H12" s="252"/>
      <c r="I12" s="349">
        <v>0.37305359531386917</v>
      </c>
      <c r="AB12" s="122" t="s">
        <v>32</v>
      </c>
      <c r="AC12" s="123"/>
      <c r="AD12" s="123"/>
      <c r="AE12" s="123"/>
      <c r="AF12" s="131">
        <f>+AD53/8760/AF11</f>
        <v>0.53066386046126635</v>
      </c>
      <c r="AG12" s="127"/>
      <c r="AH12" s="117" t="s">
        <v>101</v>
      </c>
      <c r="AI12" s="118"/>
      <c r="AJ12" s="117">
        <v>2006</v>
      </c>
      <c r="AK12" s="235"/>
      <c r="AN12" s="444" t="s">
        <v>32</v>
      </c>
      <c r="AO12" s="445"/>
      <c r="AP12" s="445"/>
      <c r="AQ12" s="445"/>
      <c r="AR12" s="131">
        <f>AD70/8760/AR11</f>
        <v>0.66976494691360178</v>
      </c>
      <c r="AS12" s="447"/>
      <c r="AT12" s="437" t="s">
        <v>101</v>
      </c>
      <c r="AU12" s="438"/>
      <c r="AV12" s="450">
        <v>2016</v>
      </c>
      <c r="AW12" s="235"/>
      <c r="AZ12" s="122"/>
      <c r="BA12" s="123"/>
      <c r="BB12" s="123"/>
      <c r="BC12" s="123"/>
      <c r="BD12" s="539"/>
      <c r="BE12" s="132"/>
      <c r="BG12" s="444"/>
      <c r="BH12" s="445"/>
      <c r="BI12" s="445"/>
      <c r="BJ12" s="445"/>
      <c r="BK12" s="451"/>
      <c r="BL12" s="452"/>
    </row>
    <row r="13" spans="1:64" ht="12">
      <c r="B13" s="250"/>
      <c r="C13" s="231" t="s">
        <v>33</v>
      </c>
      <c r="D13" s="231"/>
      <c r="E13" s="231"/>
      <c r="F13" s="231"/>
      <c r="G13" s="251">
        <v>2009</v>
      </c>
      <c r="H13" s="252"/>
      <c r="I13" s="350">
        <v>2019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N13" s="444" t="s">
        <v>102</v>
      </c>
      <c r="AO13" s="445"/>
      <c r="AP13" s="445"/>
      <c r="AQ13" s="445"/>
      <c r="AR13" s="453">
        <v>1</v>
      </c>
      <c r="AS13" s="447"/>
      <c r="AT13" s="437" t="s">
        <v>103</v>
      </c>
      <c r="AU13" s="438"/>
      <c r="AV13" s="396">
        <f>'(2.1)_Proxy Resources'!O53</f>
        <v>2.02116486562735</v>
      </c>
      <c r="AW13" s="235"/>
      <c r="AZ13" s="122" t="s">
        <v>102</v>
      </c>
      <c r="BA13" s="123"/>
      <c r="BB13" s="123"/>
      <c r="BC13" s="123"/>
      <c r="BD13" s="540">
        <v>1</v>
      </c>
      <c r="BE13" s="132"/>
      <c r="BG13" s="444" t="s">
        <v>102</v>
      </c>
      <c r="BH13" s="445"/>
      <c r="BI13" s="445"/>
      <c r="BJ13" s="445"/>
      <c r="BK13" s="453">
        <v>1</v>
      </c>
      <c r="BL13" s="452"/>
    </row>
    <row r="14" spans="1:64" ht="12">
      <c r="B14" s="250"/>
      <c r="C14" s="231" t="s">
        <v>34</v>
      </c>
      <c r="D14" s="231"/>
      <c r="E14" s="231"/>
      <c r="F14" s="231"/>
      <c r="G14" s="251">
        <v>25</v>
      </c>
      <c r="H14" s="252"/>
      <c r="I14" s="351">
        <v>30</v>
      </c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N14" s="444" t="s">
        <v>104</v>
      </c>
      <c r="AO14" s="445"/>
      <c r="AP14" s="445"/>
      <c r="AQ14" s="445"/>
      <c r="AR14" s="454">
        <f>'(2.1)_Proxy Resources'!H53</f>
        <v>6414.883554173548</v>
      </c>
      <c r="AS14" s="447"/>
      <c r="AT14" s="437"/>
      <c r="AU14" s="438"/>
      <c r="AV14" s="396"/>
      <c r="AW14" s="235"/>
      <c r="AZ14" s="122" t="s">
        <v>105</v>
      </c>
      <c r="BA14" s="123"/>
      <c r="BB14" s="123"/>
      <c r="BC14" s="123"/>
      <c r="BD14" s="135">
        <v>454</v>
      </c>
      <c r="BE14" s="132"/>
      <c r="BG14" s="444" t="s">
        <v>232</v>
      </c>
      <c r="BH14" s="445"/>
      <c r="BI14" s="445"/>
      <c r="BJ14" s="445"/>
      <c r="BK14" s="397">
        <f>'(2.1)_Proxy Resources'!J54</f>
        <v>702</v>
      </c>
      <c r="BL14" s="452"/>
    </row>
    <row r="15" spans="1:64" ht="12">
      <c r="A15" t="s">
        <v>138</v>
      </c>
      <c r="B15" s="250"/>
      <c r="C15" s="231" t="s">
        <v>107</v>
      </c>
      <c r="D15" s="231"/>
      <c r="E15" s="231"/>
      <c r="F15" s="231"/>
      <c r="G15" s="556">
        <v>2078.2812525252525</v>
      </c>
      <c r="H15" s="252"/>
      <c r="I15" s="382">
        <v>1249.3411200184939</v>
      </c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N15" s="444" t="s">
        <v>231</v>
      </c>
      <c r="AO15" s="445"/>
      <c r="AP15" s="445"/>
      <c r="AQ15" s="445"/>
      <c r="AR15" s="397">
        <f>'(2.1)_Proxy Resources'!J53</f>
        <v>1362.6215812395926</v>
      </c>
      <c r="AS15" s="447"/>
      <c r="AT15" s="437" t="s">
        <v>141</v>
      </c>
      <c r="AU15" s="438"/>
      <c r="AV15" s="396">
        <f>'(2.1)_Proxy Resources'!P53</f>
        <v>2.2807762714164963</v>
      </c>
      <c r="AW15" s="235"/>
      <c r="AZ15" s="122" t="s">
        <v>108</v>
      </c>
      <c r="BA15" s="123"/>
      <c r="BB15" s="123"/>
      <c r="BC15" s="123"/>
      <c r="BD15" s="541">
        <f>'(2.1)_Proxy Resources'!D54</f>
        <v>0.33</v>
      </c>
      <c r="BE15" s="132"/>
      <c r="BG15" s="444" t="s">
        <v>108</v>
      </c>
      <c r="BH15" s="445"/>
      <c r="BI15" s="445"/>
      <c r="BJ15" s="445"/>
      <c r="BK15" s="455">
        <f>'(2.1)_Proxy Resources'!K54</f>
        <v>7.3700000000000002E-2</v>
      </c>
      <c r="BL15" s="452"/>
    </row>
    <row r="16" spans="1:64" ht="12">
      <c r="A16" t="s">
        <v>138</v>
      </c>
      <c r="B16" s="250"/>
      <c r="C16" s="231" t="s">
        <v>109</v>
      </c>
      <c r="D16" s="231"/>
      <c r="E16" s="231"/>
      <c r="F16" s="231"/>
      <c r="G16" s="255">
        <v>7.28</v>
      </c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N16" s="444" t="s">
        <v>108</v>
      </c>
      <c r="AO16" s="445"/>
      <c r="AP16" s="445"/>
      <c r="AQ16" s="445"/>
      <c r="AR16" s="455">
        <f>'(2.1)_Proxy Resources'!K52</f>
        <v>7.2562879502455491E-2</v>
      </c>
      <c r="AS16" s="447"/>
      <c r="AT16" s="437" t="s">
        <v>110</v>
      </c>
      <c r="AU16" s="448"/>
      <c r="AV16" s="456">
        <f>'(2.1)_Proxy Resources'!D53</f>
        <v>0.70285573530285894</v>
      </c>
      <c r="AW16" s="235"/>
      <c r="AZ16" s="122" t="s">
        <v>100</v>
      </c>
      <c r="BA16" s="124"/>
      <c r="BB16" s="129">
        <v>5.75</v>
      </c>
      <c r="BE16" s="130"/>
      <c r="BG16" s="444" t="s">
        <v>100</v>
      </c>
      <c r="BH16" s="448"/>
      <c r="BI16" s="396">
        <f>'(2.1)_Proxy Resources'!L54</f>
        <v>15.97</v>
      </c>
      <c r="BL16" s="449"/>
    </row>
    <row r="17" spans="1:64" ht="12">
      <c r="A17" t="s">
        <v>138</v>
      </c>
      <c r="B17" s="250"/>
      <c r="C17" s="231" t="s">
        <v>111</v>
      </c>
      <c r="D17" s="231"/>
      <c r="E17" s="231"/>
      <c r="F17" s="231"/>
      <c r="G17" s="255">
        <v>0</v>
      </c>
      <c r="H17" s="252"/>
      <c r="AB17" s="2"/>
      <c r="AG17" s="127"/>
      <c r="AI17" s="127"/>
      <c r="AJ17" s="123"/>
      <c r="AK17" s="130"/>
      <c r="AN17" s="2"/>
      <c r="AS17" s="447"/>
      <c r="AU17" s="447"/>
      <c r="AV17" s="445"/>
      <c r="AW17" s="449"/>
      <c r="AZ17" s="116" t="s">
        <v>101</v>
      </c>
      <c r="BA17" s="118"/>
      <c r="BB17" s="117">
        <v>2006</v>
      </c>
      <c r="BE17" s="128"/>
      <c r="BG17" s="436" t="s">
        <v>101</v>
      </c>
      <c r="BH17" s="438"/>
      <c r="BI17" s="450">
        <v>2016</v>
      </c>
      <c r="BL17" s="457"/>
    </row>
    <row r="18" spans="1:64" ht="12">
      <c r="B18" s="250"/>
      <c r="C18" s="231" t="s">
        <v>112</v>
      </c>
      <c r="D18" s="231"/>
      <c r="E18" s="231"/>
      <c r="F18" s="231"/>
      <c r="G18" s="254">
        <v>7.3164524549999999E-2</v>
      </c>
      <c r="H18" s="252"/>
      <c r="I18" s="458">
        <f>'(2.2)_Forward_Price_Curve'!AA8</f>
        <v>6.5699999999999995E-2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459"/>
      <c r="AO18" s="460"/>
      <c r="AP18" s="460"/>
      <c r="AQ18" s="460"/>
      <c r="AR18" s="460"/>
      <c r="AS18" s="460"/>
      <c r="AT18" s="460"/>
      <c r="AU18" s="460"/>
      <c r="AV18" s="460"/>
      <c r="AW18" s="461"/>
      <c r="AZ18" s="138"/>
      <c r="BA18" s="139"/>
      <c r="BB18" s="139"/>
      <c r="BC18" s="139"/>
      <c r="BD18" s="139"/>
      <c r="BE18" s="141"/>
      <c r="BG18" s="459"/>
      <c r="BH18" s="460"/>
      <c r="BI18" s="460"/>
      <c r="BJ18" s="460"/>
      <c r="BK18" s="460"/>
      <c r="BL18" s="462"/>
    </row>
    <row r="19" spans="1:64" ht="12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s="458">
        <f>'(2.2)_Forward_Price_Curve'!L103</f>
        <v>0.158</v>
      </c>
    </row>
    <row r="20" spans="1:64">
      <c r="B20" s="231"/>
      <c r="C20" s="231"/>
      <c r="D20" s="231"/>
      <c r="E20" s="231"/>
      <c r="F20" s="231"/>
      <c r="G20" t="s">
        <v>113</v>
      </c>
      <c r="H20" s="231"/>
    </row>
    <row r="21" spans="1:64" ht="12">
      <c r="C21" s="231" t="s">
        <v>365</v>
      </c>
      <c r="G21" s="169">
        <v>8.0299999999999996E-2</v>
      </c>
      <c r="I21" s="458">
        <v>6.5552320875686798E-2</v>
      </c>
    </row>
    <row r="23" spans="1:64">
      <c r="B23" s="244"/>
      <c r="C23" s="241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v>2009</v>
      </c>
      <c r="E28" s="169">
        <f>'(2.2)_Forward_Price_Curve'!V23</f>
        <v>1.7000000000000001E-2</v>
      </c>
      <c r="G28" s="18">
        <v>296852</v>
      </c>
      <c r="I28" s="268">
        <f>$G$15*G21</f>
        <v>166.88598457777778</v>
      </c>
      <c r="K28" s="268">
        <f>$G$16</f>
        <v>7.28</v>
      </c>
      <c r="L28" s="269"/>
      <c r="M28" s="268">
        <f>$G$17</f>
        <v>0</v>
      </c>
      <c r="O28" s="270">
        <v>5.1866999999999992</v>
      </c>
      <c r="Q28" s="28">
        <f>-'(2.2)_Forward_Price_Curve'!AO20</f>
        <v>-33.844219890731516</v>
      </c>
      <c r="S28" s="18">
        <f t="shared" ref="S28:S68" si="0">(I28*$G$11*1000+(K28+M28+O28+Q28)*G28)/1000</f>
        <v>10175.752938596568</v>
      </c>
      <c r="U28" s="18">
        <f t="shared" ref="U28:U68" si="1">AX28</f>
        <v>19640.850140320061</v>
      </c>
      <c r="W28" s="18">
        <f t="shared" ref="W28:W68" si="2">S28-U28</f>
        <v>-9465.0972017234926</v>
      </c>
      <c r="Y28" s="271">
        <f t="shared" ref="Y28:Y68" si="3">+W28*1000/G28</f>
        <v>-31.884902920389592</v>
      </c>
      <c r="Z28" s="235"/>
      <c r="AB28" s="146">
        <f>$C$28</f>
        <v>2009</v>
      </c>
      <c r="AC28" s="117"/>
      <c r="AD28" s="151">
        <f t="shared" ref="AD28:AD68" si="4">G28</f>
        <v>296852</v>
      </c>
      <c r="AF28" s="152">
        <v>58.163412158772744</v>
      </c>
      <c r="AG28" s="272"/>
      <c r="AH28" s="152">
        <v>8.2001037061794015</v>
      </c>
      <c r="AI28" s="272"/>
      <c r="AJ28" s="152">
        <v>2.3050946065283835</v>
      </c>
      <c r="AK28" s="272"/>
      <c r="AL28" s="153">
        <f>((AF28+AH28)*$AF$11*1000+AJ28*AD28)/1000</f>
        <v>5302.9351950836599</v>
      </c>
      <c r="AN28" s="154">
        <f>INDEX('(2.2)_Forward_Price_Curve'!$I:$I,MATCH($AB28,'(2.2)_Forward_Price_Curve'!$C:$C,0),1)</f>
        <v>7.7758276535043622</v>
      </c>
      <c r="AO28" s="279"/>
      <c r="AP28" s="154">
        <f t="shared" ref="AP28:AP68" si="5">AN28*$AF$14/1000</f>
        <v>56.499329593768707</v>
      </c>
      <c r="AQ28" s="272"/>
      <c r="AR28" s="152">
        <v>2.3860545125109165</v>
      </c>
      <c r="AS28" s="152"/>
      <c r="AT28" s="153">
        <f t="shared" ref="AT28:AT68" si="6">AL28-BF28</f>
        <v>2160.6060976027411</v>
      </c>
      <c r="AU28" s="272"/>
      <c r="AV28" s="153">
        <f t="shared" ref="AV28:AV68" si="7">(AP28+AR28)*AD28/1000</f>
        <v>17480.244042717321</v>
      </c>
      <c r="AW28" s="273"/>
      <c r="AX28" s="155">
        <f t="shared" ref="AX28:AX68" si="8">AT28+AV28</f>
        <v>19640.850140320061</v>
      </c>
      <c r="AZ28" s="146">
        <f>$C$28</f>
        <v>2009</v>
      </c>
      <c r="BA28" s="117"/>
      <c r="BB28" s="152">
        <v>39.191870478599988</v>
      </c>
      <c r="BD28" s="152">
        <v>5.9588572499999986</v>
      </c>
      <c r="BE28" s="272"/>
      <c r="BF28" s="153">
        <f t="shared" ref="BF28:BF68" si="9">(BB28+BD28)*$BD$11</f>
        <v>3142.3290974809188</v>
      </c>
      <c r="BG28" s="272"/>
      <c r="BH28" s="156"/>
    </row>
    <row r="29" spans="1:64" ht="12">
      <c r="B29" s="2"/>
      <c r="C29">
        <f>+IF(C28&gt;$G$13+$G$14,XX,C28+1)</f>
        <v>2010</v>
      </c>
      <c r="E29" s="169">
        <f>'(2.2)_Forward_Price_Curve'!V24</f>
        <v>1.9E-2</v>
      </c>
      <c r="G29" s="18">
        <v>296852</v>
      </c>
      <c r="I29" s="28">
        <f t="shared" ref="I29:K37" si="10">I28*(1+$E29)</f>
        <v>170.05681828475554</v>
      </c>
      <c r="K29" s="28">
        <f t="shared" si="10"/>
        <v>7.4183199999999996</v>
      </c>
      <c r="M29" s="28">
        <f t="shared" ref="M29:M68" si="11">M28*(1+$E29)</f>
        <v>0</v>
      </c>
      <c r="O29" s="270">
        <v>5.2748738999999985</v>
      </c>
      <c r="Q29" s="28">
        <f>-'(2.2)_Forward_Price_Curve'!AO21</f>
        <v>-35.45584940933778</v>
      </c>
      <c r="S29" s="18">
        <f t="shared" si="0"/>
        <v>10078.485196932856</v>
      </c>
      <c r="U29" s="18">
        <f t="shared" si="1"/>
        <v>19051.769695083272</v>
      </c>
      <c r="W29" s="18">
        <f t="shared" si="2"/>
        <v>-8973.2844981504168</v>
      </c>
      <c r="Y29" s="271">
        <f t="shared" si="3"/>
        <v>-30.22814230037331</v>
      </c>
      <c r="Z29" s="235"/>
      <c r="AB29" s="146">
        <f>+IF(AB28&gt;$G$13+$G$14,XX,AB28+1)</f>
        <v>2010</v>
      </c>
      <c r="AC29" s="117"/>
      <c r="AD29" s="151">
        <f t="shared" si="4"/>
        <v>296852</v>
      </c>
      <c r="AF29" s="154">
        <f t="shared" ref="AF29:AF37" si="12">AF28*(1+$E29)</f>
        <v>59.268516989789418</v>
      </c>
      <c r="AH29" s="154">
        <f t="shared" ref="AH29:AH37" si="13">AH28*(1+$E29)</f>
        <v>8.3559056765968087</v>
      </c>
      <c r="AJ29" s="154">
        <f t="shared" ref="AJ29:AJ37" si="14">AJ28*(1+$E29)</f>
        <v>2.3488914040524227</v>
      </c>
      <c r="AL29" s="153">
        <f t="shared" ref="AL29:AL66" si="15">((AF29+AH29)*$AF$11*1000+AJ29*AD29)/1000</f>
        <v>5403.6909637902481</v>
      </c>
      <c r="AN29" s="154">
        <f>INDEX('(2.2)_Forward_Price_Curve'!$I:$I,MATCH($AB29,'(2.2)_Forward_Price_Curve'!$C:$C,0),1)</f>
        <v>7.4774457529777205</v>
      </c>
      <c r="AP29" s="154">
        <f t="shared" si="5"/>
        <v>54.331280339864243</v>
      </c>
      <c r="AR29" s="154">
        <f>AR28*(1+$E29)</f>
        <v>2.4313895482486236</v>
      </c>
      <c r="AS29" s="154"/>
      <c r="AT29" s="153">
        <f t="shared" si="6"/>
        <v>2201.6576134571924</v>
      </c>
      <c r="AV29" s="153">
        <f t="shared" si="7"/>
        <v>16850.112081626081</v>
      </c>
      <c r="AW29" s="273"/>
      <c r="AX29" s="155">
        <f t="shared" si="8"/>
        <v>19051.769695083272</v>
      </c>
      <c r="AZ29" s="146">
        <f>+IF(AZ28&gt;$G$13+$G$14,XX,AZ28+1)</f>
        <v>2010</v>
      </c>
      <c r="BA29" s="117"/>
      <c r="BB29" s="154">
        <f t="shared" ref="BB29:BB68" si="16">BB28*(1+$E29)</f>
        <v>39.936516017693386</v>
      </c>
      <c r="BD29" s="154">
        <f t="shared" ref="BD29:BD68" si="17">BD28*(1+$E29)</f>
        <v>6.0720755377499982</v>
      </c>
      <c r="BF29" s="153">
        <f t="shared" si="9"/>
        <v>3202.0333503330558</v>
      </c>
      <c r="BH29" s="157"/>
    </row>
    <row r="30" spans="1:64" ht="12">
      <c r="B30" s="2"/>
      <c r="C30">
        <f>+IF(C29&gt;$G$13+$G$14,XX,C29+1)</f>
        <v>2011</v>
      </c>
      <c r="E30" s="169">
        <f>'(2.2)_Forward_Price_Curve'!V25</f>
        <v>1.9E-2</v>
      </c>
      <c r="G30" s="18">
        <v>296852</v>
      </c>
      <c r="I30" s="28">
        <f t="shared" si="10"/>
        <v>173.28789783216587</v>
      </c>
      <c r="K30" s="28">
        <f t="shared" si="10"/>
        <v>7.5592680799999989</v>
      </c>
      <c r="M30" s="28">
        <f t="shared" si="11"/>
        <v>0</v>
      </c>
      <c r="O30" s="270">
        <v>5.3750965040999983</v>
      </c>
      <c r="Q30" s="28">
        <f>-'(2.2)_Forward_Price_Curve'!AO22</f>
        <v>-35.45584940933778</v>
      </c>
      <c r="S30" s="18">
        <f t="shared" si="0"/>
        <v>10469.95407204293</v>
      </c>
      <c r="U30" s="18">
        <f t="shared" si="1"/>
        <v>18254.674489679302</v>
      </c>
      <c r="W30" s="18">
        <f t="shared" si="2"/>
        <v>-7784.7204176363721</v>
      </c>
      <c r="Y30" s="271">
        <f t="shared" si="3"/>
        <v>-26.224247832712503</v>
      </c>
      <c r="Z30" s="235"/>
      <c r="AB30" s="146">
        <f>+IF(AB29&gt;$G$13+$G$14,XX,AB29+1)</f>
        <v>2011</v>
      </c>
      <c r="AC30" s="117"/>
      <c r="AD30" s="151">
        <f t="shared" si="4"/>
        <v>296852</v>
      </c>
      <c r="AF30" s="154">
        <f t="shared" si="12"/>
        <v>60.394618812595411</v>
      </c>
      <c r="AH30" s="154">
        <f t="shared" si="13"/>
        <v>8.5146678844521482</v>
      </c>
      <c r="AJ30" s="154">
        <f t="shared" si="14"/>
        <v>2.3935203407294185</v>
      </c>
      <c r="AL30" s="153">
        <f t="shared" si="15"/>
        <v>5506.3610921022628</v>
      </c>
      <c r="AN30" s="154">
        <f>INDEX('(2.2)_Forward_Price_Curve'!$I:$I,MATCH($AB30,'(2.2)_Forward_Price_Curve'!$C:$C,0),1)</f>
        <v>7.0821436233211914</v>
      </c>
      <c r="AP30" s="154">
        <f t="shared" si="5"/>
        <v>51.459006633731178</v>
      </c>
      <c r="AR30" s="154">
        <f t="shared" ref="AR30:AR68" si="18">AR29*(1+$E30)</f>
        <v>2.4775859496653472</v>
      </c>
      <c r="AS30" s="154"/>
      <c r="AT30" s="153">
        <f t="shared" si="6"/>
        <v>2243.489108112879</v>
      </c>
      <c r="AV30" s="153">
        <f t="shared" si="7"/>
        <v>16011.185381566425</v>
      </c>
      <c r="AW30" s="273"/>
      <c r="AX30" s="155">
        <f t="shared" si="8"/>
        <v>18254.674489679302</v>
      </c>
      <c r="AZ30" s="146">
        <f>+IF(AZ29&gt;$G$13+$G$14,XX,AZ29+1)</f>
        <v>2011</v>
      </c>
      <c r="BA30" s="117"/>
      <c r="BB30" s="154">
        <f t="shared" si="16"/>
        <v>40.695309822029557</v>
      </c>
      <c r="BD30" s="154">
        <f t="shared" si="17"/>
        <v>6.1874449729672474</v>
      </c>
      <c r="BF30" s="153">
        <f t="shared" si="9"/>
        <v>3262.8719839893838</v>
      </c>
      <c r="BH30" s="157"/>
    </row>
    <row r="31" spans="1:64" ht="12">
      <c r="B31" s="2"/>
      <c r="C31">
        <f>+IF(C30&gt;$G$13+$G$14,XX,C30+1)</f>
        <v>2012</v>
      </c>
      <c r="E31" s="169">
        <f>'(2.2)_Forward_Price_Curve'!V26</f>
        <v>0.02</v>
      </c>
      <c r="G31" s="18">
        <v>296852</v>
      </c>
      <c r="I31" s="28">
        <f t="shared" si="10"/>
        <v>176.7536557888092</v>
      </c>
      <c r="K31" s="28">
        <f t="shared" si="10"/>
        <v>7.7104534415999995</v>
      </c>
      <c r="M31" s="28">
        <f t="shared" si="11"/>
        <v>0</v>
      </c>
      <c r="O31" s="270">
        <v>5.4772233376778976</v>
      </c>
      <c r="Q31" s="28">
        <f>-'(2.2)_Forward_Price_Curve'!AO23</f>
        <v>-35.45584940933778</v>
      </c>
      <c r="S31" s="18">
        <f t="shared" si="0"/>
        <v>10888.260341513575</v>
      </c>
      <c r="U31" s="18">
        <f t="shared" si="1"/>
        <v>17495.323037474711</v>
      </c>
      <c r="W31" s="18">
        <f t="shared" si="2"/>
        <v>-6607.0626959611363</v>
      </c>
      <c r="Y31" s="271">
        <f t="shared" si="3"/>
        <v>-22.257093420159325</v>
      </c>
      <c r="Z31" s="235"/>
      <c r="AB31" s="146">
        <f>+IF(AB30&gt;$G$13+$G$14,XX,AB30+1)</f>
        <v>2012</v>
      </c>
      <c r="AC31" s="117"/>
      <c r="AD31" s="151">
        <f t="shared" si="4"/>
        <v>296852</v>
      </c>
      <c r="AF31" s="154">
        <f t="shared" si="12"/>
        <v>61.602511188847323</v>
      </c>
      <c r="AH31" s="154">
        <f t="shared" si="13"/>
        <v>8.6849612421411919</v>
      </c>
      <c r="AJ31" s="154">
        <f t="shared" si="14"/>
        <v>2.4413907475440069</v>
      </c>
      <c r="AL31" s="153">
        <f t="shared" si="15"/>
        <v>5616.4883139443082</v>
      </c>
      <c r="AN31" s="154">
        <f>INDEX('(2.2)_Forward_Price_Curve'!$I:$I,MATCH($AB31,'(2.2)_Forward_Price_Curve'!$C:$C,0),1)</f>
        <v>6.7024699037828679</v>
      </c>
      <c r="AP31" s="154">
        <f t="shared" si="5"/>
        <v>48.700289288881038</v>
      </c>
      <c r="AR31" s="154">
        <f t="shared" si="18"/>
        <v>2.527137668658654</v>
      </c>
      <c r="AS31" s="154"/>
      <c r="AT31" s="153">
        <f t="shared" si="6"/>
        <v>2288.3588902751367</v>
      </c>
      <c r="AV31" s="153">
        <f t="shared" si="7"/>
        <v>15206.964147199573</v>
      </c>
      <c r="AW31" s="273"/>
      <c r="AX31" s="155">
        <f t="shared" si="8"/>
        <v>17495.323037474711</v>
      </c>
      <c r="AZ31" s="146">
        <f>+IF(AZ30&gt;$G$13+$G$14,XX,AZ30+1)</f>
        <v>2012</v>
      </c>
      <c r="BA31" s="117"/>
      <c r="BB31" s="154">
        <f t="shared" si="16"/>
        <v>41.509216018470148</v>
      </c>
      <c r="BD31" s="154">
        <f t="shared" si="17"/>
        <v>6.3111938724265926</v>
      </c>
      <c r="BF31" s="153">
        <f t="shared" si="9"/>
        <v>3328.1294236691715</v>
      </c>
      <c r="BH31" s="157"/>
    </row>
    <row r="32" spans="1:64" ht="12">
      <c r="B32" s="2"/>
      <c r="C32">
        <f>+IF(C31&gt;$G$13+$G$14,XX,C31+1)</f>
        <v>2013</v>
      </c>
      <c r="E32" s="169">
        <f>'(2.2)_Forward_Price_Curve'!V27</f>
        <v>1.9E-2</v>
      </c>
      <c r="G32" s="18">
        <v>296852</v>
      </c>
      <c r="I32" s="28">
        <f t="shared" si="10"/>
        <v>180.11197524879657</v>
      </c>
      <c r="K32" s="28">
        <f t="shared" si="10"/>
        <v>7.8569520569903988</v>
      </c>
      <c r="M32" s="28">
        <f t="shared" si="11"/>
        <v>0</v>
      </c>
      <c r="O32" s="270">
        <v>5.5867678044314557</v>
      </c>
      <c r="Q32" s="28">
        <f>-'(2.2)_Forward_Price_Curve'!AO24</f>
        <v>-37.067478927944045</v>
      </c>
      <c r="S32" s="18">
        <f t="shared" si="0"/>
        <v>10818.325423215616</v>
      </c>
      <c r="U32" s="18">
        <f t="shared" si="1"/>
        <v>17546.638462497125</v>
      </c>
      <c r="W32" s="18">
        <f t="shared" si="2"/>
        <v>-6728.3130392815092</v>
      </c>
      <c r="Y32" s="271">
        <f t="shared" si="3"/>
        <v>-22.665547273663336</v>
      </c>
      <c r="Z32" s="235"/>
      <c r="AB32" s="146">
        <f>+IF(AB31&gt;$G$13+$G$14,XX,AB31+1)</f>
        <v>2013</v>
      </c>
      <c r="AC32" s="117"/>
      <c r="AD32" s="151">
        <f t="shared" si="4"/>
        <v>296852</v>
      </c>
      <c r="AF32" s="154">
        <f t="shared" si="12"/>
        <v>62.772958901435416</v>
      </c>
      <c r="AH32" s="154">
        <f t="shared" si="13"/>
        <v>8.8499755057418739</v>
      </c>
      <c r="AJ32" s="154">
        <f t="shared" si="14"/>
        <v>2.4877771717473429</v>
      </c>
      <c r="AL32" s="153">
        <f t="shared" si="15"/>
        <v>5723.2015919092491</v>
      </c>
      <c r="AN32" s="154">
        <f>INDEX('(2.2)_Forward_Price_Curve'!$I:$I,MATCH($AB32,'(2.2)_Forward_Price_Curve'!$C:$C,0),1)</f>
        <v>6.6994948806584134</v>
      </c>
      <c r="AP32" s="154">
        <f t="shared" si="5"/>
        <v>48.678672707399592</v>
      </c>
      <c r="AR32" s="154">
        <f t="shared" si="18"/>
        <v>2.5751532843631684</v>
      </c>
      <c r="AS32" s="154"/>
      <c r="AT32" s="153">
        <f t="shared" si="6"/>
        <v>2331.837709190364</v>
      </c>
      <c r="AV32" s="153">
        <f t="shared" si="7"/>
        <v>15214.800753306759</v>
      </c>
      <c r="AW32" s="273"/>
      <c r="AX32" s="155">
        <f t="shared" si="8"/>
        <v>17546.638462497125</v>
      </c>
      <c r="AZ32" s="146">
        <f>+IF(AZ31&gt;$G$13+$G$14,XX,AZ31+1)</f>
        <v>2013</v>
      </c>
      <c r="BA32" s="117"/>
      <c r="BB32" s="154">
        <f t="shared" si="16"/>
        <v>42.297891122821078</v>
      </c>
      <c r="BD32" s="154">
        <f t="shared" si="17"/>
        <v>6.431106556002697</v>
      </c>
      <c r="BF32" s="153">
        <f t="shared" si="9"/>
        <v>3391.3638827188852</v>
      </c>
      <c r="BH32" s="157"/>
    </row>
    <row r="33" spans="2:60" ht="12">
      <c r="B33" s="2"/>
      <c r="C33">
        <f>+IF(C32&gt;$G$13+$G$14,XX,C32+1)</f>
        <v>2014</v>
      </c>
      <c r="E33" s="169">
        <f>'(2.2)_Forward_Price_Curve'!V28</f>
        <v>1.7999999999999999E-2</v>
      </c>
      <c r="G33" s="18">
        <v>296852</v>
      </c>
      <c r="I33" s="28">
        <f t="shared" si="10"/>
        <v>183.35399080327491</v>
      </c>
      <c r="K33" s="28">
        <f t="shared" si="10"/>
        <v>7.9983771940162258</v>
      </c>
      <c r="M33" s="28">
        <f t="shared" si="11"/>
        <v>0</v>
      </c>
      <c r="O33" s="270">
        <v>5.6929163927156532</v>
      </c>
      <c r="Q33" s="28">
        <f>-'(2.2)_Forward_Price_Curve'!AO25</f>
        <v>-37.067478927944045</v>
      </c>
      <c r="S33" s="18">
        <f t="shared" si="0"/>
        <v>11212.777718614705</v>
      </c>
      <c r="U33" s="18">
        <f t="shared" si="1"/>
        <v>18065.063122443917</v>
      </c>
      <c r="W33" s="18">
        <f t="shared" si="2"/>
        <v>-6852.2854038292116</v>
      </c>
      <c r="Y33" s="271">
        <f t="shared" si="3"/>
        <v>-23.08317075117975</v>
      </c>
      <c r="Z33" s="235"/>
      <c r="AB33" s="146">
        <f>+IF(AB32&gt;$G$13+$G$14,XX,AB32+1)</f>
        <v>2014</v>
      </c>
      <c r="AC33" s="117"/>
      <c r="AD33" s="151">
        <f t="shared" si="4"/>
        <v>296852</v>
      </c>
      <c r="AF33" s="154">
        <f t="shared" si="12"/>
        <v>63.902872161661257</v>
      </c>
      <c r="AH33" s="154">
        <f t="shared" si="13"/>
        <v>9.0092750648452284</v>
      </c>
      <c r="AJ33" s="154">
        <f t="shared" si="14"/>
        <v>2.5325571608387953</v>
      </c>
      <c r="AL33" s="153">
        <f t="shared" si="15"/>
        <v>5826.2192205636165</v>
      </c>
      <c r="AN33" s="154">
        <f>INDEX('(2.2)_Forward_Price_Curve'!$I:$I,MATCH($AB33,'(2.2)_Forward_Price_Curve'!$C:$C,0),1)</f>
        <v>6.9140085811973453</v>
      </c>
      <c r="AP33" s="154">
        <f t="shared" si="5"/>
        <v>50.2373338312307</v>
      </c>
      <c r="AR33" s="154">
        <f t="shared" si="18"/>
        <v>2.6215060434817055</v>
      </c>
      <c r="AS33" s="154"/>
      <c r="AT33" s="153">
        <f t="shared" si="6"/>
        <v>2373.8107879557915</v>
      </c>
      <c r="AV33" s="153">
        <f t="shared" si="7"/>
        <v>15691.252334488125</v>
      </c>
      <c r="AW33" s="273"/>
      <c r="AX33" s="155">
        <f t="shared" si="8"/>
        <v>18065.063122443917</v>
      </c>
      <c r="AZ33" s="146">
        <f>+IF(AZ32&gt;$G$13+$G$14,XX,AZ32+1)</f>
        <v>2014</v>
      </c>
      <c r="BA33" s="117"/>
      <c r="BB33" s="154">
        <f t="shared" si="16"/>
        <v>43.059253163031855</v>
      </c>
      <c r="BD33" s="154">
        <f t="shared" si="17"/>
        <v>6.5468664740107458</v>
      </c>
      <c r="BF33" s="153">
        <f t="shared" si="9"/>
        <v>3452.408432607825</v>
      </c>
      <c r="BH33" s="157"/>
    </row>
    <row r="34" spans="2:60" ht="12">
      <c r="B34" s="2"/>
      <c r="C34">
        <f>+IF(C33&gt;$G$13+$G$14,XX,C33+1)</f>
        <v>2015</v>
      </c>
      <c r="E34" s="169">
        <f>'(2.2)_Forward_Price_Curve'!V29</f>
        <v>1.7999999999999999E-2</v>
      </c>
      <c r="G34" s="18">
        <v>296852</v>
      </c>
      <c r="I34" s="28">
        <f t="shared" si="10"/>
        <v>186.65436263773387</v>
      </c>
      <c r="K34" s="28">
        <f t="shared" si="10"/>
        <v>8.1423479835085182</v>
      </c>
      <c r="M34" s="28">
        <f t="shared" si="11"/>
        <v>0</v>
      </c>
      <c r="O34" s="270">
        <v>5.7953888877845348</v>
      </c>
      <c r="Q34" s="28">
        <f>-'(2.2)_Forward_Price_Curve'!AO26</f>
        <v>-37.067478927944045</v>
      </c>
      <c r="S34" s="18">
        <f t="shared" si="0"/>
        <v>11612.671712134692</v>
      </c>
      <c r="U34" s="18">
        <f t="shared" si="1"/>
        <v>18989.733177757698</v>
      </c>
      <c r="W34" s="18">
        <f t="shared" si="2"/>
        <v>-7377.0614656230064</v>
      </c>
      <c r="Y34" s="271">
        <f t="shared" si="3"/>
        <v>-24.850974443908097</v>
      </c>
      <c r="Z34" s="235"/>
      <c r="AB34" s="146">
        <f>+IF(AB33&gt;$G$13+$G$14,XX,AB33+1)</f>
        <v>2015</v>
      </c>
      <c r="AC34" s="117"/>
      <c r="AD34" s="151">
        <f t="shared" si="4"/>
        <v>296852</v>
      </c>
      <c r="AF34" s="154">
        <f t="shared" si="12"/>
        <v>65.053123860571162</v>
      </c>
      <c r="AH34" s="154">
        <f t="shared" si="13"/>
        <v>9.1714420160124419</v>
      </c>
      <c r="AJ34" s="154">
        <f t="shared" si="14"/>
        <v>2.5781431897338938</v>
      </c>
      <c r="AL34" s="153">
        <f t="shared" si="15"/>
        <v>5931.0911665337608</v>
      </c>
      <c r="AN34" s="154">
        <f>INDEX('(2.2)_Forward_Price_Curve'!$I:$I,MATCH($AB34,'(2.2)_Forward_Price_Curve'!$C:$C,0),1)</f>
        <v>7.3164011858738007</v>
      </c>
      <c r="AP34" s="154">
        <f t="shared" si="5"/>
        <v>53.161127080102943</v>
      </c>
      <c r="AR34" s="154">
        <f t="shared" si="18"/>
        <v>2.6686931522643764</v>
      </c>
      <c r="AS34" s="154"/>
      <c r="AT34" s="153">
        <f t="shared" si="6"/>
        <v>2416.5393821389948</v>
      </c>
      <c r="AV34" s="153">
        <f t="shared" si="7"/>
        <v>16573.193795618703</v>
      </c>
      <c r="AW34" s="273"/>
      <c r="AX34" s="155">
        <f t="shared" si="8"/>
        <v>18989.733177757698</v>
      </c>
      <c r="AZ34" s="146">
        <f>+IF(AZ33&gt;$G$13+$G$14,XX,AZ33+1)</f>
        <v>2015</v>
      </c>
      <c r="BA34" s="117"/>
      <c r="BB34" s="154">
        <f t="shared" si="16"/>
        <v>43.83431971996643</v>
      </c>
      <c r="BD34" s="154">
        <f t="shared" si="17"/>
        <v>6.664710070542939</v>
      </c>
      <c r="BF34" s="153">
        <f t="shared" si="9"/>
        <v>3514.5517843947659</v>
      </c>
      <c r="BH34" s="157"/>
    </row>
    <row r="35" spans="2:60" ht="12">
      <c r="B35" s="2"/>
      <c r="C35">
        <f>+IF(C34&gt;$G$13+$G$14,XX,C34+1)</f>
        <v>2016</v>
      </c>
      <c r="E35" s="169">
        <f>'(2.2)_Forward_Price_Curve'!V30</f>
        <v>1.7999999999999999E-2</v>
      </c>
      <c r="G35" s="18">
        <v>296852</v>
      </c>
      <c r="I35" s="28">
        <f t="shared" si="10"/>
        <v>190.01414116521309</v>
      </c>
      <c r="K35" s="28">
        <f t="shared" si="10"/>
        <v>8.2889102472116711</v>
      </c>
      <c r="M35" s="28">
        <f t="shared" si="11"/>
        <v>0</v>
      </c>
      <c r="O35" s="270">
        <v>5.8997058877646564</v>
      </c>
      <c r="Q35" s="28">
        <f>-'(2.2)_Forward_Price_Curve'!AO27</f>
        <v>-37.067478927944045</v>
      </c>
      <c r="S35" s="18">
        <f t="shared" si="0"/>
        <v>12019.763797538046</v>
      </c>
      <c r="U35" s="18">
        <f t="shared" si="1"/>
        <v>20351.964100348359</v>
      </c>
      <c r="W35" s="18">
        <f t="shared" si="2"/>
        <v>-8332.2003028103136</v>
      </c>
      <c r="Y35" s="271">
        <f t="shared" si="3"/>
        <v>-28.068533487429132</v>
      </c>
      <c r="Z35" s="235"/>
      <c r="AB35" s="146">
        <f>+IF(AB34&gt;$G$13+$G$14,XX,AB34+1)</f>
        <v>2016</v>
      </c>
      <c r="AC35" s="117"/>
      <c r="AD35" s="151">
        <f t="shared" si="4"/>
        <v>296852</v>
      </c>
      <c r="AF35" s="154">
        <f t="shared" si="12"/>
        <v>66.224080090061449</v>
      </c>
      <c r="AH35" s="154">
        <f t="shared" si="13"/>
        <v>9.3365279723006669</v>
      </c>
      <c r="AJ35" s="154">
        <f t="shared" si="14"/>
        <v>2.6245497671491038</v>
      </c>
      <c r="AL35" s="153">
        <f t="shared" si="15"/>
        <v>6037.8508075313703</v>
      </c>
      <c r="AN35" s="154">
        <f>INDEX('(2.2)_Forward_Price_Curve'!$I:$I,MATCH($AB35,'(2.2)_Forward_Price_Curve'!$C:$C,0),1)</f>
        <v>7.9211828417083421</v>
      </c>
      <c r="AP35" s="154">
        <f t="shared" si="5"/>
        <v>57.555483491778489</v>
      </c>
      <c r="AR35" s="154">
        <f t="shared" si="18"/>
        <v>2.716729629005135</v>
      </c>
      <c r="AS35" s="154"/>
      <c r="AT35" s="153">
        <f t="shared" si="6"/>
        <v>2460.0370910174984</v>
      </c>
      <c r="AV35" s="153">
        <f t="shared" si="7"/>
        <v>17891.927009330862</v>
      </c>
      <c r="AW35" s="273"/>
      <c r="AX35" s="155">
        <f t="shared" si="8"/>
        <v>20351.964100348359</v>
      </c>
      <c r="AZ35" s="146">
        <f>+IF(AZ34&gt;$G$13+$G$14,XX,AZ34+1)</f>
        <v>2016</v>
      </c>
      <c r="BA35" s="117"/>
      <c r="BB35" s="154">
        <f t="shared" si="16"/>
        <v>44.623337474925826</v>
      </c>
      <c r="BD35" s="154">
        <f t="shared" si="17"/>
        <v>6.7846748518127118</v>
      </c>
      <c r="BF35" s="153">
        <f t="shared" si="9"/>
        <v>3577.8137165138719</v>
      </c>
      <c r="BH35" s="157"/>
    </row>
    <row r="36" spans="2:60" ht="12">
      <c r="B36" s="2"/>
      <c r="C36">
        <f>+IF(C35&gt;$G$13+$G$14,XX,C35+1)</f>
        <v>2017</v>
      </c>
      <c r="E36" s="169">
        <f>'(2.2)_Forward_Price_Curve'!V31</f>
        <v>1.7999999999999999E-2</v>
      </c>
      <c r="G36" s="18">
        <v>296852</v>
      </c>
      <c r="I36" s="28">
        <f t="shared" si="10"/>
        <v>193.43439570618693</v>
      </c>
      <c r="K36" s="28">
        <f t="shared" si="10"/>
        <v>8.4381106316614822</v>
      </c>
      <c r="M36" s="28">
        <f t="shared" si="11"/>
        <v>0</v>
      </c>
      <c r="O36" s="270">
        <v>6.0059005937444203</v>
      </c>
      <c r="Q36" s="28">
        <f>-'(2.2)_Forward_Price_Curve'!AO28</f>
        <v>-38.679108446550309</v>
      </c>
      <c r="S36" s="18">
        <f t="shared" si="0"/>
        <v>11955.768094621346</v>
      </c>
      <c r="U36" s="18">
        <f t="shared" si="1"/>
        <v>21760.077437150532</v>
      </c>
      <c r="W36" s="18">
        <f t="shared" si="2"/>
        <v>-9804.3093425291863</v>
      </c>
      <c r="Y36" s="271">
        <f t="shared" si="3"/>
        <v>-33.027600765799747</v>
      </c>
      <c r="Z36" s="235"/>
      <c r="AB36" s="146">
        <f>+IF(AB35&gt;$G$13+$G$14,XX,AB35+1)</f>
        <v>2017</v>
      </c>
      <c r="AC36" s="117"/>
      <c r="AD36" s="151">
        <f t="shared" si="4"/>
        <v>296852</v>
      </c>
      <c r="AF36" s="154">
        <f t="shared" si="12"/>
        <v>67.416113531682555</v>
      </c>
      <c r="AH36" s="154">
        <f t="shared" si="13"/>
        <v>9.5045854758020791</v>
      </c>
      <c r="AJ36" s="154">
        <f t="shared" si="14"/>
        <v>2.6717916629577876</v>
      </c>
      <c r="AL36" s="153">
        <f t="shared" si="15"/>
        <v>6146.5321220669339</v>
      </c>
      <c r="AN36" s="154">
        <f>INDEX('(2.2)_Forward_Price_Curve'!$I:$I,MATCH($AB36,'(2.2)_Forward_Price_Curve'!$C:$C,0),1)</f>
        <v>8.5467545643478058</v>
      </c>
      <c r="AP36" s="154">
        <f t="shared" si="5"/>
        <v>62.100900972324112</v>
      </c>
      <c r="AR36" s="154">
        <f t="shared" si="18"/>
        <v>2.7656307623272274</v>
      </c>
      <c r="AS36" s="154"/>
      <c r="AT36" s="153">
        <f t="shared" si="6"/>
        <v>2504.3177586558122</v>
      </c>
      <c r="AV36" s="153">
        <f t="shared" si="7"/>
        <v>19255.75967849472</v>
      </c>
      <c r="AW36" s="273"/>
      <c r="AX36" s="155">
        <f t="shared" si="8"/>
        <v>21760.077437150532</v>
      </c>
      <c r="AZ36" s="146">
        <f>+IF(AZ35&gt;$G$13+$G$14,XX,AZ35+1)</f>
        <v>2017</v>
      </c>
      <c r="BA36" s="117"/>
      <c r="BB36" s="154">
        <f t="shared" si="16"/>
        <v>45.426557549474495</v>
      </c>
      <c r="BD36" s="154">
        <f t="shared" si="17"/>
        <v>6.9067989991453409</v>
      </c>
      <c r="BF36" s="153">
        <f t="shared" si="9"/>
        <v>3642.2143634111217</v>
      </c>
      <c r="BH36" s="157"/>
    </row>
    <row r="37" spans="2:60" ht="12">
      <c r="B37" s="2"/>
      <c r="C37">
        <f>+IF(C36&gt;$G$13+$G$14,XX,C36+1)</f>
        <v>2018</v>
      </c>
      <c r="E37" s="169">
        <f>'(2.2)_Forward_Price_Curve'!V32</f>
        <v>1.7999999999999999E-2</v>
      </c>
      <c r="G37" s="18">
        <v>296852</v>
      </c>
      <c r="I37" s="28">
        <f>I36*(1+$E37)</f>
        <v>196.91621482889829</v>
      </c>
      <c r="K37" s="28">
        <f t="shared" si="10"/>
        <v>8.5899966230313893</v>
      </c>
      <c r="M37" s="28">
        <f t="shared" si="11"/>
        <v>0</v>
      </c>
      <c r="O37" s="270">
        <v>6.1140068044318197</v>
      </c>
      <c r="Q37" s="28">
        <f>-'(2.2)_Forward_Price_Curve'!AO29</f>
        <v>-38.679108446550309</v>
      </c>
      <c r="S37" s="18">
        <f t="shared" si="0"/>
        <v>12377.647392934887</v>
      </c>
      <c r="U37" s="18">
        <f t="shared" si="1"/>
        <v>23028.66573203991</v>
      </c>
      <c r="W37" s="18">
        <f t="shared" si="2"/>
        <v>-10651.018339105023</v>
      </c>
      <c r="Y37" s="271">
        <f t="shared" si="3"/>
        <v>-35.879894152995512</v>
      </c>
      <c r="Z37" s="235"/>
      <c r="AB37" s="146">
        <f>+IF(AB36&gt;$G$13+$G$14,XX,AB36+1)</f>
        <v>2018</v>
      </c>
      <c r="AC37" s="117"/>
      <c r="AD37" s="151">
        <f t="shared" si="4"/>
        <v>296852</v>
      </c>
      <c r="AF37" s="154">
        <f t="shared" si="12"/>
        <v>68.629603575252844</v>
      </c>
      <c r="AH37" s="154">
        <f t="shared" si="13"/>
        <v>9.6756680143665168</v>
      </c>
      <c r="AJ37" s="154">
        <f t="shared" si="14"/>
        <v>2.7198839128910279</v>
      </c>
      <c r="AL37" s="153">
        <f t="shared" si="15"/>
        <v>6257.1697002641404</v>
      </c>
      <c r="AN37" s="154">
        <f>INDEX('(2.2)_Forward_Price_Curve'!$I:$I,MATCH($AB37,'(2.2)_Forward_Price_Curve'!$C:$C,0),1)</f>
        <v>9.1071488375904099</v>
      </c>
      <c r="AP37" s="154">
        <f t="shared" si="5"/>
        <v>66.172737715275218</v>
      </c>
      <c r="AR37" s="154">
        <f t="shared" si="18"/>
        <v>2.8154121160491177</v>
      </c>
      <c r="AS37" s="154"/>
      <c r="AT37" s="153">
        <f t="shared" si="6"/>
        <v>2549.3954783116183</v>
      </c>
      <c r="AV37" s="153">
        <f t="shared" si="7"/>
        <v>20479.270253728293</v>
      </c>
      <c r="AW37" s="273"/>
      <c r="AX37" s="155">
        <f t="shared" si="8"/>
        <v>23028.66573203991</v>
      </c>
      <c r="AZ37" s="146">
        <f>+IF(AZ36&gt;$G$13+$G$14,XX,AZ36+1)</f>
        <v>2018</v>
      </c>
      <c r="BA37" s="117"/>
      <c r="BB37" s="154">
        <f t="shared" si="16"/>
        <v>46.24423558536504</v>
      </c>
      <c r="BD37" s="154">
        <f t="shared" si="17"/>
        <v>7.0311213811299575</v>
      </c>
      <c r="BF37" s="153">
        <f t="shared" si="9"/>
        <v>3707.7742219525221</v>
      </c>
      <c r="BH37" s="157"/>
    </row>
    <row r="38" spans="2:60" ht="12">
      <c r="B38" s="2"/>
      <c r="C38" s="353">
        <f>+IF(C37&gt;$G$13+$G$14,XX,C37+1)</f>
        <v>2019</v>
      </c>
      <c r="E38" s="355">
        <v>1.7999999999999999E-2</v>
      </c>
      <c r="G38" s="357">
        <v>300110</v>
      </c>
      <c r="I38" s="538">
        <v>238.82270169413815</v>
      </c>
      <c r="K38" s="464">
        <v>11.441446066016971</v>
      </c>
      <c r="M38" s="28">
        <f t="shared" si="11"/>
        <v>0</v>
      </c>
      <c r="O38" s="464">
        <v>0.60999999999999988</v>
      </c>
      <c r="Q38" s="464">
        <v>-23.918536864642729</v>
      </c>
      <c r="S38" s="18">
        <f t="shared" si="0"/>
        <v>20082.014848144103</v>
      </c>
      <c r="U38" s="18">
        <f t="shared" si="1"/>
        <v>26991.33816395139</v>
      </c>
      <c r="W38" s="18">
        <f t="shared" si="2"/>
        <v>-6909.3233158072871</v>
      </c>
      <c r="Y38" s="271">
        <f t="shared" si="3"/>
        <v>-23.022636086126045</v>
      </c>
      <c r="Z38" s="235"/>
      <c r="AB38" s="377">
        <f>+IF(AB37&gt;$G$13+$G$14,XX,AB37+1)</f>
        <v>2019</v>
      </c>
      <c r="AC38" s="117"/>
      <c r="AD38" s="151">
        <f t="shared" si="4"/>
        <v>300110</v>
      </c>
      <c r="AF38" s="399">
        <f>AR15*AR16</f>
        <v>98.875745606933918</v>
      </c>
      <c r="AH38" s="399">
        <f>AV11</f>
        <v>19.805241420865066</v>
      </c>
      <c r="AJ38" s="399">
        <f>AV13</f>
        <v>2.02116486562735</v>
      </c>
      <c r="AL38" s="153">
        <f t="shared" si="15"/>
        <v>8866.3438361702501</v>
      </c>
      <c r="AN38" s="399">
        <f>INDEX('(2.2)_Forward_Price_Curve'!$I:$I,MATCH($AB38,'(2.2)_Forward_Price_Curve'!$C:$C,0),1)</f>
        <v>9.7289597532905745</v>
      </c>
      <c r="AP38" s="154">
        <f t="shared" si="5"/>
        <v>70.69082909237946</v>
      </c>
      <c r="AR38" s="399">
        <f>AV15</f>
        <v>2.2807762714164963</v>
      </c>
      <c r="AS38" s="154"/>
      <c r="AT38" s="153">
        <f t="shared" si="6"/>
        <v>5091.8296782225825</v>
      </c>
      <c r="AV38" s="153">
        <f t="shared" si="7"/>
        <v>21899.508485728806</v>
      </c>
      <c r="AW38" s="273"/>
      <c r="AX38" s="155">
        <f t="shared" si="8"/>
        <v>26991.33816395139</v>
      </c>
      <c r="AZ38" s="383">
        <f>+IF(AZ37&gt;$G$13+$G$14,XX,AZ37+1)</f>
        <v>2019</v>
      </c>
      <c r="BA38" s="117"/>
      <c r="BB38" s="399">
        <f t="shared" si="16"/>
        <v>47.076631825901615</v>
      </c>
      <c r="BD38" s="399">
        <f t="shared" si="17"/>
        <v>7.1576815659902966</v>
      </c>
      <c r="BF38" s="153">
        <f t="shared" si="9"/>
        <v>3774.5141579476681</v>
      </c>
      <c r="BH38" s="157"/>
    </row>
    <row r="39" spans="2:60" ht="12">
      <c r="B39" s="2"/>
      <c r="C39" s="354">
        <f>+IF(C38&gt;$I$13+$I$14,XX,C38+1)</f>
        <v>2020</v>
      </c>
      <c r="E39" s="356">
        <f>'(2.2)_Forward_Price_Curve'!S33</f>
        <v>2.3E-2</v>
      </c>
      <c r="G39" s="550">
        <v>323504</v>
      </c>
      <c r="I39" s="360">
        <v>283.25304875639779</v>
      </c>
      <c r="K39" s="471">
        <v>13.948531212618695</v>
      </c>
      <c r="M39" s="28">
        <f t="shared" si="11"/>
        <v>0</v>
      </c>
      <c r="O39" s="471">
        <v>0.63</v>
      </c>
      <c r="Q39" s="471">
        <v>-40.290737965156573</v>
      </c>
      <c r="S39" s="18">
        <f t="shared" si="0"/>
        <v>19724.050093610364</v>
      </c>
      <c r="U39" s="18">
        <f t="shared" si="1"/>
        <v>12345.593464126381</v>
      </c>
      <c r="W39" s="18">
        <f t="shared" si="2"/>
        <v>7378.4566294839824</v>
      </c>
      <c r="Y39" s="271">
        <f t="shared" si="3"/>
        <v>22.807930132189963</v>
      </c>
      <c r="Z39" s="235"/>
      <c r="AB39" s="378">
        <f>+IF(AB38&gt;$I$13+$I$14,XX,AB38+1)</f>
        <v>2020</v>
      </c>
      <c r="AC39" s="117"/>
      <c r="AD39" s="151">
        <f t="shared" si="4"/>
        <v>323504</v>
      </c>
      <c r="AF39" s="154">
        <f t="shared" ref="AF39:AF68" si="19">AF38*(1+$E39)</f>
        <v>101.14988775589339</v>
      </c>
      <c r="AH39" s="154">
        <f t="shared" ref="AH39:AH68" si="20">AH38*(1+$E39)</f>
        <v>20.260761973544962</v>
      </c>
      <c r="AJ39" s="154">
        <f t="shared" ref="AJ39:AJ68" si="21">AJ38*(1+$E39)</f>
        <v>2.0676516575367789</v>
      </c>
      <c r="AL39" s="153">
        <f t="shared" si="15"/>
        <v>9118.6403872785813</v>
      </c>
      <c r="AN39" s="154">
        <f>INDEX('(2.2)_Forward_Price_Curve'!$K:$K,MATCH($AB39,'(2.2)_Forward_Price_Curve'!$C:$C,0),1)</f>
        <v>2.6944208333333339</v>
      </c>
      <c r="AP39" s="154">
        <f t="shared" si="5"/>
        <v>19.577719248729689</v>
      </c>
      <c r="AR39" s="154">
        <f>AR38*(1+$E39)</f>
        <v>2.3332341256590756</v>
      </c>
      <c r="AS39" s="154"/>
      <c r="AT39" s="153">
        <f t="shared" si="6"/>
        <v>5257.3124036981171</v>
      </c>
      <c r="AV39" s="153">
        <f t="shared" si="7"/>
        <v>7088.2810604282631</v>
      </c>
      <c r="AW39" s="273"/>
      <c r="AX39" s="155">
        <f t="shared" si="8"/>
        <v>12345.593464126381</v>
      </c>
      <c r="AZ39" s="384">
        <f>+IF(AZ38&gt;$I$13+$I$14,XX,AZ38+1)</f>
        <v>2020</v>
      </c>
      <c r="BA39" s="117"/>
      <c r="BB39" s="154">
        <f t="shared" si="16"/>
        <v>48.159394357897348</v>
      </c>
      <c r="BD39" s="154">
        <f t="shared" si="17"/>
        <v>7.3223082420080727</v>
      </c>
      <c r="BF39" s="153">
        <f t="shared" si="9"/>
        <v>3861.3279835804638</v>
      </c>
      <c r="BH39" s="157"/>
    </row>
    <row r="40" spans="2:60" ht="12">
      <c r="B40" s="2"/>
      <c r="C40" s="354">
        <f>+IF(C39&gt;$I$13+$I$14,XX,C39+1)</f>
        <v>2021</v>
      </c>
      <c r="E40" s="356">
        <f>'(2.2)_Forward_Price_Curve'!S34</f>
        <v>2.5999999999999999E-2</v>
      </c>
      <c r="G40" s="550">
        <v>323526.99999999994</v>
      </c>
      <c r="I40" s="360">
        <v>290.07035580341812</v>
      </c>
      <c r="J40" s="271"/>
      <c r="K40" s="471">
        <v>14.244270562919027</v>
      </c>
      <c r="M40" s="28">
        <f t="shared" si="11"/>
        <v>0</v>
      </c>
      <c r="O40" s="471">
        <v>0.6399999999999999</v>
      </c>
      <c r="Q40" s="471">
        <v>-41.902367483762838</v>
      </c>
      <c r="S40" s="18">
        <f t="shared" si="0"/>
        <v>19975.881382028558</v>
      </c>
      <c r="U40" s="18">
        <f t="shared" si="1"/>
        <v>12931.103218580038</v>
      </c>
      <c r="W40" s="18">
        <f t="shared" si="2"/>
        <v>7044.77816344852</v>
      </c>
      <c r="Y40" s="271">
        <f t="shared" si="3"/>
        <v>21.774931191055217</v>
      </c>
      <c r="Z40" s="235"/>
      <c r="AB40" s="378">
        <f>+IF(AB39&gt;$I$13+$I$14,XX,AB39+1)</f>
        <v>2021</v>
      </c>
      <c r="AC40" s="117"/>
      <c r="AD40" s="151">
        <f t="shared" si="4"/>
        <v>323526.99999999994</v>
      </c>
      <c r="AF40" s="154">
        <f t="shared" si="19"/>
        <v>103.77978483754661</v>
      </c>
      <c r="AH40" s="154">
        <f t="shared" si="20"/>
        <v>20.787541784857133</v>
      </c>
      <c r="AJ40" s="154">
        <f t="shared" si="21"/>
        <v>2.1214106006327351</v>
      </c>
      <c r="AL40" s="153">
        <f t="shared" si="15"/>
        <v>9355.7738297916385</v>
      </c>
      <c r="AN40" s="154">
        <f>INDEX('(2.2)_Forward_Price_Curve'!$K:$K,MATCH($AB40,'(2.2)_Forward_Price_Curve'!$C:$C,0),1)</f>
        <v>2.8767624999999999</v>
      </c>
      <c r="AP40" s="154">
        <f t="shared" si="5"/>
        <v>20.902617688194734</v>
      </c>
      <c r="AR40" s="154">
        <f t="shared" si="18"/>
        <v>2.3938982129262119</v>
      </c>
      <c r="AS40" s="154"/>
      <c r="AT40" s="153">
        <f t="shared" si="6"/>
        <v>5394.0513186380822</v>
      </c>
      <c r="AV40" s="153">
        <f t="shared" si="7"/>
        <v>7537.0518999419555</v>
      </c>
      <c r="AW40" s="273"/>
      <c r="AX40" s="155">
        <f t="shared" si="8"/>
        <v>12931.103218580038</v>
      </c>
      <c r="AZ40" s="384">
        <f>+IF(AZ39&gt;$I$13+$I$14,XX,AZ39+1)</f>
        <v>2021</v>
      </c>
      <c r="BA40" s="117"/>
      <c r="BB40" s="154">
        <f t="shared" si="16"/>
        <v>49.41153861120268</v>
      </c>
      <c r="BD40" s="154">
        <f t="shared" si="17"/>
        <v>7.512688256300283</v>
      </c>
      <c r="BF40" s="153">
        <f t="shared" si="9"/>
        <v>3961.7225111535563</v>
      </c>
      <c r="BH40" s="157"/>
    </row>
    <row r="41" spans="2:60" ht="12">
      <c r="B41" s="2"/>
      <c r="C41" s="354">
        <f>+IF(C40&gt;$I$13+$I$14,XX,C40+1)</f>
        <v>2022</v>
      </c>
      <c r="E41" s="356">
        <f>'(2.2)_Forward_Price_Curve'!S35</f>
        <v>2.4E-2</v>
      </c>
      <c r="G41" s="550">
        <v>323526.99999999994</v>
      </c>
      <c r="I41" s="360">
        <v>296.63370834781568</v>
      </c>
      <c r="K41" s="471">
        <v>14.571888785866161</v>
      </c>
      <c r="M41" s="28">
        <f t="shared" si="11"/>
        <v>0</v>
      </c>
      <c r="O41" s="471">
        <v>0.66</v>
      </c>
      <c r="Q41" s="471">
        <v>-41.902367483762838</v>
      </c>
      <c r="S41" s="18">
        <f t="shared" si="0"/>
        <v>20738.117164739338</v>
      </c>
      <c r="U41" s="18">
        <f t="shared" si="1"/>
        <v>13392.014006033689</v>
      </c>
      <c r="W41" s="18">
        <f t="shared" si="2"/>
        <v>7346.1031587056495</v>
      </c>
      <c r="Y41" s="271">
        <f t="shared" si="3"/>
        <v>22.706306301191713</v>
      </c>
      <c r="Z41" s="235"/>
      <c r="AB41" s="378">
        <f>+IF(AB40&gt;$I$13+$I$14,XX,AB40+1)</f>
        <v>2022</v>
      </c>
      <c r="AC41" s="117"/>
      <c r="AD41" s="151">
        <f t="shared" si="4"/>
        <v>323526.99999999994</v>
      </c>
      <c r="AF41" s="154">
        <f t="shared" si="19"/>
        <v>106.27049967364773</v>
      </c>
      <c r="AH41" s="154">
        <f t="shared" si="20"/>
        <v>21.286442787693705</v>
      </c>
      <c r="AJ41" s="154">
        <f t="shared" si="21"/>
        <v>2.1723244550479208</v>
      </c>
      <c r="AL41" s="153">
        <f t="shared" si="15"/>
        <v>9580.3124017066384</v>
      </c>
      <c r="AN41" s="154">
        <f>INDEX('(2.2)_Forward_Price_Curve'!$K:$K,MATCH($AB41,'(2.2)_Forward_Price_Curve'!$C:$C,0),1)</f>
        <v>3.0098541666666665</v>
      </c>
      <c r="AP41" s="154">
        <f t="shared" si="5"/>
        <v>21.869664577125601</v>
      </c>
      <c r="AR41" s="154">
        <f t="shared" si="18"/>
        <v>2.4513517700364411</v>
      </c>
      <c r="AS41" s="154"/>
      <c r="AT41" s="153">
        <f t="shared" si="6"/>
        <v>5523.5085502853963</v>
      </c>
      <c r="AV41" s="153">
        <f t="shared" si="7"/>
        <v>7868.5054557482927</v>
      </c>
      <c r="AW41" s="273"/>
      <c r="AX41" s="155">
        <f t="shared" si="8"/>
        <v>13392.014006033689</v>
      </c>
      <c r="AZ41" s="384">
        <f>+IF(AZ40&gt;$I$13+$I$14,XX,AZ40+1)</f>
        <v>2022</v>
      </c>
      <c r="BA41" s="117"/>
      <c r="BB41" s="154">
        <f t="shared" si="16"/>
        <v>50.597415537871548</v>
      </c>
      <c r="BD41" s="154">
        <f t="shared" si="17"/>
        <v>7.6929927744514899</v>
      </c>
      <c r="BF41" s="153">
        <f t="shared" si="9"/>
        <v>4056.8038514212417</v>
      </c>
      <c r="BH41" s="157"/>
    </row>
    <row r="42" spans="2:60" ht="12">
      <c r="B42" s="2"/>
      <c r="C42" s="354">
        <f>+IF(C41&gt;$I$13+$I$14,XX,C41+1)</f>
        <v>2023</v>
      </c>
      <c r="E42" s="356">
        <f>'(2.2)_Forward_Price_Curve'!S36</f>
        <v>2.3E-2</v>
      </c>
      <c r="G42" s="550">
        <v>323526.99999999994</v>
      </c>
      <c r="I42" s="360">
        <v>303.13156013678554</v>
      </c>
      <c r="K42" s="471">
        <v>14.90704222794108</v>
      </c>
      <c r="M42" s="28">
        <f t="shared" si="11"/>
        <v>0</v>
      </c>
      <c r="O42" s="471">
        <v>0.67</v>
      </c>
      <c r="Q42" s="471">
        <v>-43.513997002369088</v>
      </c>
      <c r="S42" s="18">
        <f t="shared" si="0"/>
        <v>20971.665286235399</v>
      </c>
      <c r="U42" s="18">
        <f t="shared" si="1"/>
        <v>14635.675558315965</v>
      </c>
      <c r="W42" s="18">
        <f t="shared" si="2"/>
        <v>6335.9897279194338</v>
      </c>
      <c r="Y42" s="271">
        <f t="shared" si="3"/>
        <v>19.584114240602595</v>
      </c>
      <c r="Z42" s="235"/>
      <c r="AB42" s="378">
        <f>+IF(AB41&gt;$I$13+$I$14,XX,AB41+1)</f>
        <v>2023</v>
      </c>
      <c r="AC42" s="117"/>
      <c r="AD42" s="151">
        <f t="shared" si="4"/>
        <v>323526.99999999994</v>
      </c>
      <c r="AF42" s="154">
        <f t="shared" si="19"/>
        <v>108.71472116614163</v>
      </c>
      <c r="AH42" s="154">
        <f t="shared" si="20"/>
        <v>21.776030971810659</v>
      </c>
      <c r="AJ42" s="154">
        <f t="shared" si="21"/>
        <v>2.2222879175140227</v>
      </c>
      <c r="AL42" s="153">
        <f t="shared" si="15"/>
        <v>9800.6595869458888</v>
      </c>
      <c r="AN42" s="154">
        <f>INDEX('(2.2)_Forward_Price_Curve'!$K:$K,MATCH($AB42,'(2.2)_Forward_Price_Curve'!$C:$C,0),1)</f>
        <v>3.4771000000000001</v>
      </c>
      <c r="AP42" s="154">
        <f t="shared" si="5"/>
        <v>25.264682768779807</v>
      </c>
      <c r="AR42" s="154">
        <f t="shared" si="18"/>
        <v>2.5077328607472791</v>
      </c>
      <c r="AS42" s="154"/>
      <c r="AT42" s="153">
        <f t="shared" si="6"/>
        <v>5650.5492469419587</v>
      </c>
      <c r="AV42" s="153">
        <f t="shared" si="7"/>
        <v>8985.126311374006</v>
      </c>
      <c r="AW42" s="273"/>
      <c r="AX42" s="155">
        <f t="shared" si="8"/>
        <v>14635.675558315965</v>
      </c>
      <c r="AZ42" s="384">
        <f>+IF(AZ41&gt;$I$13+$I$14,XX,AZ41+1)</f>
        <v>2023</v>
      </c>
      <c r="BA42" s="117"/>
      <c r="BB42" s="154">
        <f t="shared" si="16"/>
        <v>51.76115609524259</v>
      </c>
      <c r="BD42" s="154">
        <f t="shared" si="17"/>
        <v>7.8699316082638733</v>
      </c>
      <c r="BF42" s="153">
        <f t="shared" si="9"/>
        <v>4150.1103400039301</v>
      </c>
      <c r="BH42" s="157"/>
    </row>
    <row r="43" spans="2:60" ht="12">
      <c r="B43" s="2"/>
      <c r="C43" s="354">
        <f>+IF(C42&gt;$I$13+$I$14,XX,C42+1)</f>
        <v>2024</v>
      </c>
      <c r="E43" s="356">
        <f>'(2.2)_Forward_Price_Curve'!S37</f>
        <v>2.3E-2</v>
      </c>
      <c r="G43" s="550">
        <v>323504</v>
      </c>
      <c r="I43" s="360">
        <v>309.77269277034418</v>
      </c>
      <c r="K43" s="471">
        <v>15.291684758633545</v>
      </c>
      <c r="M43" s="28">
        <f>M42*(1+$E43)</f>
        <v>0</v>
      </c>
      <c r="O43" s="471">
        <v>0.69</v>
      </c>
      <c r="Q43" s="471">
        <v>-43.513997002369095</v>
      </c>
      <c r="S43" s="18">
        <f t="shared" si="0"/>
        <v>21760.683444166647</v>
      </c>
      <c r="U43" s="18">
        <f t="shared" si="1"/>
        <v>15904.091783836382</v>
      </c>
      <c r="W43" s="18">
        <f t="shared" si="2"/>
        <v>5856.5916603302649</v>
      </c>
      <c r="Y43" s="271">
        <f t="shared" si="3"/>
        <v>18.103614361276104</v>
      </c>
      <c r="Z43" s="235"/>
      <c r="AB43" s="378">
        <f>+IF(AB42&gt;$I$13+$I$14,XX,AB42+1)</f>
        <v>2024</v>
      </c>
      <c r="AC43" s="117"/>
      <c r="AD43" s="151">
        <f t="shared" si="4"/>
        <v>323504</v>
      </c>
      <c r="AF43" s="154">
        <f t="shared" si="19"/>
        <v>111.21515975296288</v>
      </c>
      <c r="AH43" s="154">
        <f t="shared" si="20"/>
        <v>22.276879684162303</v>
      </c>
      <c r="AJ43" s="154">
        <f t="shared" si="21"/>
        <v>2.2734005396168451</v>
      </c>
      <c r="AL43" s="153">
        <f t="shared" si="15"/>
        <v>10026.022469233234</v>
      </c>
      <c r="AN43" s="154">
        <f>INDEX('(2.2)_Forward_Price_Curve'!$K:$K,MATCH($AB43,'(2.2)_Forward_Price_Curve'!$C:$C,0),1)</f>
        <v>3.9537833333333325</v>
      </c>
      <c r="AP43" s="154">
        <f t="shared" si="5"/>
        <v>28.728274036741947</v>
      </c>
      <c r="AR43" s="154">
        <f t="shared" si="18"/>
        <v>2.5654107165444664</v>
      </c>
      <c r="AS43" s="154"/>
      <c r="AT43" s="153">
        <f t="shared" si="6"/>
        <v>5780.4595914092142</v>
      </c>
      <c r="AV43" s="153">
        <f t="shared" si="7"/>
        <v>10123.632192427167</v>
      </c>
      <c r="AW43" s="273"/>
      <c r="AX43" s="155">
        <f t="shared" si="8"/>
        <v>15904.091783836382</v>
      </c>
      <c r="AZ43" s="384">
        <f>+IF(AZ42&gt;$I$13+$I$14,XX,AZ42+1)</f>
        <v>2024</v>
      </c>
      <c r="BA43" s="117"/>
      <c r="BB43" s="154">
        <f t="shared" si="16"/>
        <v>52.951662685433163</v>
      </c>
      <c r="BD43" s="154">
        <f t="shared" si="17"/>
        <v>8.0509400352539409</v>
      </c>
      <c r="BF43" s="153">
        <f t="shared" si="9"/>
        <v>4245.5628778240198</v>
      </c>
      <c r="BH43" s="157"/>
    </row>
    <row r="44" spans="2:60" ht="12">
      <c r="B44" s="2"/>
      <c r="C44" s="354">
        <f>+IF(C43&gt;$I$13+$I$14,XX,C43+1)</f>
        <v>2025</v>
      </c>
      <c r="E44" s="356">
        <f>'(2.2)_Forward_Price_Curve'!S38</f>
        <v>2.3E-2</v>
      </c>
      <c r="G44" s="550">
        <v>323526.99999999994</v>
      </c>
      <c r="I44" s="360">
        <v>316.56028448273253</v>
      </c>
      <c r="K44" s="471">
        <v>15.585402091565765</v>
      </c>
      <c r="M44" s="28">
        <f t="shared" si="11"/>
        <v>0</v>
      </c>
      <c r="O44" s="471">
        <v>0.69999999999999984</v>
      </c>
      <c r="Q44" s="471">
        <v>-45.125626520975359</v>
      </c>
      <c r="S44" s="18">
        <f t="shared" si="0"/>
        <v>22008.876874816924</v>
      </c>
      <c r="U44" s="18">
        <f t="shared" si="1"/>
        <v>16421.007554622633</v>
      </c>
      <c r="W44" s="18">
        <f t="shared" si="2"/>
        <v>5587.8693201942915</v>
      </c>
      <c r="Y44" s="271">
        <f t="shared" si="3"/>
        <v>17.271724833458393</v>
      </c>
      <c r="Z44" s="235"/>
      <c r="AB44" s="378">
        <f>+IF(AB43&gt;$I$13+$I$14,XX,AB43+1)</f>
        <v>2025</v>
      </c>
      <c r="AC44" s="117"/>
      <c r="AD44" s="151">
        <f t="shared" si="4"/>
        <v>323526.99999999994</v>
      </c>
      <c r="AF44" s="154">
        <f t="shared" si="19"/>
        <v>113.77310842728102</v>
      </c>
      <c r="AH44" s="154">
        <f t="shared" si="20"/>
        <v>22.789247916898034</v>
      </c>
      <c r="AJ44" s="154">
        <f t="shared" si="21"/>
        <v>2.3256887520280323</v>
      </c>
      <c r="AL44" s="153">
        <f t="shared" si="15"/>
        <v>10256.674476866896</v>
      </c>
      <c r="AN44" s="154">
        <f>INDEX('(2.2)_Forward_Price_Curve'!$K:$K,MATCH($AB44,'(2.2)_Forward_Price_Curve'!$C:$C,0),1)</f>
        <v>4.1086708333333339</v>
      </c>
      <c r="AP44" s="154">
        <f t="shared" si="5"/>
        <v>29.853689915591971</v>
      </c>
      <c r="AR44" s="154">
        <f t="shared" si="18"/>
        <v>2.624415163024989</v>
      </c>
      <c r="AS44" s="154"/>
      <c r="AT44" s="153">
        <f t="shared" si="6"/>
        <v>5913.4636528529236</v>
      </c>
      <c r="AV44" s="153">
        <f t="shared" si="7"/>
        <v>10507.543901769708</v>
      </c>
      <c r="AW44" s="273"/>
      <c r="AX44" s="155">
        <f t="shared" si="8"/>
        <v>16421.007554622633</v>
      </c>
      <c r="AZ44" s="384">
        <f>+IF(AZ43&gt;$I$13+$I$14,XX,AZ43+1)</f>
        <v>2025</v>
      </c>
      <c r="BA44" s="117"/>
      <c r="BB44" s="154">
        <f t="shared" si="16"/>
        <v>54.169550927198124</v>
      </c>
      <c r="BD44" s="154">
        <f t="shared" si="17"/>
        <v>8.2361116560647805</v>
      </c>
      <c r="BF44" s="153">
        <f t="shared" si="9"/>
        <v>4343.2108240139723</v>
      </c>
      <c r="BH44" s="157"/>
    </row>
    <row r="45" spans="2:60" ht="12">
      <c r="B45" s="2"/>
      <c r="C45" s="354">
        <f>+IF(C44&gt;$I$13+$I$14,XX,C44+1)</f>
        <v>2026</v>
      </c>
      <c r="E45" s="356">
        <f>'(2.2)_Forward_Price_Curve'!S39</f>
        <v>2.3E-2</v>
      </c>
      <c r="G45" s="550">
        <v>323526.99999999994</v>
      </c>
      <c r="I45" s="360">
        <v>323.49758438030051</v>
      </c>
      <c r="K45" s="471">
        <v>15.928280937580212</v>
      </c>
      <c r="M45" s="28">
        <f t="shared" si="11"/>
        <v>0</v>
      </c>
      <c r="O45" s="471">
        <v>0.72</v>
      </c>
      <c r="Q45" s="471">
        <v>-46.737256039581631</v>
      </c>
      <c r="S45" s="18">
        <f t="shared" si="0"/>
        <v>22291.665005824536</v>
      </c>
      <c r="U45" s="18">
        <f t="shared" si="1"/>
        <v>16759.503040741736</v>
      </c>
      <c r="W45" s="18">
        <f t="shared" si="2"/>
        <v>5532.1619650827997</v>
      </c>
      <c r="Y45" s="271">
        <f t="shared" si="3"/>
        <v>17.099537179533087</v>
      </c>
      <c r="Z45" s="235"/>
      <c r="AB45" s="378">
        <f>+IF(AB44&gt;$I$13+$I$14,XX,AB44+1)</f>
        <v>2026</v>
      </c>
      <c r="AC45" s="117"/>
      <c r="AD45" s="151">
        <f t="shared" si="4"/>
        <v>323526.99999999994</v>
      </c>
      <c r="AF45" s="154">
        <f t="shared" si="19"/>
        <v>116.38988992110846</v>
      </c>
      <c r="AH45" s="154">
        <f t="shared" si="20"/>
        <v>23.313400618986687</v>
      </c>
      <c r="AJ45" s="154">
        <f t="shared" si="21"/>
        <v>2.3791795933246767</v>
      </c>
      <c r="AL45" s="153">
        <f t="shared" si="15"/>
        <v>10492.57798983483</v>
      </c>
      <c r="AN45" s="154">
        <f>INDEX('(2.2)_Forward_Price_Curve'!$K:$K,MATCH($AB45,'(2.2)_Forward_Price_Curve'!$C:$C,0),1)</f>
        <v>4.1864999999999997</v>
      </c>
      <c r="AP45" s="154">
        <f t="shared" si="5"/>
        <v>30.419198300738156</v>
      </c>
      <c r="AR45" s="154">
        <f t="shared" si="18"/>
        <v>2.6847767117745636</v>
      </c>
      <c r="AS45" s="154"/>
      <c r="AT45" s="153">
        <f t="shared" si="6"/>
        <v>6049.473316868537</v>
      </c>
      <c r="AV45" s="153">
        <f t="shared" si="7"/>
        <v>10710.0297238732</v>
      </c>
      <c r="AW45" s="273"/>
      <c r="AX45" s="155">
        <f t="shared" si="8"/>
        <v>16759.503040741736</v>
      </c>
      <c r="AZ45" s="384">
        <f>+IF(AZ44&gt;$I$13+$I$14,XX,AZ44+1)</f>
        <v>2026</v>
      </c>
      <c r="BA45" s="117"/>
      <c r="BB45" s="154">
        <f t="shared" si="16"/>
        <v>55.415450598523677</v>
      </c>
      <c r="BD45" s="154">
        <f t="shared" si="17"/>
        <v>8.4255422241542703</v>
      </c>
      <c r="BF45" s="153">
        <f t="shared" si="9"/>
        <v>4443.104672966293</v>
      </c>
      <c r="BH45" s="157"/>
    </row>
    <row r="46" spans="2:60" ht="12">
      <c r="B46" s="2"/>
      <c r="C46" s="354">
        <f>+IF(C45&gt;$I$13+$I$14,XX,C45+1)</f>
        <v>2027</v>
      </c>
      <c r="E46" s="356">
        <f>'(2.2)_Forward_Price_Curve'!S40</f>
        <v>2.1999999999999999E-2</v>
      </c>
      <c r="G46" s="550">
        <v>323526.99999999994</v>
      </c>
      <c r="I46" s="360">
        <v>330.3519451428171</v>
      </c>
      <c r="K46" s="471">
        <v>16.278703118206973</v>
      </c>
      <c r="M46" s="28">
        <f t="shared" si="11"/>
        <v>0</v>
      </c>
      <c r="O46" s="471">
        <v>0.74</v>
      </c>
      <c r="Q46" s="471">
        <v>-46.737256039581631</v>
      </c>
      <c r="S46" s="18">
        <f t="shared" si="0"/>
        <v>23090.088298145318</v>
      </c>
      <c r="U46" s="18">
        <f t="shared" si="1"/>
        <v>17548.314194440925</v>
      </c>
      <c r="W46" s="18">
        <f t="shared" si="2"/>
        <v>5541.7741037043925</v>
      </c>
      <c r="Y46" s="271">
        <f t="shared" si="3"/>
        <v>17.129247647659682</v>
      </c>
      <c r="Z46" s="235"/>
      <c r="AB46" s="378">
        <f>+IF(AB45&gt;$I$13+$I$14,XX,AB45+1)</f>
        <v>2027</v>
      </c>
      <c r="AC46" s="117"/>
      <c r="AD46" s="151">
        <f t="shared" si="4"/>
        <v>323526.99999999994</v>
      </c>
      <c r="AF46" s="154">
        <f t="shared" si="19"/>
        <v>118.95046749937285</v>
      </c>
      <c r="AH46" s="154">
        <f t="shared" si="20"/>
        <v>23.826295432604393</v>
      </c>
      <c r="AJ46" s="154">
        <f t="shared" si="21"/>
        <v>2.4315215443778198</v>
      </c>
      <c r="AL46" s="153">
        <f t="shared" si="15"/>
        <v>10723.414705611198</v>
      </c>
      <c r="AN46" s="154">
        <f>INDEX('(2.2)_Forward_Price_Curve'!$K:$K,MATCH($AB46,'(2.2)_Forward_Price_Curve'!$C:$C,0),1)</f>
        <v>4.4573125000000005</v>
      </c>
      <c r="AP46" s="154">
        <f t="shared" si="5"/>
        <v>32.386927702343002</v>
      </c>
      <c r="AR46" s="154">
        <f t="shared" si="18"/>
        <v>2.743841799433604</v>
      </c>
      <c r="AS46" s="154"/>
      <c r="AT46" s="153">
        <f t="shared" si="6"/>
        <v>6182.5617298396455</v>
      </c>
      <c r="AV46" s="153">
        <f t="shared" si="7"/>
        <v>11365.752464601279</v>
      </c>
      <c r="AW46" s="273"/>
      <c r="AX46" s="155">
        <f t="shared" si="8"/>
        <v>17548.314194440925</v>
      </c>
      <c r="AZ46" s="384">
        <f>+IF(AZ45&gt;$I$13+$I$14,XX,AZ45+1)</f>
        <v>2027</v>
      </c>
      <c r="BA46" s="117"/>
      <c r="BB46" s="154">
        <f t="shared" si="16"/>
        <v>56.634590511691201</v>
      </c>
      <c r="BD46" s="154">
        <f t="shared" si="17"/>
        <v>8.6109041530856647</v>
      </c>
      <c r="BF46" s="153">
        <f t="shared" si="9"/>
        <v>4540.8529757715523</v>
      </c>
      <c r="BH46" s="157"/>
    </row>
    <row r="47" spans="2:60" ht="12">
      <c r="B47" s="2"/>
      <c r="C47" s="354">
        <f>+IF(C46&gt;$I$13+$I$14,XX,C46+1)</f>
        <v>2028</v>
      </c>
      <c r="E47" s="356">
        <f>'(2.2)_Forward_Price_Curve'!S41</f>
        <v>2.1999999999999999E-2</v>
      </c>
      <c r="G47" s="550">
        <v>323504</v>
      </c>
      <c r="I47" s="360">
        <v>337.35211270632595</v>
      </c>
      <c r="K47" s="471">
        <v>16.682414955538515</v>
      </c>
      <c r="M47" s="28">
        <f t="shared" si="11"/>
        <v>0</v>
      </c>
      <c r="O47" s="471">
        <v>0.75000000000000011</v>
      </c>
      <c r="Q47" s="471">
        <v>-48.348885558187895</v>
      </c>
      <c r="S47" s="18">
        <f t="shared" si="0"/>
        <v>23396.257252086787</v>
      </c>
      <c r="U47" s="18">
        <f t="shared" si="1"/>
        <v>18070.370707332302</v>
      </c>
      <c r="W47" s="18">
        <f t="shared" si="2"/>
        <v>5325.8865447544849</v>
      </c>
      <c r="Y47" s="271">
        <f t="shared" si="3"/>
        <v>16.463124241908861</v>
      </c>
      <c r="Z47" s="235"/>
      <c r="AB47" s="378">
        <f>+IF(AB46&gt;$I$13+$I$14,XX,AB46+1)</f>
        <v>2028</v>
      </c>
      <c r="AC47" s="117"/>
      <c r="AD47" s="151">
        <f t="shared" si="4"/>
        <v>323504</v>
      </c>
      <c r="AF47" s="154">
        <f t="shared" si="19"/>
        <v>121.56737778435905</v>
      </c>
      <c r="AH47" s="154">
        <f t="shared" si="20"/>
        <v>24.350473932121691</v>
      </c>
      <c r="AJ47" s="154">
        <f t="shared" si="21"/>
        <v>2.4850150183541317</v>
      </c>
      <c r="AL47" s="153">
        <f t="shared" si="15"/>
        <v>10959.272673789224</v>
      </c>
      <c r="AN47" s="154">
        <f>INDEX('(2.2)_Forward_Price_Curve'!$K:$K,MATCH($AB47,'(2.2)_Forward_Price_Curve'!$C:$C,0),1)</f>
        <v>4.6136041666666676</v>
      </c>
      <c r="AP47" s="154">
        <f t="shared" si="5"/>
        <v>33.522546286144795</v>
      </c>
      <c r="AR47" s="154">
        <f t="shared" si="18"/>
        <v>2.8042063190211435</v>
      </c>
      <c r="AS47" s="154"/>
      <c r="AT47" s="153">
        <f t="shared" si="6"/>
        <v>6318.5209325506985</v>
      </c>
      <c r="AV47" s="153">
        <f t="shared" si="7"/>
        <v>11751.849774781602</v>
      </c>
      <c r="AW47" s="273"/>
      <c r="AX47" s="155">
        <f t="shared" si="8"/>
        <v>18070.370707332302</v>
      </c>
      <c r="AZ47" s="384">
        <f>+IF(AZ46&gt;$I$13+$I$14,XX,AZ46+1)</f>
        <v>2028</v>
      </c>
      <c r="BA47" s="117"/>
      <c r="BB47" s="154">
        <f t="shared" si="16"/>
        <v>57.880551502948407</v>
      </c>
      <c r="BD47" s="154">
        <f t="shared" si="17"/>
        <v>8.8003440444535492</v>
      </c>
      <c r="BF47" s="153">
        <f t="shared" si="9"/>
        <v>4640.7517412385259</v>
      </c>
      <c r="BH47" s="157"/>
    </row>
    <row r="48" spans="2:60" ht="12">
      <c r="B48" s="2"/>
      <c r="C48" s="354">
        <f>+IF(C47&gt;$I$13+$I$14,XX,C47+1)</f>
        <v>2029</v>
      </c>
      <c r="E48" s="356">
        <f>'(2.2)_Forward_Price_Curve'!S42</f>
        <v>2.1999999999999999E-2</v>
      </c>
      <c r="G48" s="550">
        <v>323526.99999999994</v>
      </c>
      <c r="I48" s="360">
        <v>344.50120002686896</v>
      </c>
      <c r="K48" s="471">
        <v>16.986208113130488</v>
      </c>
      <c r="M48" s="28">
        <f t="shared" si="11"/>
        <v>0</v>
      </c>
      <c r="O48" s="471">
        <v>0.76999999999999991</v>
      </c>
      <c r="Q48" s="471">
        <v>-48.348885558187895</v>
      </c>
      <c r="S48" s="18">
        <f t="shared" si="0"/>
        <v>24208.06164689294</v>
      </c>
      <c r="U48" s="18">
        <f t="shared" si="1"/>
        <v>18560.659168789549</v>
      </c>
      <c r="W48" s="18">
        <f t="shared" si="2"/>
        <v>5647.4024781033913</v>
      </c>
      <c r="Y48" s="271">
        <f t="shared" si="3"/>
        <v>17.455737784183057</v>
      </c>
      <c r="Z48" s="235"/>
      <c r="AB48" s="378">
        <f>+IF(AB47&gt;$I$13+$I$14,XX,AB47+1)</f>
        <v>2029</v>
      </c>
      <c r="AC48" s="117"/>
      <c r="AD48" s="151">
        <f t="shared" si="4"/>
        <v>323526.99999999994</v>
      </c>
      <c r="AF48" s="154">
        <f t="shared" si="19"/>
        <v>124.24186009561495</v>
      </c>
      <c r="AH48" s="154">
        <f t="shared" si="20"/>
        <v>24.88618435862837</v>
      </c>
      <c r="AJ48" s="154">
        <f t="shared" si="21"/>
        <v>2.5396853487579225</v>
      </c>
      <c r="AL48" s="153">
        <f t="shared" si="15"/>
        <v>11200.435085375606</v>
      </c>
      <c r="AN48" s="154">
        <f>INDEX('(2.2)_Forward_Price_Curve'!$K:$K,MATCH($AB48,'(2.2)_Forward_Price_Curve'!$C:$C,0),1)</f>
        <v>4.7541666666666673</v>
      </c>
      <c r="AP48" s="154">
        <f t="shared" si="5"/>
        <v>34.543876409433338</v>
      </c>
      <c r="AR48" s="154">
        <f t="shared" si="18"/>
        <v>2.8658988580396088</v>
      </c>
      <c r="AS48" s="154"/>
      <c r="AT48" s="153">
        <f t="shared" si="6"/>
        <v>6457.586805829832</v>
      </c>
      <c r="AV48" s="153">
        <f t="shared" si="7"/>
        <v>12103.072362959716</v>
      </c>
      <c r="AW48" s="273"/>
      <c r="AX48" s="155">
        <f t="shared" si="8"/>
        <v>18560.659168789549</v>
      </c>
      <c r="AZ48" s="384">
        <f>+IF(AZ47&gt;$I$13+$I$14,XX,AZ47+1)</f>
        <v>2029</v>
      </c>
      <c r="BA48" s="117"/>
      <c r="BB48" s="154">
        <f t="shared" si="16"/>
        <v>59.153923636013275</v>
      </c>
      <c r="BD48" s="154">
        <f t="shared" si="17"/>
        <v>8.9939516134315269</v>
      </c>
      <c r="BF48" s="153">
        <f t="shared" si="9"/>
        <v>4742.8482795457739</v>
      </c>
      <c r="BH48" s="157"/>
    </row>
    <row r="49" spans="2:60" ht="12">
      <c r="B49" s="2"/>
      <c r="C49" s="354">
        <f>+IF(C48&gt;$I$13+$I$14,XX,C48+1)</f>
        <v>2030</v>
      </c>
      <c r="E49" s="356">
        <f>'(2.2)_Forward_Price_Curve'!S43</f>
        <v>2.1999999999999999E-2</v>
      </c>
      <c r="G49" s="550">
        <v>323526.99999999994</v>
      </c>
      <c r="I49" s="360">
        <v>351.80238674444297</v>
      </c>
      <c r="K49" s="471">
        <v>17.359904691619359</v>
      </c>
      <c r="M49" s="28">
        <f t="shared" si="11"/>
        <v>0</v>
      </c>
      <c r="O49" s="471">
        <v>0.78</v>
      </c>
      <c r="Q49" s="471">
        <v>0</v>
      </c>
      <c r="S49" s="18">
        <f t="shared" si="0"/>
        <v>40697.185232865391</v>
      </c>
      <c r="U49" s="18">
        <f t="shared" si="1"/>
        <v>19424.501248135126</v>
      </c>
      <c r="W49" s="18">
        <f t="shared" si="2"/>
        <v>21272.683984730265</v>
      </c>
      <c r="Y49" s="271">
        <f t="shared" si="3"/>
        <v>65.752422470861077</v>
      </c>
      <c r="Z49" s="235"/>
      <c r="AB49" s="378">
        <f>+IF(AB48&gt;$I$13+$I$14,XX,AB48+1)</f>
        <v>2030</v>
      </c>
      <c r="AC49" s="117"/>
      <c r="AD49" s="151">
        <f t="shared" si="4"/>
        <v>323526.99999999994</v>
      </c>
      <c r="AF49" s="154">
        <f t="shared" si="19"/>
        <v>126.97518101771848</v>
      </c>
      <c r="AH49" s="154">
        <f t="shared" si="20"/>
        <v>25.433680414518193</v>
      </c>
      <c r="AJ49" s="154">
        <f t="shared" si="21"/>
        <v>2.5955584264305966</v>
      </c>
      <c r="AL49" s="153">
        <f t="shared" si="15"/>
        <v>11446.844657253869</v>
      </c>
      <c r="AN49" s="154">
        <f>INDEX('(2.2)_Forward_Price_Curve'!$K:$K,MATCH($AB49,'(2.2)_Forward_Price_Curve'!$C:$C,0),1)</f>
        <v>5.052529166666667</v>
      </c>
      <c r="AP49" s="154">
        <f t="shared" si="5"/>
        <v>36.711784698697393</v>
      </c>
      <c r="AR49" s="154">
        <f t="shared" si="18"/>
        <v>2.9289486329164802</v>
      </c>
      <c r="AS49" s="154"/>
      <c r="AT49" s="153">
        <f t="shared" si="6"/>
        <v>6599.6537155580872</v>
      </c>
      <c r="AV49" s="153">
        <f t="shared" si="7"/>
        <v>12824.84753257704</v>
      </c>
      <c r="AW49" s="273"/>
      <c r="AX49" s="155">
        <f t="shared" si="8"/>
        <v>19424.501248135126</v>
      </c>
      <c r="AZ49" s="384">
        <f>+IF(AZ48&gt;$I$13+$I$14,XX,AZ48+1)</f>
        <v>2030</v>
      </c>
      <c r="BA49" s="117"/>
      <c r="BB49" s="154">
        <f t="shared" si="16"/>
        <v>60.455309956005571</v>
      </c>
      <c r="BD49" s="154">
        <f t="shared" si="17"/>
        <v>9.1918185489270208</v>
      </c>
      <c r="BF49" s="153">
        <f t="shared" si="9"/>
        <v>4847.1909416957815</v>
      </c>
      <c r="BH49" s="157"/>
    </row>
    <row r="50" spans="2:60" ht="12">
      <c r="B50" s="2"/>
      <c r="C50" s="354">
        <f>+IF(C49&gt;$I$13+$I$14,XX,C49+1)</f>
        <v>2031</v>
      </c>
      <c r="E50" s="356">
        <f>'(2.2)_Forward_Price_Curve'!S44</f>
        <v>2.1999999999999999E-2</v>
      </c>
      <c r="G50" s="550">
        <v>323526.99999999994</v>
      </c>
      <c r="I50" s="360">
        <v>359.25892061582624</v>
      </c>
      <c r="K50" s="471">
        <v>17.741822594834986</v>
      </c>
      <c r="M50" s="28">
        <f t="shared" si="11"/>
        <v>0</v>
      </c>
      <c r="O50" s="471">
        <v>0.8</v>
      </c>
      <c r="Q50" s="471">
        <v>0</v>
      </c>
      <c r="S50" s="18">
        <f t="shared" si="0"/>
        <v>41565.413379605969</v>
      </c>
      <c r="U50" s="18">
        <f t="shared" si="1"/>
        <v>19913.416770398777</v>
      </c>
      <c r="W50" s="18">
        <f t="shared" si="2"/>
        <v>21651.996609207192</v>
      </c>
      <c r="Y50" s="271">
        <f t="shared" si="3"/>
        <v>66.924852050082976</v>
      </c>
      <c r="Z50" s="235"/>
      <c r="AB50" s="378">
        <f>+IF(AB49&gt;$I$13+$I$14,XX,AB49+1)</f>
        <v>2031</v>
      </c>
      <c r="AC50" s="117"/>
      <c r="AD50" s="151">
        <f t="shared" si="4"/>
        <v>323526.99999999994</v>
      </c>
      <c r="AF50" s="154">
        <f t="shared" si="19"/>
        <v>129.7686350001083</v>
      </c>
      <c r="AH50" s="154">
        <f t="shared" si="20"/>
        <v>25.993221383637593</v>
      </c>
      <c r="AJ50" s="154">
        <f t="shared" si="21"/>
        <v>2.6526607118120697</v>
      </c>
      <c r="AL50" s="153">
        <f t="shared" si="15"/>
        <v>11698.675239713457</v>
      </c>
      <c r="AN50" s="154">
        <f>INDEX('(2.2)_Forward_Price_Curve'!$K:$K,MATCH($AB50,'(2.2)_Forward_Price_Curve'!$C:$C,0),1)</f>
        <v>5.1898791666666666</v>
      </c>
      <c r="AP50" s="154">
        <f t="shared" si="5"/>
        <v>37.709772728461253</v>
      </c>
      <c r="AR50" s="154">
        <f t="shared" si="18"/>
        <v>2.9933855028406429</v>
      </c>
      <c r="AS50" s="154"/>
      <c r="AT50" s="153">
        <f t="shared" si="6"/>
        <v>6744.8460973003685</v>
      </c>
      <c r="AV50" s="153">
        <f t="shared" si="7"/>
        <v>13168.570673098407</v>
      </c>
      <c r="AW50" s="273"/>
      <c r="AX50" s="155">
        <f t="shared" si="8"/>
        <v>19913.416770398777</v>
      </c>
      <c r="AZ50" s="384">
        <f>+IF(AZ49&gt;$I$13+$I$14,XX,AZ49+1)</f>
        <v>2031</v>
      </c>
      <c r="BA50" s="117"/>
      <c r="BB50" s="154">
        <f t="shared" si="16"/>
        <v>61.785326775037696</v>
      </c>
      <c r="BD50" s="154">
        <f t="shared" si="17"/>
        <v>9.3940385570034159</v>
      </c>
      <c r="BF50" s="153">
        <f t="shared" si="9"/>
        <v>4953.8291424130884</v>
      </c>
      <c r="BH50" s="157"/>
    </row>
    <row r="51" spans="2:60" ht="12">
      <c r="B51" s="2"/>
      <c r="C51" s="354">
        <f>+IF(C50&gt;$I$13+$I$14,XX,C50+1)</f>
        <v>2032</v>
      </c>
      <c r="E51" s="356">
        <f>'(2.2)_Forward_Price_Curve'!S45</f>
        <v>2.1999999999999999E-2</v>
      </c>
      <c r="G51" s="550">
        <v>323504</v>
      </c>
      <c r="I51" s="360">
        <v>366.87411897827707</v>
      </c>
      <c r="K51" s="471">
        <v>18.181819795186897</v>
      </c>
      <c r="M51" s="28">
        <f t="shared" si="11"/>
        <v>0</v>
      </c>
      <c r="O51" s="471">
        <v>0.82</v>
      </c>
      <c r="Q51" s="471">
        <v>0</v>
      </c>
      <c r="S51" s="18">
        <f t="shared" si="0"/>
        <v>42467.702489871575</v>
      </c>
      <c r="U51" s="18">
        <f t="shared" si="1"/>
        <v>20417.792453261231</v>
      </c>
      <c r="W51" s="18">
        <f t="shared" si="2"/>
        <v>22049.910036610345</v>
      </c>
      <c r="Y51" s="271">
        <f t="shared" si="3"/>
        <v>68.15962101430074</v>
      </c>
      <c r="Z51" s="235"/>
      <c r="AB51" s="378">
        <f>+IF(AB50&gt;$I$13+$I$14,XX,AB50+1)</f>
        <v>2032</v>
      </c>
      <c r="AC51" s="117"/>
      <c r="AD51" s="151">
        <f t="shared" si="4"/>
        <v>323504</v>
      </c>
      <c r="AF51" s="154">
        <f t="shared" si="19"/>
        <v>132.62354497011069</v>
      </c>
      <c r="AH51" s="154">
        <f t="shared" si="20"/>
        <v>26.56507225407762</v>
      </c>
      <c r="AJ51" s="154">
        <f t="shared" si="21"/>
        <v>2.7110192474719352</v>
      </c>
      <c r="AL51" s="153">
        <f t="shared" si="15"/>
        <v>11955.98374154446</v>
      </c>
      <c r="AN51" s="154">
        <f>INDEX('(2.2)_Forward_Price_Curve'!$K:$K,MATCH($AB51,'(2.2)_Forward_Price_Curve'!$C:$C,0),1)</f>
        <v>5.3326874999999996</v>
      </c>
      <c r="AP51" s="154">
        <f t="shared" si="5"/>
        <v>38.747421124654863</v>
      </c>
      <c r="AR51" s="154">
        <f t="shared" si="18"/>
        <v>3.059239983903137</v>
      </c>
      <c r="AS51" s="154"/>
      <c r="AT51" s="153">
        <f t="shared" si="6"/>
        <v>6893.1703579982841</v>
      </c>
      <c r="AV51" s="153">
        <f t="shared" si="7"/>
        <v>13524.622095262948</v>
      </c>
      <c r="AW51" s="273"/>
      <c r="AX51" s="155">
        <f t="shared" si="8"/>
        <v>20417.792453261231</v>
      </c>
      <c r="AZ51" s="384">
        <f>+IF(AZ50&gt;$I$13+$I$14,XX,AZ50+1)</f>
        <v>2032</v>
      </c>
      <c r="BA51" s="117"/>
      <c r="BB51" s="154">
        <f t="shared" si="16"/>
        <v>63.144603964088525</v>
      </c>
      <c r="BD51" s="154">
        <f t="shared" si="17"/>
        <v>9.6007074052574914</v>
      </c>
      <c r="BF51" s="153">
        <f t="shared" si="9"/>
        <v>5062.8133835461758</v>
      </c>
      <c r="BH51" s="157"/>
    </row>
    <row r="52" spans="2:60" ht="12">
      <c r="B52" s="2"/>
      <c r="C52" s="354">
        <f>+IF(C51&gt;$I$13+$I$14,XX,C51+1)</f>
        <v>2033</v>
      </c>
      <c r="E52" s="356">
        <f>'(2.2)_Forward_Price_Curve'!S46</f>
        <v>2.1999999999999999E-2</v>
      </c>
      <c r="G52" s="550">
        <v>323526.99999999994</v>
      </c>
      <c r="I52" s="360">
        <v>374.65137024477099</v>
      </c>
      <c r="K52" s="471">
        <v>18.531049831143626</v>
      </c>
      <c r="M52" s="28">
        <f t="shared" si="11"/>
        <v>0</v>
      </c>
      <c r="O52" s="471">
        <v>0.84000000000000008</v>
      </c>
      <c r="Q52" s="471">
        <v>0</v>
      </c>
      <c r="S52" s="18">
        <f t="shared" si="0"/>
        <v>43357.543292952723</v>
      </c>
      <c r="U52" s="18">
        <f t="shared" si="1"/>
        <v>21025.143066915429</v>
      </c>
      <c r="W52" s="18">
        <f t="shared" si="2"/>
        <v>22332.400226037294</v>
      </c>
      <c r="Y52" s="271">
        <f t="shared" si="3"/>
        <v>69.027933452346474</v>
      </c>
      <c r="Z52" s="235"/>
      <c r="AB52" s="378">
        <f>+IF(AB51&gt;$I$13+$I$14,XX,AB51+1)</f>
        <v>2033</v>
      </c>
      <c r="AC52" s="117"/>
      <c r="AD52" s="151">
        <f t="shared" si="4"/>
        <v>323526.99999999994</v>
      </c>
      <c r="AF52" s="154">
        <f t="shared" si="19"/>
        <v>135.54126295945312</v>
      </c>
      <c r="AH52" s="154">
        <f t="shared" si="20"/>
        <v>27.149503843667329</v>
      </c>
      <c r="AJ52" s="154">
        <f t="shared" si="21"/>
        <v>2.7706616709163177</v>
      </c>
      <c r="AL52" s="153">
        <f t="shared" si="15"/>
        <v>12219.079109076869</v>
      </c>
      <c r="AN52" s="154">
        <f>INDEX('(2.2)_Forward_Price_Curve'!$K:$K,MATCH($AB52,'(2.2)_Forward_Price_Curve'!$C:$C,0),1)</f>
        <v>5.5168416666666671</v>
      </c>
      <c r="AP52" s="154">
        <f t="shared" si="5"/>
        <v>40.085489227781714</v>
      </c>
      <c r="AR52" s="154">
        <f t="shared" si="18"/>
        <v>3.126543263549006</v>
      </c>
      <c r="AS52" s="154"/>
      <c r="AT52" s="153">
        <f t="shared" si="6"/>
        <v>7044.8838310926776</v>
      </c>
      <c r="AV52" s="153">
        <f t="shared" si="7"/>
        <v>13980.25923582275</v>
      </c>
      <c r="AW52" s="273"/>
      <c r="AX52" s="155">
        <f t="shared" si="8"/>
        <v>21025.143066915429</v>
      </c>
      <c r="AZ52" s="384">
        <f>+IF(AZ51&gt;$I$13+$I$14,XX,AZ51+1)</f>
        <v>2033</v>
      </c>
      <c r="BA52" s="117"/>
      <c r="BB52" s="154">
        <f t="shared" si="16"/>
        <v>64.533785251298468</v>
      </c>
      <c r="BD52" s="154">
        <f t="shared" si="17"/>
        <v>9.8119229681731568</v>
      </c>
      <c r="BF52" s="153">
        <f t="shared" si="9"/>
        <v>5174.1952779841913</v>
      </c>
      <c r="BH52" s="157"/>
    </row>
    <row r="53" spans="2:60" ht="12">
      <c r="B53" s="2"/>
      <c r="C53" s="354">
        <f>+IF(C52&gt;$I$13+$I$14,XX,C52+1)</f>
        <v>2034</v>
      </c>
      <c r="E53" s="356">
        <f>'(2.2)_Forward_Price_Curve'!S47</f>
        <v>2.1999999999999999E-2</v>
      </c>
      <c r="G53" s="550">
        <v>323526.99999999994</v>
      </c>
      <c r="I53" s="360">
        <v>101.75223097098858</v>
      </c>
      <c r="K53" s="471">
        <v>18.938732927428788</v>
      </c>
      <c r="M53" s="28">
        <f t="shared" si="11"/>
        <v>0</v>
      </c>
      <c r="O53" s="471">
        <v>0.85999999999999988</v>
      </c>
      <c r="Q53" s="471">
        <v>0</v>
      </c>
      <c r="S53" s="18">
        <f t="shared" si="0"/>
        <v>16478.895533940122</v>
      </c>
      <c r="U53" s="18">
        <f t="shared" si="1"/>
        <v>21605.430559118569</v>
      </c>
      <c r="W53" s="18">
        <f t="shared" si="2"/>
        <v>-5126.5350251784475</v>
      </c>
      <c r="Y53" s="271">
        <f t="shared" si="3"/>
        <v>-15.845771837214354</v>
      </c>
      <c r="Z53" s="235"/>
      <c r="AB53" s="378">
        <f>+IF(AB52&gt;$I$13+$I$14,XX,AB52+1)</f>
        <v>2034</v>
      </c>
      <c r="AC53" s="117"/>
      <c r="AD53" s="151">
        <f t="shared" si="4"/>
        <v>323526.99999999994</v>
      </c>
      <c r="AF53" s="154">
        <f t="shared" si="19"/>
        <v>138.5231707445611</v>
      </c>
      <c r="AH53" s="154">
        <f t="shared" si="20"/>
        <v>27.746792928228011</v>
      </c>
      <c r="AJ53" s="154">
        <f t="shared" si="21"/>
        <v>2.8316162276764767</v>
      </c>
      <c r="AL53" s="153">
        <f t="shared" si="15"/>
        <v>12487.898849476562</v>
      </c>
      <c r="AN53" s="154">
        <f>INDEX('(2.2)_Forward_Price_Curve'!$K:$K,MATCH($AB53,'(2.2)_Forward_Price_Curve'!$C:$C,0),1)</f>
        <v>5.688295833333334</v>
      </c>
      <c r="AP53" s="154">
        <f t="shared" si="5"/>
        <v>41.331278860009391</v>
      </c>
      <c r="AR53" s="154">
        <f t="shared" si="18"/>
        <v>3.1953272153470844</v>
      </c>
      <c r="AS53" s="154"/>
      <c r="AT53" s="153">
        <f t="shared" si="6"/>
        <v>7199.8712753767168</v>
      </c>
      <c r="AV53" s="153">
        <f t="shared" si="7"/>
        <v>14405.559283741852</v>
      </c>
      <c r="AW53" s="273"/>
      <c r="AX53" s="155">
        <f t="shared" si="8"/>
        <v>21605.430559118569</v>
      </c>
      <c r="AZ53" s="384">
        <f>+IF(AZ52&gt;$I$13+$I$14,XX,AZ52+1)</f>
        <v>2034</v>
      </c>
      <c r="BA53" s="117"/>
      <c r="BB53" s="154">
        <f t="shared" si="16"/>
        <v>65.953528526827043</v>
      </c>
      <c r="BD53" s="154">
        <f t="shared" si="17"/>
        <v>10.027785273472967</v>
      </c>
      <c r="BF53" s="153">
        <f t="shared" si="9"/>
        <v>5288.027574099845</v>
      </c>
      <c r="BH53" s="157"/>
    </row>
    <row r="54" spans="2:60" ht="12">
      <c r="B54" s="2"/>
      <c r="C54" s="354">
        <f>+IF(C53&gt;$I$13+$I$14,XX,C53+1)</f>
        <v>2035</v>
      </c>
      <c r="E54" s="356">
        <f>'(2.2)_Forward_Price_Curve'!S48</f>
        <v>2.1999999999999999E-2</v>
      </c>
      <c r="G54" s="550">
        <v>323526.99999999994</v>
      </c>
      <c r="I54" s="360">
        <v>103.68552335943735</v>
      </c>
      <c r="K54" s="471">
        <v>19.355385051832222</v>
      </c>
      <c r="M54" s="28">
        <f t="shared" si="11"/>
        <v>0</v>
      </c>
      <c r="O54" s="471">
        <v>0.86999999999999988</v>
      </c>
      <c r="Q54" s="471">
        <v>0</v>
      </c>
      <c r="S54" s="18">
        <f t="shared" si="0"/>
        <v>16808.324962248422</v>
      </c>
      <c r="U54" s="18">
        <f t="shared" si="1"/>
        <v>22157.294482696783</v>
      </c>
      <c r="W54" s="18">
        <f t="shared" si="2"/>
        <v>-5348.9695204483614</v>
      </c>
      <c r="Y54" s="271">
        <f t="shared" si="3"/>
        <v>-16.533301765999013</v>
      </c>
      <c r="Z54" s="235"/>
      <c r="AB54" s="378">
        <f>+IF(AB53&gt;$I$13+$I$14,XX,AB53+1)</f>
        <v>2035</v>
      </c>
      <c r="AC54" s="117"/>
      <c r="AD54" s="151">
        <f t="shared" si="4"/>
        <v>323526.99999999994</v>
      </c>
      <c r="AF54" s="154">
        <f t="shared" si="19"/>
        <v>141.57068050094145</v>
      </c>
      <c r="AH54" s="154">
        <f t="shared" si="20"/>
        <v>28.357222372649026</v>
      </c>
      <c r="AJ54" s="154">
        <f t="shared" si="21"/>
        <v>2.893911784685359</v>
      </c>
      <c r="AL54" s="153">
        <f t="shared" si="15"/>
        <v>12762.632624165048</v>
      </c>
      <c r="AN54" s="154">
        <f>INDEX('(2.2)_Forward_Price_Curve'!$K:$K,MATCH($AB54,'(2.2)_Forward_Price_Curve'!$C:$C,0),1)</f>
        <v>5.846000000000001</v>
      </c>
      <c r="AP54" s="154">
        <f t="shared" si="5"/>
        <v>42.477160698940715</v>
      </c>
      <c r="AR54" s="154">
        <f t="shared" si="18"/>
        <v>3.2656244140847202</v>
      </c>
      <c r="AS54" s="154"/>
      <c r="AT54" s="153">
        <f t="shared" si="6"/>
        <v>7358.2684434350067</v>
      </c>
      <c r="AV54" s="153">
        <f t="shared" si="7"/>
        <v>14799.026039261777</v>
      </c>
      <c r="AW54" s="273"/>
      <c r="AX54" s="155">
        <f t="shared" si="8"/>
        <v>22157.294482696783</v>
      </c>
      <c r="AZ54" s="384">
        <f>+IF(AZ53&gt;$I$13+$I$14,XX,AZ53+1)</f>
        <v>2035</v>
      </c>
      <c r="BA54" s="117"/>
      <c r="BB54" s="154">
        <f t="shared" si="16"/>
        <v>67.404506154417234</v>
      </c>
      <c r="BD54" s="154">
        <f t="shared" si="17"/>
        <v>10.248396549489373</v>
      </c>
      <c r="BF54" s="153">
        <f t="shared" si="9"/>
        <v>5404.364180730041</v>
      </c>
      <c r="BH54" s="157"/>
    </row>
    <row r="55" spans="2:60" ht="12">
      <c r="B55" s="2"/>
      <c r="C55" s="354">
        <f>+IF(C54&gt;$I$13+$I$14,XX,C54+1)</f>
        <v>2036</v>
      </c>
      <c r="E55" s="356">
        <f>'(2.2)_Forward_Price_Curve'!S49</f>
        <v>2.1999999999999999E-2</v>
      </c>
      <c r="G55" s="550">
        <v>323504</v>
      </c>
      <c r="I55" s="360">
        <v>105.65554830326664</v>
      </c>
      <c r="K55" s="471">
        <v>19.835398601117664</v>
      </c>
      <c r="M55" s="28">
        <f t="shared" si="11"/>
        <v>0</v>
      </c>
      <c r="O55" s="471">
        <v>0.89000000000000024</v>
      </c>
      <c r="Q55" s="471">
        <v>0</v>
      </c>
      <c r="S55" s="18">
        <f t="shared" si="0"/>
        <v>17164.64863107937</v>
      </c>
      <c r="U55" s="18">
        <f t="shared" si="1"/>
        <v>22871.952817793492</v>
      </c>
      <c r="W55" s="18">
        <f t="shared" si="2"/>
        <v>-5707.3041867141219</v>
      </c>
      <c r="Y55" s="271">
        <f t="shared" si="3"/>
        <v>-17.642144105526121</v>
      </c>
      <c r="Z55" s="235"/>
      <c r="AB55" s="378">
        <f>+IF(AB54&gt;$I$13+$I$14,XX,AB54+1)</f>
        <v>2036</v>
      </c>
      <c r="AC55" s="117"/>
      <c r="AD55" s="151">
        <f t="shared" si="4"/>
        <v>323504</v>
      </c>
      <c r="AF55" s="154">
        <f t="shared" si="19"/>
        <v>144.68523547196216</v>
      </c>
      <c r="AH55" s="154">
        <f t="shared" si="20"/>
        <v>28.981081264847305</v>
      </c>
      <c r="AJ55" s="154">
        <f t="shared" si="21"/>
        <v>2.957577843948437</v>
      </c>
      <c r="AL55" s="153">
        <f t="shared" si="15"/>
        <v>13043.342517606265</v>
      </c>
      <c r="AN55" s="154">
        <f>INDEX('(2.2)_Forward_Price_Curve'!$K:$K,MATCH($AB55,'(2.2)_Forward_Price_Curve'!$C:$C,0),1)</f>
        <v>6.0717541666666675</v>
      </c>
      <c r="AP55" s="154">
        <f t="shared" si="5"/>
        <v>44.117495289422315</v>
      </c>
      <c r="AR55" s="154">
        <f t="shared" si="18"/>
        <v>3.3374681511945838</v>
      </c>
      <c r="AS55" s="154"/>
      <c r="AT55" s="153">
        <f t="shared" si="6"/>
        <v>7520.0823249001623</v>
      </c>
      <c r="AV55" s="153">
        <f t="shared" si="7"/>
        <v>15351.870492893329</v>
      </c>
      <c r="AW55" s="273"/>
      <c r="AX55" s="155">
        <f t="shared" si="8"/>
        <v>22871.952817793492</v>
      </c>
      <c r="AZ55" s="384">
        <f>+IF(AZ54&gt;$I$13+$I$14,XX,AZ54+1)</f>
        <v>2036</v>
      </c>
      <c r="BA55" s="117"/>
      <c r="BB55" s="154">
        <f t="shared" si="16"/>
        <v>68.88740528981441</v>
      </c>
      <c r="BD55" s="154">
        <f t="shared" si="17"/>
        <v>10.473861273578139</v>
      </c>
      <c r="BF55" s="153">
        <f t="shared" si="9"/>
        <v>5523.2601927061023</v>
      </c>
      <c r="BH55" s="157"/>
    </row>
    <row r="56" spans="2:60" ht="12">
      <c r="B56" s="2"/>
      <c r="C56" s="354">
        <f>+IF(C55&gt;$I$13+$I$14,XX,C55+1)</f>
        <v>2037</v>
      </c>
      <c r="E56" s="356">
        <f>'(2.2)_Forward_Price_Curve'!S50</f>
        <v>2.1999999999999999E-2</v>
      </c>
      <c r="G56" s="550">
        <v>323504</v>
      </c>
      <c r="I56" s="360">
        <v>107.66300372102873</v>
      </c>
      <c r="K56" s="471">
        <v>20.216390000477926</v>
      </c>
      <c r="M56" s="28">
        <f t="shared" si="11"/>
        <v>0</v>
      </c>
      <c r="O56" s="471">
        <v>0.91000000000000025</v>
      </c>
      <c r="Q56" s="471">
        <v>0</v>
      </c>
      <c r="S56" s="18">
        <f t="shared" si="0"/>
        <v>17493.109039096453</v>
      </c>
      <c r="U56" s="18">
        <f t="shared" si="1"/>
        <v>23456.751469604042</v>
      </c>
      <c r="W56" s="18">
        <f t="shared" si="2"/>
        <v>-5963.6424305075889</v>
      </c>
      <c r="Y56" s="271">
        <f t="shared" si="3"/>
        <v>-18.434524551497319</v>
      </c>
      <c r="Z56" s="235"/>
      <c r="AB56" s="378">
        <f>+IF(AB55&gt;$I$13+$I$14,XX,AB55+1)</f>
        <v>2037</v>
      </c>
      <c r="AC56" s="117"/>
      <c r="AD56" s="151">
        <f t="shared" si="4"/>
        <v>323504</v>
      </c>
      <c r="AF56" s="154">
        <f t="shared" si="19"/>
        <v>147.86831065234534</v>
      </c>
      <c r="AH56" s="154">
        <f t="shared" si="20"/>
        <v>29.618665052673947</v>
      </c>
      <c r="AJ56" s="154">
        <f t="shared" si="21"/>
        <v>3.0226445565153028</v>
      </c>
      <c r="AL56" s="153">
        <f t="shared" si="15"/>
        <v>13330.296052993603</v>
      </c>
      <c r="AN56" s="154">
        <f>INDEX('(2.2)_Forward_Price_Curve'!$K:$K,MATCH($AB56,'(2.2)_Forward_Price_Curve'!$C:$C,0),1)</f>
        <v>6.240054166666666</v>
      </c>
      <c r="AP56" s="154">
        <f t="shared" si="5"/>
        <v>45.340366679369573</v>
      </c>
      <c r="AR56" s="154">
        <f t="shared" si="18"/>
        <v>3.4108924505208646</v>
      </c>
      <c r="AS56" s="154"/>
      <c r="AT56" s="153">
        <f t="shared" si="6"/>
        <v>7685.5241360479667</v>
      </c>
      <c r="AV56" s="153">
        <f t="shared" si="7"/>
        <v>15771.227333556075</v>
      </c>
      <c r="AW56" s="273"/>
      <c r="AX56" s="155">
        <f t="shared" si="8"/>
        <v>23456.751469604042</v>
      </c>
      <c r="AZ56" s="384">
        <f>+IF(AZ55&gt;$I$13+$I$14,XX,AZ55+1)</f>
        <v>2037</v>
      </c>
      <c r="BA56" s="117"/>
      <c r="BB56" s="154">
        <f t="shared" si="16"/>
        <v>70.402928206190325</v>
      </c>
      <c r="BD56" s="154">
        <f t="shared" si="17"/>
        <v>10.704286221596858</v>
      </c>
      <c r="BF56" s="153">
        <f t="shared" si="9"/>
        <v>5644.7719169456359</v>
      </c>
      <c r="BH56" s="157"/>
    </row>
    <row r="57" spans="2:60" ht="12">
      <c r="B57" s="2"/>
      <c r="C57" s="354">
        <f>+IF(C56&gt;$I$13+$I$14,XX,C56+1)</f>
        <v>2038</v>
      </c>
      <c r="E57" s="356">
        <f>'(2.2)_Forward_Price_Curve'!S51</f>
        <v>2.1999999999999999E-2</v>
      </c>
      <c r="G57" s="550">
        <v>323504</v>
      </c>
      <c r="I57" s="360">
        <v>109.70860079172824</v>
      </c>
      <c r="K57" s="471">
        <v>20.681366970488913</v>
      </c>
      <c r="M57" s="28">
        <f t="shared" si="11"/>
        <v>0</v>
      </c>
      <c r="O57" s="471">
        <v>0.92999999999999994</v>
      </c>
      <c r="Q57" s="471">
        <v>0</v>
      </c>
      <c r="S57" s="18">
        <f t="shared" si="0"/>
        <v>17852.51513880214</v>
      </c>
      <c r="U57" s="18">
        <f t="shared" si="1"/>
        <v>24403.119156419085</v>
      </c>
      <c r="W57" s="18">
        <f t="shared" si="2"/>
        <v>-6550.6040176169445</v>
      </c>
      <c r="Y57" s="271">
        <f t="shared" si="3"/>
        <v>-20.248911968992484</v>
      </c>
      <c r="Z57" s="235"/>
      <c r="AB57" s="378">
        <f>+IF(AB56&gt;$I$13+$I$14,XX,AB56+1)</f>
        <v>2038</v>
      </c>
      <c r="AC57" s="117"/>
      <c r="AD57" s="151">
        <f t="shared" si="4"/>
        <v>323504</v>
      </c>
      <c r="AF57" s="154">
        <f t="shared" si="19"/>
        <v>151.12141348669695</v>
      </c>
      <c r="AH57" s="154">
        <f t="shared" si="20"/>
        <v>30.270275683832775</v>
      </c>
      <c r="AJ57" s="154">
        <f t="shared" si="21"/>
        <v>3.0891427367586397</v>
      </c>
      <c r="AL57" s="153">
        <f t="shared" si="15"/>
        <v>13623.562566159466</v>
      </c>
      <c r="AN57" s="154">
        <f>INDEX('(2.2)_Forward_Price_Curve'!$K:$K,MATCH($AB57,'(2.2)_Forward_Price_Curve'!$C:$C,0),1)</f>
        <v>6.5604041666666673</v>
      </c>
      <c r="AP57" s="154">
        <f t="shared" si="5"/>
        <v>47.66803661264116</v>
      </c>
      <c r="AR57" s="154">
        <f t="shared" si="18"/>
        <v>3.4859320844323238</v>
      </c>
      <c r="AS57" s="154"/>
      <c r="AT57" s="153">
        <f t="shared" si="6"/>
        <v>7854.6056670410253</v>
      </c>
      <c r="AV57" s="153">
        <f t="shared" si="7"/>
        <v>16548.51348937806</v>
      </c>
      <c r="AW57" s="273"/>
      <c r="AX57" s="155">
        <f t="shared" si="8"/>
        <v>24403.119156419085</v>
      </c>
      <c r="AZ57" s="384">
        <f>+IF(AZ56&gt;$I$13+$I$14,XX,AZ56+1)</f>
        <v>2038</v>
      </c>
      <c r="BA57" s="117"/>
      <c r="BB57" s="154">
        <f t="shared" si="16"/>
        <v>71.951792626726515</v>
      </c>
      <c r="BD57" s="154">
        <f t="shared" si="17"/>
        <v>10.93978051847199</v>
      </c>
      <c r="BF57" s="153">
        <f t="shared" si="9"/>
        <v>5768.9568991184406</v>
      </c>
      <c r="BH57" s="157"/>
    </row>
    <row r="58" spans="2:60" ht="12">
      <c r="B58" s="2"/>
      <c r="C58" s="354">
        <f>+IF(C57&gt;$I$13+$I$14,XX,C57+1)</f>
        <v>2039</v>
      </c>
      <c r="E58" s="356">
        <f>'(2.2)_Forward_Price_Curve'!S52</f>
        <v>2.1999999999999999E-2</v>
      </c>
      <c r="G58" s="550">
        <v>323504</v>
      </c>
      <c r="I58" s="360">
        <v>111.79306420677108</v>
      </c>
      <c r="K58" s="471">
        <v>21.157038410810156</v>
      </c>
      <c r="M58" s="28">
        <f t="shared" si="11"/>
        <v>0</v>
      </c>
      <c r="O58" s="471">
        <v>0.95999999999999985</v>
      </c>
      <c r="Q58" s="471">
        <v>0</v>
      </c>
      <c r="S58" s="18">
        <f t="shared" si="0"/>
        <v>18222.463750521063</v>
      </c>
      <c r="U58" s="18">
        <f t="shared" si="1"/>
        <v>25098.692220828143</v>
      </c>
      <c r="W58" s="18">
        <f t="shared" si="2"/>
        <v>-6876.22847030708</v>
      </c>
      <c r="Y58" s="271">
        <f t="shared" si="3"/>
        <v>-21.25546661032655</v>
      </c>
      <c r="Z58" s="235"/>
      <c r="AB58" s="378">
        <f>+IF(AB57&gt;$I$13+$I$14,XX,AB57+1)</f>
        <v>2039</v>
      </c>
      <c r="AC58" s="117"/>
      <c r="AD58" s="151">
        <f t="shared" si="4"/>
        <v>323504</v>
      </c>
      <c r="AF58" s="154">
        <f t="shared" si="19"/>
        <v>154.44608458340429</v>
      </c>
      <c r="AH58" s="154">
        <f t="shared" si="20"/>
        <v>30.936221748877095</v>
      </c>
      <c r="AJ58" s="154">
        <f t="shared" si="21"/>
        <v>3.1571038769673296</v>
      </c>
      <c r="AL58" s="153">
        <f t="shared" si="15"/>
        <v>13923.280942614974</v>
      </c>
      <c r="AN58" s="154">
        <f>INDEX('(2.2)_Forward_Price_Curve'!$K:$K,MATCH($AB58,'(2.2)_Forward_Price_Curve'!$C:$C,0),1)</f>
        <v>6.7722499999999988</v>
      </c>
      <c r="AP58" s="154">
        <f t="shared" si="5"/>
        <v>49.207312956449051</v>
      </c>
      <c r="AR58" s="154">
        <f t="shared" si="18"/>
        <v>3.562622590289835</v>
      </c>
      <c r="AS58" s="154"/>
      <c r="AT58" s="153">
        <f t="shared" si="6"/>
        <v>8027.4069917159286</v>
      </c>
      <c r="AV58" s="153">
        <f t="shared" si="7"/>
        <v>17071.285229112214</v>
      </c>
      <c r="AW58" s="273"/>
      <c r="AX58" s="155">
        <f t="shared" si="8"/>
        <v>25098.692220828143</v>
      </c>
      <c r="AZ58" s="384">
        <f>+IF(AZ57&gt;$I$13+$I$14,XX,AZ57+1)</f>
        <v>2039</v>
      </c>
      <c r="BA58" s="117"/>
      <c r="BB58" s="154">
        <f t="shared" si="16"/>
        <v>73.5347320645145</v>
      </c>
      <c r="BD58" s="154">
        <f t="shared" si="17"/>
        <v>11.180455689878373</v>
      </c>
      <c r="BF58" s="153">
        <f t="shared" si="9"/>
        <v>5895.8739508990457</v>
      </c>
      <c r="BH58" s="157"/>
    </row>
    <row r="59" spans="2:60" ht="12">
      <c r="B59" s="2"/>
      <c r="C59" s="354">
        <f>+IF(C58&gt;$I$13+$I$14,XX,C58+1)</f>
        <v>2040</v>
      </c>
      <c r="E59" s="356">
        <f>'(2.2)_Forward_Price_Curve'!S53</f>
        <v>2.1999999999999999E-2</v>
      </c>
      <c r="G59" s="550">
        <v>323504</v>
      </c>
      <c r="I59" s="360">
        <v>113.91713242669974</v>
      </c>
      <c r="K59" s="471">
        <v>21.702947966297856</v>
      </c>
      <c r="M59" s="28">
        <f t="shared" si="11"/>
        <v>0</v>
      </c>
      <c r="O59" s="471">
        <v>0.9800000000000002</v>
      </c>
      <c r="Q59" s="471">
        <v>0</v>
      </c>
      <c r="S59" s="18">
        <f t="shared" si="0"/>
        <v>18615.820509132496</v>
      </c>
      <c r="U59" s="18">
        <f t="shared" si="1"/>
        <v>26014.122375658691</v>
      </c>
      <c r="W59" s="18">
        <f t="shared" si="2"/>
        <v>-7398.3018665261952</v>
      </c>
      <c r="Y59" s="271">
        <f t="shared" si="3"/>
        <v>-22.86927477411777</v>
      </c>
      <c r="Z59" s="235"/>
      <c r="AB59" s="378">
        <f>+IF(AB58&gt;$I$13+$I$14,XX,AB58+1)</f>
        <v>2040</v>
      </c>
      <c r="AC59" s="117"/>
      <c r="AD59" s="151">
        <f t="shared" si="4"/>
        <v>323504</v>
      </c>
      <c r="AF59" s="154">
        <f t="shared" si="19"/>
        <v>157.84389844423919</v>
      </c>
      <c r="AH59" s="154">
        <f t="shared" si="20"/>
        <v>31.616818627352391</v>
      </c>
      <c r="AJ59" s="154">
        <f t="shared" si="21"/>
        <v>3.2265601622606108</v>
      </c>
      <c r="AL59" s="153">
        <f t="shared" si="15"/>
        <v>14229.593123352503</v>
      </c>
      <c r="AN59" s="154">
        <f>INDEX('(2.2)_Forward_Price_Curve'!$K:$K,MATCH($AB59,'(2.2)_Forward_Price_Curve'!$C:$C,0),1)</f>
        <v>7.075779166666667</v>
      </c>
      <c r="AP59" s="154">
        <f t="shared" si="5"/>
        <v>51.412762355921451</v>
      </c>
      <c r="AR59" s="154">
        <f t="shared" si="18"/>
        <v>3.6410002872762113</v>
      </c>
      <c r="AS59" s="154"/>
      <c r="AT59" s="153">
        <f t="shared" si="6"/>
        <v>8204.0099455336767</v>
      </c>
      <c r="AV59" s="153">
        <f t="shared" si="7"/>
        <v>17810.112430125017</v>
      </c>
      <c r="AW59" s="273"/>
      <c r="AX59" s="155">
        <f t="shared" si="8"/>
        <v>26014.122375658691</v>
      </c>
      <c r="AZ59" s="384">
        <f>+IF(AZ58&gt;$I$13+$I$14,XX,AZ58+1)</f>
        <v>2040</v>
      </c>
      <c r="BA59" s="117"/>
      <c r="BB59" s="154">
        <f t="shared" si="16"/>
        <v>75.152496169933826</v>
      </c>
      <c r="BD59" s="154">
        <f t="shared" si="17"/>
        <v>11.426425715055698</v>
      </c>
      <c r="BF59" s="153">
        <f t="shared" si="9"/>
        <v>6025.5831778188258</v>
      </c>
      <c r="BH59" s="157"/>
    </row>
    <row r="60" spans="2:60" ht="12">
      <c r="B60" s="2"/>
      <c r="C60" s="354">
        <f>+IF(C59&gt;$I$13+$I$14,XX,C59+1)</f>
        <v>2041</v>
      </c>
      <c r="E60" s="356">
        <f>'(2.2)_Forward_Price_Curve'!S54</f>
        <v>2.1999999999999999E-2</v>
      </c>
      <c r="G60" s="550">
        <v>323504</v>
      </c>
      <c r="I60" s="360">
        <v>116.08155794280702</v>
      </c>
      <c r="K60" s="471">
        <v>22.141454251026733</v>
      </c>
      <c r="M60" s="28">
        <f t="shared" si="11"/>
        <v>0</v>
      </c>
      <c r="O60" s="471">
        <v>1</v>
      </c>
      <c r="Q60" s="471">
        <v>0</v>
      </c>
      <c r="S60" s="18">
        <f t="shared" si="0"/>
        <v>18978.427252362049</v>
      </c>
      <c r="U60" s="18">
        <f t="shared" si="1"/>
        <v>26603.081942393263</v>
      </c>
      <c r="W60" s="18">
        <f t="shared" si="2"/>
        <v>-7624.6546900312132</v>
      </c>
      <c r="Y60" s="271">
        <f t="shared" si="3"/>
        <v>-23.568965731586669</v>
      </c>
      <c r="Z60" s="235"/>
      <c r="AB60" s="378">
        <f>+IF(AB59&gt;$I$13+$I$14,XX,AB59+1)</f>
        <v>2041</v>
      </c>
      <c r="AC60" s="117"/>
      <c r="AD60" s="151">
        <f t="shared" si="4"/>
        <v>323504</v>
      </c>
      <c r="AF60" s="154">
        <f t="shared" si="19"/>
        <v>161.31646421001244</v>
      </c>
      <c r="AH60" s="154">
        <f t="shared" si="20"/>
        <v>32.312388637154143</v>
      </c>
      <c r="AJ60" s="154">
        <f t="shared" si="21"/>
        <v>3.2975444858303442</v>
      </c>
      <c r="AL60" s="153">
        <f t="shared" si="15"/>
        <v>14542.644172066257</v>
      </c>
      <c r="AN60" s="154">
        <f>INDEX('(2.2)_Forward_Price_Curve'!$K:$K,MATCH($AB60,'(2.2)_Forward_Price_Curve'!$C:$C,0),1)</f>
        <v>7.2385291666666687</v>
      </c>
      <c r="AP60" s="154">
        <f t="shared" si="5"/>
        <v>52.59530732748366</v>
      </c>
      <c r="AR60" s="154">
        <f t="shared" si="18"/>
        <v>3.7211022935962879</v>
      </c>
      <c r="AS60" s="154"/>
      <c r="AT60" s="153">
        <f t="shared" si="6"/>
        <v>8384.4981643354167</v>
      </c>
      <c r="AV60" s="153">
        <f t="shared" si="7"/>
        <v>18218.583778057848</v>
      </c>
      <c r="AW60" s="273"/>
      <c r="AX60" s="155">
        <f t="shared" si="8"/>
        <v>26603.081942393263</v>
      </c>
      <c r="AZ60" s="384">
        <f>+IF(AZ59&gt;$I$13+$I$14,XX,AZ59+1)</f>
        <v>2041</v>
      </c>
      <c r="BA60" s="117"/>
      <c r="BB60" s="154">
        <f t="shared" si="16"/>
        <v>76.805851085672373</v>
      </c>
      <c r="BD60" s="154">
        <f t="shared" si="17"/>
        <v>11.677807080786923</v>
      </c>
      <c r="BF60" s="153">
        <f t="shared" si="9"/>
        <v>6158.1460077308402</v>
      </c>
      <c r="BH60" s="157"/>
    </row>
    <row r="61" spans="2:60" ht="12">
      <c r="B61" s="2"/>
      <c r="C61" s="354">
        <f>+IF(C60&gt;$I$13+$I$14,XX,C60+1)</f>
        <v>2042</v>
      </c>
      <c r="E61" s="356">
        <f>'(2.2)_Forward_Price_Curve'!S55</f>
        <v>2.1999999999999999E-2</v>
      </c>
      <c r="G61" s="550">
        <v>323504</v>
      </c>
      <c r="I61" s="360">
        <v>118.28710754372037</v>
      </c>
      <c r="K61" s="471">
        <v>22.650707698800346</v>
      </c>
      <c r="M61" s="28">
        <f t="shared" si="11"/>
        <v>0</v>
      </c>
      <c r="O61" s="471">
        <v>1.0199999999999998</v>
      </c>
      <c r="Q61" s="471">
        <v>0</v>
      </c>
      <c r="S61" s="18">
        <f t="shared" si="0"/>
        <v>19367.992270221024</v>
      </c>
      <c r="U61" s="18">
        <f t="shared" si="1"/>
        <v>27205.328485300008</v>
      </c>
      <c r="W61" s="18">
        <f t="shared" si="2"/>
        <v>-7837.3362150789835</v>
      </c>
      <c r="Y61" s="271">
        <f t="shared" si="3"/>
        <v>-24.226396629033903</v>
      </c>
      <c r="Z61" s="235"/>
      <c r="AB61" s="378">
        <f>+IF(AB60&gt;$I$13+$I$14,XX,AB60+1)</f>
        <v>2042</v>
      </c>
      <c r="AC61" s="117"/>
      <c r="AD61" s="151">
        <f t="shared" si="4"/>
        <v>323504</v>
      </c>
      <c r="AF61" s="154">
        <f t="shared" si="19"/>
        <v>164.86542642263271</v>
      </c>
      <c r="AH61" s="154">
        <f t="shared" si="20"/>
        <v>33.023261187171535</v>
      </c>
      <c r="AJ61" s="154">
        <f t="shared" si="21"/>
        <v>3.3700904645186118</v>
      </c>
      <c r="AL61" s="153">
        <f t="shared" si="15"/>
        <v>14862.582343851713</v>
      </c>
      <c r="AN61" s="154">
        <f>INDEX('(2.2)_Forward_Price_Curve'!$K:$K,MATCH($AB61,'(2.2)_Forward_Price_Curve'!$C:$C,0),1)</f>
        <v>7.4050000000000002</v>
      </c>
      <c r="AP61" s="154">
        <f t="shared" si="5"/>
        <v>53.804887953413605</v>
      </c>
      <c r="AR61" s="154">
        <f t="shared" si="18"/>
        <v>3.8029665440554061</v>
      </c>
      <c r="AS61" s="154"/>
      <c r="AT61" s="153">
        <f t="shared" si="6"/>
        <v>8568.9571239507932</v>
      </c>
      <c r="AV61" s="153">
        <f t="shared" si="7"/>
        <v>18636.371361349215</v>
      </c>
      <c r="AW61" s="273"/>
      <c r="AX61" s="155">
        <f t="shared" si="8"/>
        <v>27205.328485300008</v>
      </c>
      <c r="AZ61" s="384">
        <f>+IF(AZ60&gt;$I$13+$I$14,XX,AZ60+1)</f>
        <v>2042</v>
      </c>
      <c r="BA61" s="117"/>
      <c r="BB61" s="154">
        <f t="shared" si="16"/>
        <v>78.495579809557171</v>
      </c>
      <c r="BD61" s="154">
        <f t="shared" si="17"/>
        <v>11.934718836564237</v>
      </c>
      <c r="BF61" s="153">
        <f t="shared" si="9"/>
        <v>6293.6252199009186</v>
      </c>
      <c r="BH61" s="157"/>
    </row>
    <row r="62" spans="2:60" ht="12">
      <c r="B62" s="2"/>
      <c r="C62" s="354">
        <f>+IF(C61&gt;$I$13+$I$14,XX,C61+1)</f>
        <v>2043</v>
      </c>
      <c r="E62" s="356">
        <f>'(2.2)_Forward_Price_Curve'!S56</f>
        <v>2.1999999999999999E-2</v>
      </c>
      <c r="G62" s="550">
        <v>323504</v>
      </c>
      <c r="I62" s="360">
        <v>120.53456258705103</v>
      </c>
      <c r="K62" s="471">
        <v>23.171673975872761</v>
      </c>
      <c r="M62" s="28">
        <f t="shared" si="11"/>
        <v>0</v>
      </c>
      <c r="O62" s="471">
        <v>1.05</v>
      </c>
      <c r="Q62" s="471">
        <v>0</v>
      </c>
      <c r="S62" s="18">
        <f t="shared" si="0"/>
        <v>19768.730114008791</v>
      </c>
      <c r="U62" s="18">
        <f t="shared" si="1"/>
        <v>27803.84571197661</v>
      </c>
      <c r="W62" s="18">
        <f t="shared" si="2"/>
        <v>-8035.1155979678188</v>
      </c>
      <c r="Y62" s="271">
        <f t="shared" si="3"/>
        <v>-24.837762741628598</v>
      </c>
      <c r="Z62" s="235"/>
      <c r="AB62" s="378">
        <f>+IF(AB61&gt;$I$13+$I$14,XX,AB61+1)</f>
        <v>2043</v>
      </c>
      <c r="AC62" s="117"/>
      <c r="AD62" s="151">
        <f t="shared" si="4"/>
        <v>323504</v>
      </c>
      <c r="AF62" s="154">
        <f t="shared" si="19"/>
        <v>168.49246580393063</v>
      </c>
      <c r="AH62" s="154">
        <f t="shared" si="20"/>
        <v>33.749772933289307</v>
      </c>
      <c r="AJ62" s="154">
        <f t="shared" si="21"/>
        <v>3.4442324547380214</v>
      </c>
      <c r="AL62" s="153">
        <f t="shared" si="15"/>
        <v>15189.559155416453</v>
      </c>
      <c r="AN62" s="154">
        <f>INDEX('(2.2)_Forward_Price_Curve'!$K:$K,MATCH($AB62,'(2.2)_Forward_Price_Curve'!$C:$C,0),1)</f>
        <v>7.5679100000000004</v>
      </c>
      <c r="AP62" s="154">
        <f t="shared" si="5"/>
        <v>54.988595488388711</v>
      </c>
      <c r="AR62" s="154">
        <f t="shared" si="18"/>
        <v>3.8866318080246249</v>
      </c>
      <c r="AS62" s="154"/>
      <c r="AT62" s="153">
        <f t="shared" si="6"/>
        <v>8757.4741806777129</v>
      </c>
      <c r="AV62" s="153">
        <f t="shared" si="7"/>
        <v>19046.371531298897</v>
      </c>
      <c r="AW62" s="273"/>
      <c r="AX62" s="155">
        <f t="shared" si="8"/>
        <v>27803.84571197661</v>
      </c>
      <c r="AZ62" s="384">
        <f>+IF(AZ61&gt;$I$13+$I$14,XX,AZ61+1)</f>
        <v>2043</v>
      </c>
      <c r="BA62" s="117"/>
      <c r="BB62" s="154">
        <f t="shared" si="16"/>
        <v>80.222482565367429</v>
      </c>
      <c r="BD62" s="154">
        <f t="shared" si="17"/>
        <v>12.197282650968651</v>
      </c>
      <c r="BF62" s="153">
        <f t="shared" si="9"/>
        <v>6432.0849747387392</v>
      </c>
      <c r="BH62" s="157"/>
    </row>
    <row r="63" spans="2:60" ht="12">
      <c r="B63" s="2"/>
      <c r="C63" s="354">
        <f>+IF(C62&gt;$I$13+$I$14,XX,C62+1)</f>
        <v>2044</v>
      </c>
      <c r="E63" s="356">
        <f>'(2.2)_Forward_Price_Curve'!S57</f>
        <v>2.3E-2</v>
      </c>
      <c r="G63" s="550">
        <v>323504</v>
      </c>
      <c r="I63" s="360">
        <v>122.824719276205</v>
      </c>
      <c r="K63" s="471">
        <v>23.76956664848856</v>
      </c>
      <c r="M63" s="28">
        <f t="shared" si="11"/>
        <v>0</v>
      </c>
      <c r="O63" s="471">
        <v>1.0700000000000003</v>
      </c>
      <c r="Q63" s="471">
        <v>0</v>
      </c>
      <c r="S63" s="18">
        <f t="shared" si="0"/>
        <v>20195.346377396938</v>
      </c>
      <c r="U63" s="18">
        <f t="shared" si="1"/>
        <v>28425.545132757194</v>
      </c>
      <c r="W63" s="18">
        <f t="shared" si="2"/>
        <v>-8230.1987553602557</v>
      </c>
      <c r="Y63" s="271">
        <f t="shared" si="3"/>
        <v>-25.440794411692764</v>
      </c>
      <c r="Z63" s="235"/>
      <c r="AB63" s="378">
        <f>+IF(AB62&gt;$I$13+$I$14,XX,AB62+1)</f>
        <v>2044</v>
      </c>
      <c r="AC63" s="117"/>
      <c r="AD63" s="151">
        <f t="shared" si="4"/>
        <v>323504</v>
      </c>
      <c r="AF63" s="154">
        <f t="shared" si="19"/>
        <v>172.36779251742101</v>
      </c>
      <c r="AH63" s="154">
        <f t="shared" si="20"/>
        <v>34.526017710754957</v>
      </c>
      <c r="AJ63" s="154">
        <f t="shared" si="21"/>
        <v>3.5234498011969957</v>
      </c>
      <c r="AL63" s="153">
        <f t="shared" si="15"/>
        <v>15538.919015991029</v>
      </c>
      <c r="AN63" s="154">
        <f>INDEX('(2.2)_Forward_Price_Curve'!$K:$K,MATCH($AB63,'(2.2)_Forward_Price_Curve'!$C:$C,0),1)</f>
        <v>7.7344040200000004</v>
      </c>
      <c r="AP63" s="154">
        <f t="shared" si="5"/>
        <v>56.198344589133256</v>
      </c>
      <c r="AR63" s="154">
        <f t="shared" si="18"/>
        <v>3.9760243396091908</v>
      </c>
      <c r="AS63" s="154"/>
      <c r="AT63" s="153">
        <f t="shared" si="6"/>
        <v>8958.8960868332979</v>
      </c>
      <c r="AV63" s="153">
        <f t="shared" si="7"/>
        <v>19466.649045923896</v>
      </c>
      <c r="AW63" s="273"/>
      <c r="AX63" s="155">
        <f t="shared" si="8"/>
        <v>28425.545132757194</v>
      </c>
      <c r="AZ63" s="384">
        <f>+IF(AZ62&gt;$I$13+$I$14,XX,AZ62+1)</f>
        <v>2044</v>
      </c>
      <c r="BA63" s="117"/>
      <c r="BB63" s="154">
        <f t="shared" si="16"/>
        <v>82.067599664370874</v>
      </c>
      <c r="BD63" s="154">
        <f t="shared" si="17"/>
        <v>12.477820151940929</v>
      </c>
      <c r="BF63" s="153">
        <f t="shared" si="9"/>
        <v>6580.0229291577298</v>
      </c>
      <c r="BH63" s="157"/>
    </row>
    <row r="64" spans="2:60" ht="12">
      <c r="B64" s="2"/>
      <c r="C64" s="354">
        <f>+IF(C63&gt;$I$13+$I$14,XX,C63+1)</f>
        <v>2045</v>
      </c>
      <c r="E64" s="356">
        <f>'(2.2)_Forward_Price_Curve'!S58</f>
        <v>2.3E-2</v>
      </c>
      <c r="G64" s="550">
        <v>323504</v>
      </c>
      <c r="I64" s="360">
        <v>125.15838894245289</v>
      </c>
      <c r="K64" s="471">
        <v>24.249828794296135</v>
      </c>
      <c r="M64" s="28">
        <f t="shared" si="11"/>
        <v>0</v>
      </c>
      <c r="O64" s="471">
        <v>1.1000000000000001</v>
      </c>
      <c r="Q64" s="471">
        <v>0</v>
      </c>
      <c r="S64" s="18">
        <f t="shared" si="0"/>
        <v>20591.451519572816</v>
      </c>
      <c r="U64" s="18">
        <f t="shared" si="1"/>
        <v>29061.152281542651</v>
      </c>
      <c r="W64" s="18">
        <f t="shared" si="2"/>
        <v>-8469.7007619698343</v>
      </c>
      <c r="Y64" s="271">
        <f t="shared" si="3"/>
        <v>-26.181131491325715</v>
      </c>
      <c r="Z64" s="235"/>
      <c r="AB64" s="378">
        <f>+IF(AB63&gt;$I$13+$I$14,XX,AB63+1)</f>
        <v>2045</v>
      </c>
      <c r="AC64" s="117"/>
      <c r="AD64" s="151">
        <f t="shared" si="4"/>
        <v>323504</v>
      </c>
      <c r="AF64" s="154">
        <f t="shared" si="19"/>
        <v>176.33225174532168</v>
      </c>
      <c r="AH64" s="154">
        <f t="shared" si="20"/>
        <v>35.32011611810232</v>
      </c>
      <c r="AJ64" s="154">
        <f t="shared" si="21"/>
        <v>3.6044891466245264</v>
      </c>
      <c r="AL64" s="153">
        <f t="shared" si="15"/>
        <v>15896.314153358822</v>
      </c>
      <c r="AN64" s="154">
        <f>INDEX('(2.2)_Forward_Price_Curve'!$K:$K,MATCH($AB64,'(2.2)_Forward_Price_Curve'!$C:$C,0),1)</f>
        <v>7.9045609084400006</v>
      </c>
      <c r="AP64" s="154">
        <f t="shared" si="5"/>
        <v>57.43470817009419</v>
      </c>
      <c r="AR64" s="154">
        <f t="shared" si="18"/>
        <v>4.0674728994202018</v>
      </c>
      <c r="AS64" s="154"/>
      <c r="AT64" s="153">
        <f t="shared" si="6"/>
        <v>9164.9506968304649</v>
      </c>
      <c r="AV64" s="153">
        <f t="shared" si="7"/>
        <v>19896.201584712184</v>
      </c>
      <c r="AW64" s="273"/>
      <c r="AX64" s="155">
        <f t="shared" si="8"/>
        <v>29061.152281542651</v>
      </c>
      <c r="AZ64" s="384">
        <f>+IF(AZ63&gt;$I$13+$I$14,XX,AZ63+1)</f>
        <v>2045</v>
      </c>
      <c r="BA64" s="117"/>
      <c r="BB64" s="154">
        <f t="shared" si="16"/>
        <v>83.9551544566514</v>
      </c>
      <c r="BD64" s="154">
        <f t="shared" si="17"/>
        <v>12.764810015435568</v>
      </c>
      <c r="BF64" s="153">
        <f t="shared" si="9"/>
        <v>6731.3634565283573</v>
      </c>
      <c r="BH64" s="157"/>
    </row>
    <row r="65" spans="2:60" ht="12">
      <c r="B65" s="2"/>
      <c r="C65" s="354">
        <f>+IF(C64&gt;$I$13+$I$14,XX,C64+1)</f>
        <v>2046</v>
      </c>
      <c r="E65" s="356">
        <f>'(2.2)_Forward_Price_Curve'!S59</f>
        <v>2.3E-2</v>
      </c>
      <c r="G65" s="550">
        <v>323504</v>
      </c>
      <c r="I65" s="360">
        <v>127.53639833235947</v>
      </c>
      <c r="K65" s="471">
        <v>24.807574856564941</v>
      </c>
      <c r="M65" s="28">
        <f t="shared" si="11"/>
        <v>0</v>
      </c>
      <c r="O65" s="471">
        <v>1.1200000000000001</v>
      </c>
      <c r="Q65" s="471">
        <v>0</v>
      </c>
      <c r="S65" s="18">
        <f t="shared" si="0"/>
        <v>21013.777611301772</v>
      </c>
      <c r="U65" s="18">
        <f t="shared" si="1"/>
        <v>29710.978426186273</v>
      </c>
      <c r="W65" s="18">
        <f t="shared" si="2"/>
        <v>-8697.2008148845016</v>
      </c>
      <c r="Y65" s="271">
        <f t="shared" si="3"/>
        <v>-26.884368709148891</v>
      </c>
      <c r="Z65" s="235"/>
      <c r="AB65" s="378">
        <f>+IF(AB64&gt;$I$13+$I$14,XX,AB64+1)</f>
        <v>2046</v>
      </c>
      <c r="AC65" s="117"/>
      <c r="AD65" s="151">
        <f t="shared" si="4"/>
        <v>323504</v>
      </c>
      <c r="AF65" s="154">
        <f t="shared" si="19"/>
        <v>180.38789353546406</v>
      </c>
      <c r="AH65" s="154">
        <f t="shared" si="20"/>
        <v>36.132478788818666</v>
      </c>
      <c r="AJ65" s="154">
        <f t="shared" si="21"/>
        <v>3.68739239699689</v>
      </c>
      <c r="AL65" s="153">
        <f t="shared" si="15"/>
        <v>16261.929378886074</v>
      </c>
      <c r="AN65" s="154">
        <f>INDEX('(2.2)_Forward_Price_Curve'!$K:$K,MATCH($AB65,'(2.2)_Forward_Price_Curve'!$C:$C,0),1)</f>
        <v>8.0784612484256808</v>
      </c>
      <c r="AP65" s="154">
        <f t="shared" si="5"/>
        <v>58.698271749836266</v>
      </c>
      <c r="AR65" s="154">
        <f t="shared" si="18"/>
        <v>4.1610247761068662</v>
      </c>
      <c r="AS65" s="154"/>
      <c r="AT65" s="153">
        <f t="shared" si="6"/>
        <v>9375.7445628575661</v>
      </c>
      <c r="AV65" s="153">
        <f t="shared" si="7"/>
        <v>20335.233863328707</v>
      </c>
      <c r="AW65" s="273"/>
      <c r="AX65" s="155">
        <f t="shared" si="8"/>
        <v>29710.978426186273</v>
      </c>
      <c r="AZ65" s="384">
        <f>+IF(AZ64&gt;$I$13+$I$14,XX,AZ64+1)</f>
        <v>2046</v>
      </c>
      <c r="BA65" s="117"/>
      <c r="BB65" s="154">
        <f t="shared" si="16"/>
        <v>85.886123009154375</v>
      </c>
      <c r="BD65" s="154">
        <f t="shared" si="17"/>
        <v>13.058400645790584</v>
      </c>
      <c r="BF65" s="153">
        <f t="shared" si="9"/>
        <v>6886.184816028509</v>
      </c>
      <c r="BH65" s="157"/>
    </row>
    <row r="66" spans="2:60" ht="12">
      <c r="B66" s="2"/>
      <c r="C66" s="354">
        <f>+IF(C65&gt;$I$13+$I$14,XX,C65+1)</f>
        <v>2047</v>
      </c>
      <c r="E66" s="356">
        <f>'(2.2)_Forward_Price_Curve'!S60</f>
        <v>2.3E-2</v>
      </c>
      <c r="G66" s="550">
        <v>323504</v>
      </c>
      <c r="I66" s="360">
        <v>129.9595899006743</v>
      </c>
      <c r="K66" s="471">
        <v>25.378149078265938</v>
      </c>
      <c r="M66" s="28">
        <f t="shared" si="11"/>
        <v>0</v>
      </c>
      <c r="O66" s="471">
        <v>1.1499999999999997</v>
      </c>
      <c r="Q66" s="471">
        <v>0</v>
      </c>
      <c r="S66" s="18">
        <f t="shared" si="0"/>
        <v>21447.961739582101</v>
      </c>
      <c r="U66" s="18">
        <f t="shared" si="1"/>
        <v>30375.341804284395</v>
      </c>
      <c r="W66" s="18">
        <f t="shared" si="2"/>
        <v>-8927.3800647022945</v>
      </c>
      <c r="Y66" s="271">
        <f t="shared" si="3"/>
        <v>-27.595887731534368</v>
      </c>
      <c r="Z66" s="235"/>
      <c r="AB66" s="378">
        <f>+IF(AB65&gt;$I$13+$I$14,XX,AB65+1)</f>
        <v>2047</v>
      </c>
      <c r="AC66" s="117"/>
      <c r="AD66" s="151">
        <f t="shared" si="4"/>
        <v>323504</v>
      </c>
      <c r="AF66" s="154">
        <f t="shared" si="19"/>
        <v>184.53681508677971</v>
      </c>
      <c r="AH66" s="154">
        <f t="shared" si="20"/>
        <v>36.963525800961492</v>
      </c>
      <c r="AJ66" s="154">
        <f t="shared" si="21"/>
        <v>3.7722024221278181</v>
      </c>
      <c r="AL66" s="153">
        <f t="shared" si="15"/>
        <v>16635.95375460045</v>
      </c>
      <c r="AN66" s="154">
        <f>INDEX('(2.2)_Forward_Price_Curve'!$K:$K,MATCH($AB66,'(2.2)_Forward_Price_Curve'!$C:$C,0),1)</f>
        <v>8.2561873958910468</v>
      </c>
      <c r="AP66" s="154">
        <f t="shared" si="5"/>
        <v>59.98963372833267</v>
      </c>
      <c r="AR66" s="154">
        <f t="shared" si="18"/>
        <v>4.256728345957324</v>
      </c>
      <c r="AS66" s="154"/>
      <c r="AT66" s="153">
        <f t="shared" si="6"/>
        <v>9591.3866878032859</v>
      </c>
      <c r="AV66" s="153">
        <f t="shared" si="7"/>
        <v>20783.955116481109</v>
      </c>
      <c r="AW66" s="273"/>
      <c r="AX66" s="155">
        <f t="shared" si="8"/>
        <v>30375.341804284395</v>
      </c>
      <c r="AZ66" s="384">
        <f>+IF(AZ65&gt;$I$13+$I$14,XX,AZ65+1)</f>
        <v>2047</v>
      </c>
      <c r="BA66" s="117"/>
      <c r="BB66" s="154">
        <f t="shared" si="16"/>
        <v>87.861503838364911</v>
      </c>
      <c r="BD66" s="154">
        <f t="shared" si="17"/>
        <v>13.358743860643767</v>
      </c>
      <c r="BF66" s="153">
        <f t="shared" si="9"/>
        <v>7044.5670667971635</v>
      </c>
      <c r="BH66" s="157"/>
    </row>
    <row r="67" spans="2:60" ht="12">
      <c r="B67" s="2"/>
      <c r="C67" s="354">
        <f>+IF(C66&gt;$I$13+$I$14,XX,C66+1)</f>
        <v>2048</v>
      </c>
      <c r="E67" s="356">
        <f>'(2.2)_Forward_Price_Curve'!S61</f>
        <v>2.1999999999999999E-2</v>
      </c>
      <c r="G67" s="550">
        <v>323504</v>
      </c>
      <c r="I67" s="360">
        <v>132.42882210878713</v>
      </c>
      <c r="K67" s="471">
        <v>26.032974853660765</v>
      </c>
      <c r="M67" s="28">
        <f t="shared" si="11"/>
        <v>0</v>
      </c>
      <c r="O67" s="471">
        <v>1.17</v>
      </c>
      <c r="Q67" s="471">
        <v>0</v>
      </c>
      <c r="S67" s="18">
        <f t="shared" si="0"/>
        <v>21910.724565828594</v>
      </c>
      <c r="U67" s="18">
        <f t="shared" si="1"/>
        <v>31043.599323978659</v>
      </c>
      <c r="W67" s="18">
        <f t="shared" si="2"/>
        <v>-9132.8747581500647</v>
      </c>
      <c r="Y67" s="271">
        <f t="shared" si="3"/>
        <v>-28.231103040920871</v>
      </c>
      <c r="Z67" s="235"/>
      <c r="AB67" s="378">
        <f>+IF(AB66&gt;$I$13+$I$14,XX,AB66+1)</f>
        <v>2048</v>
      </c>
      <c r="AC67" s="117"/>
      <c r="AD67" s="151">
        <f t="shared" si="4"/>
        <v>323504</v>
      </c>
      <c r="AF67" s="154">
        <f t="shared" si="19"/>
        <v>188.59662501868885</v>
      </c>
      <c r="AH67" s="154">
        <f t="shared" si="20"/>
        <v>37.776723368582644</v>
      </c>
      <c r="AJ67" s="154">
        <f t="shared" si="21"/>
        <v>3.85519087541463</v>
      </c>
      <c r="AL67" s="153">
        <f>((AF67+AH67)*$AF$11*1000+AJ67*AD67)/1000</f>
        <v>17001.944737201662</v>
      </c>
      <c r="AN67" s="154">
        <f>INDEX('(2.2)_Forward_Price_Curve'!$K:$K,MATCH($AB67,'(2.2)_Forward_Price_Curve'!$C:$C,0),1)</f>
        <v>8.4378235186006503</v>
      </c>
      <c r="AP67" s="154">
        <f t="shared" si="5"/>
        <v>61.309405670356</v>
      </c>
      <c r="AR67" s="154">
        <f t="shared" si="18"/>
        <v>4.3503763695683855</v>
      </c>
      <c r="AS67" s="154"/>
      <c r="AT67" s="153">
        <f t="shared" si="6"/>
        <v>9802.3971949349616</v>
      </c>
      <c r="AV67" s="153">
        <f t="shared" si="7"/>
        <v>21241.202129043697</v>
      </c>
      <c r="AW67" s="273"/>
      <c r="AX67" s="155">
        <f>AT67+AV67</f>
        <v>31043.599323978659</v>
      </c>
      <c r="AZ67" s="384">
        <f>+IF(AZ66&gt;$I$13+$I$14,XX,AZ66+1)</f>
        <v>2048</v>
      </c>
      <c r="BA67" s="117"/>
      <c r="BB67" s="154">
        <f t="shared" si="16"/>
        <v>89.794456922808934</v>
      </c>
      <c r="BD67" s="154">
        <f t="shared" si="17"/>
        <v>13.652636225577929</v>
      </c>
      <c r="BF67" s="153">
        <f t="shared" si="9"/>
        <v>7199.5475422667014</v>
      </c>
      <c r="BH67" s="157"/>
    </row>
    <row r="68" spans="2:60" ht="12">
      <c r="B68" s="2"/>
      <c r="C68" s="354">
        <f>+IF(C67&gt;$I$13+$I$14,XX,C67+1)</f>
        <v>2049</v>
      </c>
      <c r="E68" s="356">
        <f>'(2.2)_Forward_Price_Curve'!S62</f>
        <v>2.1999999999999999E-2</v>
      </c>
      <c r="G68" s="550">
        <v>161310.05464480867</v>
      </c>
      <c r="I68" s="360">
        <v>67.472484864427045</v>
      </c>
      <c r="K68" s="471">
        <v>13.279484488364286</v>
      </c>
      <c r="M68" s="28">
        <f t="shared" si="11"/>
        <v>0</v>
      </c>
      <c r="O68" s="471">
        <v>1.2000000000000002</v>
      </c>
      <c r="Q68" s="471">
        <v>0</v>
      </c>
      <c r="S68" s="18">
        <f t="shared" si="0"/>
        <v>9015.4624356249788</v>
      </c>
      <c r="U68" s="18">
        <f t="shared" si="1"/>
        <v>16258.942926848411</v>
      </c>
      <c r="W68" s="18">
        <f t="shared" si="2"/>
        <v>-7243.4804912234322</v>
      </c>
      <c r="Y68" s="271">
        <f t="shared" si="3"/>
        <v>-44.904085533744158</v>
      </c>
      <c r="Z68" s="235"/>
      <c r="AB68" s="378">
        <f>+IF(AB67&gt;$I$13+$I$14,XX,AB67+1)</f>
        <v>2049</v>
      </c>
      <c r="AC68" s="117"/>
      <c r="AD68" s="151">
        <f t="shared" si="4"/>
        <v>161310.05464480867</v>
      </c>
      <c r="AF68" s="154">
        <f t="shared" si="19"/>
        <v>192.7457507691</v>
      </c>
      <c r="AH68" s="154">
        <f t="shared" si="20"/>
        <v>38.607811282691465</v>
      </c>
      <c r="AJ68" s="154">
        <f t="shared" si="21"/>
        <v>3.9400050746737518</v>
      </c>
      <c r="AL68" s="153">
        <f>((AF68+AH68)*$AR$11*1000+AJ68*AD68)/1000</f>
        <v>12792.282659584369</v>
      </c>
      <c r="AN68" s="154">
        <f>INDEX('(2.2)_Forward_Price_Curve'!$K:$K,MATCH($AB68,'(2.2)_Forward_Price_Curve'!$C:$C,0),1)</f>
        <v>8.6234556360098651</v>
      </c>
      <c r="AP68" s="154">
        <f t="shared" si="5"/>
        <v>62.658212595103834</v>
      </c>
      <c r="AR68" s="154">
        <f t="shared" si="18"/>
        <v>4.4460846496988902</v>
      </c>
      <c r="AS68" s="154"/>
      <c r="AT68" s="153">
        <f t="shared" si="6"/>
        <v>5434.345071387801</v>
      </c>
      <c r="AV68" s="153">
        <f t="shared" si="7"/>
        <v>10824.59785546061</v>
      </c>
      <c r="AW68" s="273"/>
      <c r="AX68" s="155">
        <f t="shared" si="8"/>
        <v>16258.942926848411</v>
      </c>
      <c r="AZ68" s="384">
        <f>+IF(AZ67&gt;$I$13+$I$14,XX,AZ67+1)</f>
        <v>2049</v>
      </c>
      <c r="BA68" s="117"/>
      <c r="BB68" s="154">
        <f t="shared" si="16"/>
        <v>91.769934975110729</v>
      </c>
      <c r="BD68" s="154">
        <f t="shared" si="17"/>
        <v>13.952994222540644</v>
      </c>
      <c r="BF68" s="153">
        <f t="shared" si="9"/>
        <v>7357.937588196568</v>
      </c>
      <c r="BH68" s="157"/>
    </row>
    <row r="69" spans="2:60">
      <c r="B69" s="2"/>
      <c r="E69" s="169"/>
      <c r="G69" s="267"/>
      <c r="H69" s="267"/>
      <c r="I69" s="267"/>
      <c r="K69" s="267"/>
      <c r="M69" s="267"/>
      <c r="O69" s="267"/>
      <c r="Q69" s="267"/>
      <c r="S69" s="267"/>
      <c r="U69" s="267"/>
      <c r="W69" s="267"/>
      <c r="Y69" s="267"/>
      <c r="Z69" s="235"/>
      <c r="AB69" s="2"/>
      <c r="AF69" s="274"/>
      <c r="AH69" s="274"/>
      <c r="AJ69" s="274"/>
      <c r="AL69" s="273"/>
      <c r="AN69" s="274"/>
      <c r="AP69" s="274"/>
      <c r="AR69" s="274"/>
      <c r="AS69" s="274"/>
      <c r="AT69" s="274"/>
      <c r="AV69" s="273"/>
      <c r="AW69" s="273"/>
      <c r="AX69" s="275"/>
      <c r="AZ69" s="2"/>
      <c r="BB69" s="274"/>
      <c r="BF69" s="273"/>
      <c r="BH69" s="235"/>
    </row>
    <row r="70" spans="2:60" ht="12">
      <c r="B70" s="2"/>
      <c r="C70" s="4" t="s">
        <v>342</v>
      </c>
      <c r="E70" s="169"/>
      <c r="G70" s="466">
        <f>+-PMT($I$18,41,NPV($I$18,G28:G68))</f>
        <v>308295.19216592406</v>
      </c>
      <c r="I70" s="466">
        <f>+-PMT($I$18,41,NPV($I$18,I28:I68))</f>
        <v>216.98948392318408</v>
      </c>
      <c r="J70" s="28"/>
      <c r="K70" s="466">
        <f>+-PMT($I$18,41,NPV($I$18,K28:K68))</f>
        <v>12.391138628673955</v>
      </c>
      <c r="M70" s="28">
        <f>+-PMT($G$18,$G$14,NPV($G$18,M28:M51))</f>
        <v>0</v>
      </c>
      <c r="O70" s="466">
        <f>+-PMT($I$18,41,NPV($I$18,O28:O68))</f>
        <v>3.2245428273260783</v>
      </c>
      <c r="Q70" s="466">
        <f>+-PMT($I$18,41,NPV($I$18,Q28:Q68))</f>
        <v>-30.449620160483835</v>
      </c>
      <c r="S70" s="466">
        <f>+-PMT($I$18,41,NPV($I$18,S28:S68))</f>
        <v>16990.625702525427</v>
      </c>
      <c r="U70" s="466">
        <f>+-PMT($I$18,41,NPV($I$18,U28:U68))</f>
        <v>19410.26634290806</v>
      </c>
      <c r="W70" s="285">
        <f>+-PMT($I$18,41,NPV($I$18,W28:W68))</f>
        <v>-2419.64064038263</v>
      </c>
      <c r="Y70" s="466">
        <f>+-PMT($I$18,41,NPV($I$18,Y28:Y68))</f>
        <v>-8.8136173210603506</v>
      </c>
      <c r="Z70" s="235"/>
      <c r="AB70" s="2"/>
      <c r="AD70" s="466">
        <f>+-PMT($I$18,41,NPV($I$18,AD28:AD68))</f>
        <v>308295.19216592406</v>
      </c>
      <c r="AF70" s="466">
        <f>+-PMT($I$18,41,NPV($I$18,AF28:AF68))</f>
        <v>94.182078616446063</v>
      </c>
      <c r="AH70" s="466">
        <f>+-PMT($I$18,41,NPV($I$18,AH28:AH68))</f>
        <v>16.973878524490814</v>
      </c>
      <c r="AJ70" s="466">
        <f>+-PMT($I$18,41,NPV($I$18,AJ28:AJ68))</f>
        <v>2.5370140171159856</v>
      </c>
      <c r="AL70" s="467">
        <f>+-PMT($I$18,41,NPV($I$18,AL28:AL68))</f>
        <v>8497.5342796891891</v>
      </c>
      <c r="AN70" s="466">
        <f>+-PMT($I$18,41,NPV($I$18,AN28:AN68))</f>
        <v>6.3870502564255052</v>
      </c>
      <c r="AP70" s="466">
        <f>+-PMT($I$18,41,NPV($I$18,AP28:AP68))</f>
        <v>46.408443403078429</v>
      </c>
      <c r="AR70" s="466">
        <f>+-PMT($I$18,41,NPV($I$18,AR28:AR68))</f>
        <v>2.7449700625634819</v>
      </c>
      <c r="AS70" s="154"/>
      <c r="AT70" s="467">
        <f>+-PMT($I$18,41,NPV($I$18,AT28:AT68))</f>
        <v>4396.832809016998</v>
      </c>
      <c r="AV70" s="467">
        <f>+-PMT($I$18,41,NPV($I$18,AV28:AV68))</f>
        <v>15013.433533891051</v>
      </c>
      <c r="AW70" s="273"/>
      <c r="AX70" s="467">
        <f>+-PMT($I$18,41,NPV($I$18,AX28:AX68))</f>
        <v>19410.26634290806</v>
      </c>
      <c r="AY70" s="311"/>
      <c r="AZ70" s="2"/>
      <c r="BB70" s="466">
        <f>+-PMT($I$18,41,NPV($I$18,BB28:BB68))</f>
        <v>51.144917010388028</v>
      </c>
      <c r="BD70" s="466">
        <f>+-PMT($I$18,41,NPV($I$18,BD28:BD68))</f>
        <v>7.7762366482204612</v>
      </c>
      <c r="BF70" s="467">
        <f>+-PMT($I$18,41,NPV($I$18,BF28:BF68))</f>
        <v>4100.7014706721939</v>
      </c>
      <c r="BH70" s="157"/>
    </row>
    <row r="71" spans="2:60" ht="12">
      <c r="B71" s="2"/>
      <c r="E71" s="169"/>
      <c r="G71" s="466"/>
      <c r="I71" s="466"/>
      <c r="J71" s="28"/>
      <c r="K71" s="466"/>
      <c r="M71" s="28"/>
      <c r="O71" s="28"/>
      <c r="Q71" s="466"/>
      <c r="S71" s="18"/>
      <c r="U71" s="18"/>
      <c r="W71" s="18"/>
      <c r="Y71" s="271"/>
      <c r="Z71" s="235"/>
      <c r="AB71" s="2"/>
      <c r="AD71" s="151"/>
      <c r="AF71" s="154"/>
      <c r="AH71" s="154"/>
      <c r="AJ71" s="154"/>
      <c r="AL71" s="153"/>
      <c r="AN71" s="154"/>
      <c r="AP71" s="154"/>
      <c r="AR71" s="154"/>
      <c r="AS71" s="154"/>
      <c r="AT71" s="153"/>
      <c r="AV71" s="153"/>
      <c r="AW71" s="273"/>
      <c r="AX71" s="155"/>
      <c r="AZ71" s="2"/>
      <c r="BB71" s="154"/>
      <c r="BD71" s="154"/>
      <c r="BF71" s="153"/>
      <c r="BH71" s="157"/>
    </row>
    <row r="72" spans="2:60" ht="12">
      <c r="B72" s="2"/>
      <c r="E72" s="169"/>
      <c r="I72" s="466"/>
      <c r="W72" s="18"/>
      <c r="Y72" s="271"/>
      <c r="Z72" s="235"/>
      <c r="AB72" s="2"/>
      <c r="AX72" s="235"/>
      <c r="AZ72" s="2"/>
      <c r="BH72" s="235"/>
    </row>
    <row r="73" spans="2:60">
      <c r="B73" s="238"/>
      <c r="C73" s="277"/>
      <c r="D73" s="277"/>
      <c r="E73" s="278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39"/>
      <c r="AB73" s="238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39"/>
      <c r="AZ73" s="238"/>
      <c r="BA73" s="277"/>
      <c r="BB73" s="277"/>
      <c r="BC73" s="277"/>
      <c r="BD73" s="277"/>
      <c r="BE73" s="277"/>
      <c r="BF73" s="277"/>
      <c r="BG73" s="277"/>
      <c r="BH73" s="239"/>
    </row>
    <row r="74" spans="2:60">
      <c r="E74" s="169"/>
    </row>
    <row r="75" spans="2:60">
      <c r="E75" s="169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</sheetData>
  <pageMargins left="0.25" right="0.25" top="0.25" bottom="0.75" header="0.3" footer="0.3"/>
  <pageSetup paperSize="5" scale="48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145C8-7359-4F4F-BBB1-91B31A61283D}">
  <sheetPr codeName="Sheet16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311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309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20</v>
      </c>
      <c r="H11" s="252"/>
      <c r="AB11" s="122" t="s">
        <v>99</v>
      </c>
      <c r="AC11" s="123"/>
      <c r="AD11" s="123"/>
      <c r="AE11" s="123"/>
      <c r="AF11" s="281">
        <f>+G11*(G12/AJ16)</f>
        <v>7.6251487361344221</v>
      </c>
      <c r="AG11" s="127"/>
      <c r="AH11" s="123" t="s">
        <v>100</v>
      </c>
      <c r="AI11" s="124"/>
      <c r="AJ11" s="166">
        <f>'(2.1)_Proxy Resources'!N40</f>
        <v>19.215270973980179</v>
      </c>
      <c r="AK11" s="235"/>
      <c r="AZ11" s="122" t="s">
        <v>99</v>
      </c>
      <c r="BA11" s="123"/>
      <c r="BB11" s="123"/>
      <c r="BC11" s="123"/>
      <c r="BD11" s="134">
        <f>(AF11*AF13-G11*G19)</f>
        <v>-4.3148512638655774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0.26600000000000001</v>
      </c>
      <c r="H12" s="252"/>
      <c r="AB12" s="122" t="s">
        <v>32</v>
      </c>
      <c r="AC12" s="123"/>
      <c r="AD12" s="123"/>
      <c r="AE12" s="123"/>
      <c r="AF12" s="131">
        <f>+AD58/8760/AF11</f>
        <v>0.66350431319357084</v>
      </c>
      <c r="AG12" s="127"/>
      <c r="AH12" s="117" t="s">
        <v>101</v>
      </c>
      <c r="AI12" s="118"/>
      <c r="AJ12" s="117">
        <v>2018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2019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Resources'!O40</f>
        <v>2.2102879231948753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20</v>
      </c>
      <c r="H14" s="252"/>
      <c r="AB14" s="122" t="s">
        <v>104</v>
      </c>
      <c r="AC14" s="123"/>
      <c r="AD14" s="123"/>
      <c r="AE14" s="123"/>
      <c r="AF14" s="134">
        <f>'(2.1)_Proxy Resources'!H40</f>
        <v>6500.8988201101647</v>
      </c>
      <c r="AG14" s="127"/>
      <c r="AH14" s="117" t="s">
        <v>148</v>
      </c>
      <c r="AI14" s="118"/>
      <c r="AJ14" s="166">
        <v>0</v>
      </c>
      <c r="AK14" s="235"/>
      <c r="AZ14" s="122" t="s">
        <v>192</v>
      </c>
      <c r="BA14" s="123"/>
      <c r="BB14" s="123"/>
      <c r="BC14" s="123"/>
      <c r="BD14" s="167">
        <f>'(2.1)_Proxy Resources'!J41</f>
        <v>843</v>
      </c>
      <c r="BE14" s="132"/>
    </row>
    <row r="15" spans="1:57" ht="12">
      <c r="A15" t="s">
        <v>283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244</v>
      </c>
      <c r="AC15" s="123"/>
      <c r="AD15" s="123"/>
      <c r="AE15" s="123"/>
      <c r="AF15" s="167">
        <f>'(2.1)_Proxy Resources'!J40</f>
        <v>1350.7921550317262</v>
      </c>
      <c r="AG15" s="127"/>
      <c r="AH15" s="117" t="s">
        <v>145</v>
      </c>
      <c r="AI15" s="118"/>
      <c r="AJ15" s="166">
        <f>'(2.1)_Proxy Resources'!P40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Resources'!K41</f>
        <v>6.9599999999999995E-2</v>
      </c>
      <c r="BE15" s="132"/>
    </row>
    <row r="16" spans="1:57" ht="12">
      <c r="A16" t="s">
        <v>283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Resources'!K39</f>
        <v>6.7898535686010855E-2</v>
      </c>
      <c r="AG16" s="127"/>
      <c r="AH16" s="117" t="s">
        <v>110</v>
      </c>
      <c r="AI16" s="124"/>
      <c r="AJ16" s="137">
        <f>'(2.1)_Proxy Resources'!D40</f>
        <v>0.6976913086021953</v>
      </c>
      <c r="AK16" s="235"/>
      <c r="AZ16" s="122" t="s">
        <v>100</v>
      </c>
      <c r="BA16" s="124"/>
      <c r="BB16" s="166">
        <f>'(2.1)_Proxy Resources'!O41</f>
        <v>6.61</v>
      </c>
      <c r="BE16" s="130"/>
    </row>
    <row r="17" spans="1:60" ht="12">
      <c r="A17" t="s">
        <v>283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2018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'(2.2)_Forward_Price_Curve'!AA9</f>
        <v>6.9099999999999995E-2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'(2.2)_Forward_Price_Curve'!L107</f>
        <v>0.59699999999999998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2019</v>
      </c>
      <c r="E28" s="169">
        <f>'(2.2)_Forward_Price_Curve'!T33</f>
        <v>1.9E-2</v>
      </c>
      <c r="G28" s="18">
        <v>7680</v>
      </c>
      <c r="I28" s="268">
        <f>$G$15*(1+E28)</f>
        <v>0</v>
      </c>
      <c r="J28" s="268"/>
      <c r="K28" s="268">
        <v>46.511573151828316</v>
      </c>
      <c r="L28" s="269"/>
      <c r="M28" s="268">
        <f>$G$17</f>
        <v>0</v>
      </c>
      <c r="O28" s="270">
        <f>'(2.2)_Forward_Price_Curve'!AD33</f>
        <v>0.85</v>
      </c>
      <c r="Q28" s="28"/>
      <c r="S28" s="18">
        <f>(I28*$G$11*1000+(K28+M28+O28+Q28)*G28)/1000</f>
        <v>363.73688180604148</v>
      </c>
      <c r="U28" s="18">
        <f t="shared" ref="U28:U47" si="0">AX28</f>
        <v>1282.7044337034572</v>
      </c>
      <c r="W28" s="18">
        <f t="shared" ref="W28:W47" si="1">S28-U28</f>
        <v>-918.96755189741566</v>
      </c>
      <c r="Y28" s="271">
        <f>+W28*1000/G28</f>
        <v>-119.657233319976</v>
      </c>
      <c r="Z28" s="235"/>
      <c r="AB28" s="146">
        <f>$C$28</f>
        <v>2019</v>
      </c>
      <c r="AC28" s="117"/>
      <c r="AD28" s="151">
        <f t="shared" ref="AD28:AD47" si="2">G28</f>
        <v>7680</v>
      </c>
      <c r="AF28" s="152">
        <f>$AF$15*$AF$16*(1+E28)</f>
        <v>93.459428720318471</v>
      </c>
      <c r="AG28" s="272"/>
      <c r="AH28" s="152">
        <f>$AJ$11*(1+E28)</f>
        <v>19.580361122485801</v>
      </c>
      <c r="AI28" s="272"/>
      <c r="AJ28" s="152">
        <f>$AJ$13*(1+E28)</f>
        <v>2.2522833937355777</v>
      </c>
      <c r="AK28" s="272"/>
      <c r="AL28" s="153">
        <f>((AF28+AH28)*$AF$11*1000+AJ28*AD28)/1000</f>
        <v>879.24274711664884</v>
      </c>
      <c r="AN28" s="154">
        <f>INDEX('(2.2)_Forward_Price_Curve'!$L:$L,MATCH($AB28,'(2.2)_Forward_Price_Curve'!$C:$C,0),1)</f>
        <v>1.9742583333333332</v>
      </c>
      <c r="AO28" s="279"/>
      <c r="AP28" s="154">
        <f>AN28*$AF$14/1000+$AJ$14/(1+E29)</f>
        <v>12.834453669759327</v>
      </c>
      <c r="AQ28" s="272"/>
      <c r="AR28" s="152">
        <f>$AJ$15*(1+E28)</f>
        <v>2.3249328704020966</v>
      </c>
      <c r="AS28" s="152"/>
      <c r="AT28" s="153">
        <f t="shared" ref="AT28:AT47" si="3">AL28-BF28</f>
        <v>1166.2803450750175</v>
      </c>
      <c r="AU28" s="272"/>
      <c r="AV28" s="153">
        <f t="shared" ref="AV28:AV47" si="4">(AP28+AR28)*AD28/1000</f>
        <v>116.42408862843975</v>
      </c>
      <c r="AW28" s="273"/>
      <c r="AX28" s="155">
        <f>AT28+AV28</f>
        <v>1282.7044337034572</v>
      </c>
      <c r="AZ28" s="146">
        <f>$C$28</f>
        <v>2019</v>
      </c>
      <c r="BA28" s="117"/>
      <c r="BB28" s="152">
        <f>$BD$14*$BD$15*(1+E28)</f>
        <v>59.787583199999986</v>
      </c>
      <c r="BD28" s="152">
        <f>$BB$16*(1+E28)</f>
        <v>6.7355899999999993</v>
      </c>
      <c r="BE28" s="272"/>
      <c r="BF28" s="153">
        <f>(BB28+BD28)*$BD$11</f>
        <v>-287.03759795836868</v>
      </c>
      <c r="BG28" s="272"/>
      <c r="BH28" s="156"/>
    </row>
    <row r="29" spans="1:60" ht="12">
      <c r="B29" s="2"/>
      <c r="C29">
        <f>+IF(C28&gt;$G$13+$G$14,XX,C28+1)</f>
        <v>2020</v>
      </c>
      <c r="E29" s="169">
        <f>'(2.2)_Forward_Price_Curve'!T34</f>
        <v>2.5000000000000001E-2</v>
      </c>
      <c r="G29" s="18">
        <v>49590</v>
      </c>
      <c r="I29" s="28">
        <f>I28*(1+$E29)</f>
        <v>0</v>
      </c>
      <c r="K29" s="28">
        <v>46.511573151828316</v>
      </c>
      <c r="M29" s="28">
        <f>M28*(1+$E29)</f>
        <v>0</v>
      </c>
      <c r="O29" s="270">
        <f>'(2.2)_Forward_Price_Curve'!AD34</f>
        <v>0.87222518878125355</v>
      </c>
      <c r="Q29" s="28"/>
      <c r="S29" s="18">
        <f t="shared" ref="S29:S47" si="5">(I29*$G$11*1000+(K29+M29+O29+Q29)*G29)/1000</f>
        <v>2349.7625597108286</v>
      </c>
      <c r="U29" s="18">
        <f t="shared" si="0"/>
        <v>2018.0489448742817</v>
      </c>
      <c r="W29" s="18">
        <f t="shared" si="1"/>
        <v>331.71361483654687</v>
      </c>
      <c r="Y29" s="271">
        <f t="shared" ref="Y29:Y47" si="6">+W29*1000/G29</f>
        <v>6.6891231062017926</v>
      </c>
      <c r="Z29" s="235"/>
      <c r="AB29" s="146">
        <f>+IF(AB28&gt;$G$13+$G$14,XX,AB28+1)</f>
        <v>2020</v>
      </c>
      <c r="AC29" s="117"/>
      <c r="AD29" s="151">
        <f t="shared" si="2"/>
        <v>49590</v>
      </c>
      <c r="AF29" s="154">
        <f>AF28*(1+$E29)</f>
        <v>95.79591443832642</v>
      </c>
      <c r="AH29" s="154">
        <f>AH28*(1+$E29)</f>
        <v>20.069870150547946</v>
      </c>
      <c r="AJ29" s="154">
        <f>AJ28*(1+$E29)</f>
        <v>2.3085904785789668</v>
      </c>
      <c r="AL29" s="153">
        <f t="shared" ref="AL29:AL47" si="7">((AF29+AH29)*$AF$11*1000+AJ29*AD29)/1000</f>
        <v>997.9768427518095</v>
      </c>
      <c r="AN29" s="154">
        <f>INDEX('(2.2)_Forward_Price_Curve'!$L:$L,MATCH($AB29,'(2.2)_Forward_Price_Curve'!$C:$C,0),1)</f>
        <v>1.8849916666666668</v>
      </c>
      <c r="AP29" s="154">
        <f>AN29*$AF$14/1000+$AJ$14</f>
        <v>12.254140101750828</v>
      </c>
      <c r="AR29" s="154">
        <f>AR28*(1+$E29)</f>
        <v>2.3830561921621487</v>
      </c>
      <c r="AS29" s="154"/>
      <c r="AT29" s="153">
        <f t="shared" si="3"/>
        <v>1292.1903806591372</v>
      </c>
      <c r="AV29" s="153">
        <f t="shared" si="4"/>
        <v>725.8585642151445</v>
      </c>
      <c r="AW29" s="273"/>
      <c r="AX29" s="155">
        <f t="shared" ref="AX29:AX47" si="8">AT29+AV29</f>
        <v>2018.0489448742817</v>
      </c>
      <c r="AZ29" s="146">
        <f>+IF(AZ28&gt;$G$13+$G$14,XX,AZ28+1)</f>
        <v>2020</v>
      </c>
      <c r="BA29" s="117"/>
      <c r="BB29" s="154">
        <f>BB28*(1+$E29)</f>
        <v>61.282272779999978</v>
      </c>
      <c r="BD29" s="154">
        <f>BD28*(1+$E29)</f>
        <v>6.9039797499999986</v>
      </c>
      <c r="BF29" s="153">
        <f t="shared" ref="BF29:BF47" si="9">(BB29+BD29)*$BD$11</f>
        <v>-294.2135379073278</v>
      </c>
      <c r="BH29" s="157"/>
    </row>
    <row r="30" spans="1:60" ht="12">
      <c r="B30" s="2"/>
      <c r="C30">
        <f>+IF(C29&gt;$G$13+$G$14,XX,C29+1)</f>
        <v>2021</v>
      </c>
      <c r="E30" s="169">
        <f>'(2.2)_Forward_Price_Curve'!T35</f>
        <v>2.4E-2</v>
      </c>
      <c r="G30" s="18">
        <v>49280</v>
      </c>
      <c r="I30" s="28">
        <f t="shared" ref="I30:I47" si="10">I29*(1+$E30)</f>
        <v>0</v>
      </c>
      <c r="K30" s="28">
        <v>46.511573151828316</v>
      </c>
      <c r="M30" s="28">
        <f t="shared" ref="M30:M46" si="11">M29*(1+$E30)</f>
        <v>0</v>
      </c>
      <c r="O30" s="270">
        <f>'(2.2)_Forward_Price_Curve'!AD35</f>
        <v>0.89441110644161892</v>
      </c>
      <c r="Q30" s="28"/>
      <c r="S30" s="18">
        <f t="shared" si="5"/>
        <v>2336.1669042475423</v>
      </c>
      <c r="U30" s="18">
        <f t="shared" si="0"/>
        <v>2067.6522271184399</v>
      </c>
      <c r="W30" s="18">
        <f t="shared" si="1"/>
        <v>268.51467712910244</v>
      </c>
      <c r="Y30" s="271">
        <f t="shared" si="6"/>
        <v>5.4487556235613326</v>
      </c>
      <c r="Z30" s="235"/>
      <c r="AB30" s="146">
        <f>+IF(AB29&gt;$G$13+$G$14,XX,AB29+1)</f>
        <v>2021</v>
      </c>
      <c r="AC30" s="117"/>
      <c r="AD30" s="151">
        <f t="shared" si="2"/>
        <v>49280</v>
      </c>
      <c r="AF30" s="154">
        <f>AF29*(1+$E30)</f>
        <v>98.095016384846261</v>
      </c>
      <c r="AH30" s="154">
        <f t="shared" ref="AH30:AH47" si="12">AH29*(1+$E30)</f>
        <v>20.551547034161096</v>
      </c>
      <c r="AJ30" s="154">
        <f t="shared" ref="AJ30:AJ47" si="13">AJ29*(1+$E30)</f>
        <v>2.3639966500648621</v>
      </c>
      <c r="AL30" s="153">
        <f t="shared" si="7"/>
        <v>1021.1954480163329</v>
      </c>
      <c r="AN30" s="154">
        <f>INDEX('(2.2)_Forward_Price_Curve'!$L:$L,MATCH($AB30,'(2.2)_Forward_Price_Curve'!$C:$C,0),1)</f>
        <v>1.9506749999999997</v>
      </c>
      <c r="AP30" s="154">
        <f>AN30*$AF$14/1000+$AJ$14*(1+E30)</f>
        <v>12.681140805918394</v>
      </c>
      <c r="AR30" s="154">
        <f t="shared" ref="AR30:AR47" si="14">AR29*(1+$E30)</f>
        <v>2.4402495407740403</v>
      </c>
      <c r="AS30" s="154"/>
      <c r="AT30" s="153">
        <f t="shared" si="3"/>
        <v>1322.4701108334366</v>
      </c>
      <c r="AV30" s="153">
        <f t="shared" si="4"/>
        <v>745.18211628500319</v>
      </c>
      <c r="AW30" s="273"/>
      <c r="AX30" s="155">
        <f t="shared" si="8"/>
        <v>2067.6522271184399</v>
      </c>
      <c r="AZ30" s="146">
        <f>+IF(AZ29&gt;$G$13+$G$14,XX,AZ29+1)</f>
        <v>2021</v>
      </c>
      <c r="BA30" s="117"/>
      <c r="BB30" s="154">
        <f t="shared" ref="BB30:BB47" si="15">BB29*(1+$E30)</f>
        <v>62.75304732671998</v>
      </c>
      <c r="BD30" s="154">
        <f t="shared" ref="BD30:BD47" si="16">BD29*(1+$E30)</f>
        <v>7.0696752639999989</v>
      </c>
      <c r="BF30" s="153">
        <f t="shared" si="9"/>
        <v>-301.27466281710372</v>
      </c>
      <c r="BH30" s="157"/>
    </row>
    <row r="31" spans="1:60" ht="12">
      <c r="B31" s="2"/>
      <c r="C31">
        <f>+IF(C30&gt;$G$13+$G$14,XX,C30+1)</f>
        <v>2022</v>
      </c>
      <c r="E31" s="169">
        <f>'(2.2)_Forward_Price_Curve'!T36</f>
        <v>2.4E-2</v>
      </c>
      <c r="G31" s="18">
        <v>49030</v>
      </c>
      <c r="I31" s="28">
        <f t="shared" si="10"/>
        <v>0</v>
      </c>
      <c r="K31" s="28">
        <v>46.511573151828316</v>
      </c>
      <c r="M31" s="28">
        <f t="shared" si="11"/>
        <v>0</v>
      </c>
      <c r="O31" s="270">
        <f>'(2.2)_Forward_Price_Curve'!AD36</f>
        <v>0.91699200095245803</v>
      </c>
      <c r="Q31" s="28"/>
      <c r="S31" s="18">
        <f t="shared" si="5"/>
        <v>2325.4225494408411</v>
      </c>
      <c r="U31" s="18">
        <f t="shared" si="0"/>
        <v>2251.0701065197368</v>
      </c>
      <c r="W31" s="18">
        <f t="shared" si="1"/>
        <v>74.352442921104284</v>
      </c>
      <c r="Y31" s="271">
        <f t="shared" si="6"/>
        <v>1.5164683443015357</v>
      </c>
      <c r="Z31" s="235"/>
      <c r="AB31" s="146">
        <f>+IF(AB30&gt;$G$13+$G$14,XX,AB30+1)</f>
        <v>2022</v>
      </c>
      <c r="AC31" s="117"/>
      <c r="AD31" s="151">
        <f t="shared" si="2"/>
        <v>49030</v>
      </c>
      <c r="AF31" s="154">
        <f>AF30*(1+$E31)</f>
        <v>100.44929677808257</v>
      </c>
      <c r="AH31" s="154">
        <f t="shared" si="12"/>
        <v>21.044784162980964</v>
      </c>
      <c r="AJ31" s="154">
        <f t="shared" si="13"/>
        <v>2.420732569666419</v>
      </c>
      <c r="AL31" s="153">
        <f t="shared" si="7"/>
        <v>1045.0989556263082</v>
      </c>
      <c r="AN31" s="154">
        <f>INDEX('(2.2)_Forward_Price_Curve'!$L:$L,MATCH($AB31,'(2.2)_Forward_Price_Curve'!$C:$C,0),1)</f>
        <v>2.431295833333333</v>
      </c>
      <c r="AP31" s="154">
        <f>AN31*$AF$14/1000+$AJ$14*(1+E31)</f>
        <v>15.805608214255424</v>
      </c>
      <c r="AR31" s="154">
        <f t="shared" si="14"/>
        <v>2.4988155297526173</v>
      </c>
      <c r="AS31" s="154"/>
      <c r="AT31" s="153">
        <f t="shared" si="3"/>
        <v>1353.6042103510224</v>
      </c>
      <c r="AV31" s="153">
        <f t="shared" si="4"/>
        <v>897.46589616871427</v>
      </c>
      <c r="AW31" s="273"/>
      <c r="AX31" s="155">
        <f t="shared" si="8"/>
        <v>2251.0701065197368</v>
      </c>
      <c r="AZ31" s="146">
        <f>+IF(AZ30&gt;$G$13+$G$14,XX,AZ30+1)</f>
        <v>2022</v>
      </c>
      <c r="BA31" s="117"/>
      <c r="BB31" s="154">
        <f t="shared" si="15"/>
        <v>64.259120462561256</v>
      </c>
      <c r="BD31" s="154">
        <f t="shared" si="16"/>
        <v>7.239347470335999</v>
      </c>
      <c r="BF31" s="153">
        <f t="shared" si="9"/>
        <v>-308.50525472471418</v>
      </c>
      <c r="BH31" s="157"/>
    </row>
    <row r="32" spans="1:60" ht="12">
      <c r="B32" s="2"/>
      <c r="C32">
        <f>+IF(C31&gt;$G$13+$G$14,XX,C31+1)</f>
        <v>2023</v>
      </c>
      <c r="E32" s="169">
        <f>'(2.2)_Forward_Price_Curve'!T37</f>
        <v>2.4E-2</v>
      </c>
      <c r="G32" s="18">
        <v>48790</v>
      </c>
      <c r="I32" s="28">
        <f t="shared" si="10"/>
        <v>0</v>
      </c>
      <c r="K32" s="28">
        <v>46.51157315182833</v>
      </c>
      <c r="M32" s="28">
        <f t="shared" si="11"/>
        <v>0</v>
      </c>
      <c r="O32" s="270">
        <f>'(2.2)_Forward_Price_Curve'!AD37</f>
        <v>0.93952909305922927</v>
      </c>
      <c r="Q32" s="28"/>
      <c r="S32" s="18">
        <f t="shared" si="5"/>
        <v>2315.1392785280641</v>
      </c>
      <c r="U32" s="18">
        <f t="shared" si="0"/>
        <v>2441.9567431963969</v>
      </c>
      <c r="W32" s="18">
        <f t="shared" si="1"/>
        <v>-126.81746466833283</v>
      </c>
      <c r="Y32" s="271">
        <f t="shared" si="6"/>
        <v>-2.599251171722337</v>
      </c>
      <c r="Z32" s="235"/>
      <c r="AB32" s="146">
        <f>+IF(AB31&gt;$G$13+$G$14,XX,AB31+1)</f>
        <v>2023</v>
      </c>
      <c r="AC32" s="117"/>
      <c r="AD32" s="151">
        <f t="shared" si="2"/>
        <v>48790</v>
      </c>
      <c r="AF32" s="154">
        <f t="shared" ref="AF32:AF47" si="17">AF31*(1+$E32)</f>
        <v>102.86007990075656</v>
      </c>
      <c r="AH32" s="154">
        <f t="shared" si="12"/>
        <v>21.549858982892509</v>
      </c>
      <c r="AJ32" s="154">
        <f t="shared" si="13"/>
        <v>2.4788301513384132</v>
      </c>
      <c r="AL32" s="153">
        <f t="shared" si="7"/>
        <v>1069.5864113250186</v>
      </c>
      <c r="AN32" s="154">
        <f>INDEX('(2.2)_Forward_Price_Curve'!$L:$L,MATCH($AB32,'(2.2)_Forward_Price_Curve'!$C:$C,0),1)</f>
        <v>2.9371999999999994</v>
      </c>
      <c r="AP32" s="154">
        <f t="shared" ref="AP32:AP47" si="18">AN32*$AF$14/1000+$AJ$14*(1+E32)</f>
        <v>19.094440014427573</v>
      </c>
      <c r="AR32" s="154">
        <f t="shared" si="14"/>
        <v>2.5587871024666802</v>
      </c>
      <c r="AS32" s="154"/>
      <c r="AT32" s="153">
        <f t="shared" si="3"/>
        <v>1385.495792163126</v>
      </c>
      <c r="AV32" s="153">
        <f t="shared" si="4"/>
        <v>1056.4609510332707</v>
      </c>
      <c r="AW32" s="273"/>
      <c r="AX32" s="155">
        <f t="shared" si="8"/>
        <v>2441.9567431963969</v>
      </c>
      <c r="AZ32" s="146">
        <f>+IF(AZ31&gt;$G$13+$G$14,XX,AZ31+1)</f>
        <v>2023</v>
      </c>
      <c r="BA32" s="117"/>
      <c r="BB32" s="154">
        <f t="shared" si="15"/>
        <v>65.801339353662726</v>
      </c>
      <c r="BD32" s="154">
        <f t="shared" si="16"/>
        <v>7.4130918096240634</v>
      </c>
      <c r="BF32" s="153">
        <f t="shared" si="9"/>
        <v>-315.90938083810732</v>
      </c>
      <c r="BH32" s="157"/>
    </row>
    <row r="33" spans="2:60" ht="12">
      <c r="B33" s="2"/>
      <c r="C33">
        <f>+IF(C32&gt;$G$13+$G$14,XX,C32+1)</f>
        <v>2024</v>
      </c>
      <c r="E33" s="169">
        <f>'(2.2)_Forward_Price_Curve'!T38</f>
        <v>2.3E-2</v>
      </c>
      <c r="G33" s="18">
        <v>48600</v>
      </c>
      <c r="I33" s="28">
        <f t="shared" si="10"/>
        <v>0</v>
      </c>
      <c r="K33" s="28">
        <v>46.511573151828323</v>
      </c>
      <c r="M33" s="28">
        <f t="shared" si="11"/>
        <v>0</v>
      </c>
      <c r="O33" s="270">
        <f>'(2.2)_Forward_Price_Curve'!AD38</f>
        <v>0.961379129353919</v>
      </c>
      <c r="Q33" s="28"/>
      <c r="S33" s="18">
        <f t="shared" si="5"/>
        <v>2307.1854808654571</v>
      </c>
      <c r="U33" s="18">
        <f t="shared" si="0"/>
        <v>2639.6521166639209</v>
      </c>
      <c r="W33" s="18">
        <f t="shared" si="1"/>
        <v>-332.46663579846381</v>
      </c>
      <c r="Y33" s="271">
        <f t="shared" si="6"/>
        <v>-6.8408772798037827</v>
      </c>
      <c r="Z33" s="235"/>
      <c r="AB33" s="146">
        <f>+IF(AB32&gt;$G$13+$G$14,XX,AB32+1)</f>
        <v>2024</v>
      </c>
      <c r="AC33" s="117"/>
      <c r="AD33" s="151">
        <f t="shared" si="2"/>
        <v>48600</v>
      </c>
      <c r="AF33" s="154">
        <f t="shared" si="17"/>
        <v>105.22586173847395</v>
      </c>
      <c r="AH33" s="154">
        <f t="shared" si="12"/>
        <v>22.045505739499035</v>
      </c>
      <c r="AJ33" s="154">
        <f t="shared" si="13"/>
        <v>2.5358432448191963</v>
      </c>
      <c r="AL33" s="153">
        <f t="shared" si="7"/>
        <v>1093.7050885689782</v>
      </c>
      <c r="AN33" s="154">
        <f>INDEX('(2.2)_Forward_Price_Curve'!$L:$L,MATCH($AB33,'(2.2)_Forward_Price_Curve'!$C:$C,0),1)</f>
        <v>3.4675625000000001</v>
      </c>
      <c r="AP33" s="154">
        <f t="shared" si="18"/>
        <v>22.542272964908253</v>
      </c>
      <c r="AR33" s="154">
        <f t="shared" si="14"/>
        <v>2.6176392058234135</v>
      </c>
      <c r="AS33" s="154"/>
      <c r="AT33" s="153">
        <f t="shared" si="3"/>
        <v>1416.880385166362</v>
      </c>
      <c r="AV33" s="153">
        <f t="shared" si="4"/>
        <v>1222.7717314975589</v>
      </c>
      <c r="AW33" s="273"/>
      <c r="AX33" s="155">
        <f t="shared" si="8"/>
        <v>2639.6521166639209</v>
      </c>
      <c r="AZ33" s="146">
        <f>+IF(AZ32&gt;$G$13+$G$14,XX,AZ32+1)</f>
        <v>2024</v>
      </c>
      <c r="BA33" s="117"/>
      <c r="BB33" s="154">
        <f t="shared" si="15"/>
        <v>67.314770158796961</v>
      </c>
      <c r="BD33" s="154">
        <f t="shared" si="16"/>
        <v>7.5835929212454163</v>
      </c>
      <c r="BF33" s="153">
        <f t="shared" si="9"/>
        <v>-323.17529659738375</v>
      </c>
      <c r="BH33" s="157"/>
    </row>
    <row r="34" spans="2:60" ht="12">
      <c r="B34" s="2"/>
      <c r="C34">
        <f>+IF(C33&gt;$G$13+$G$14,XX,C33+1)</f>
        <v>2025</v>
      </c>
      <c r="E34" s="169">
        <f>'(2.2)_Forward_Price_Curve'!T39</f>
        <v>2.1999999999999999E-2</v>
      </c>
      <c r="G34" s="18">
        <v>48300</v>
      </c>
      <c r="I34" s="28">
        <f t="shared" si="10"/>
        <v>0</v>
      </c>
      <c r="K34" s="28">
        <v>46.51157315182833</v>
      </c>
      <c r="M34" s="28">
        <f t="shared" si="11"/>
        <v>0</v>
      </c>
      <c r="O34" s="270">
        <f>'(2.2)_Forward_Price_Curve'!AD39</f>
        <v>0.98282248298325492</v>
      </c>
      <c r="Q34" s="28"/>
      <c r="S34" s="18">
        <f t="shared" si="5"/>
        <v>2293.9793091613997</v>
      </c>
      <c r="U34" s="18">
        <f t="shared" si="0"/>
        <v>2777.5635698604565</v>
      </c>
      <c r="W34" s="18">
        <f t="shared" si="1"/>
        <v>-483.58426069905681</v>
      </c>
      <c r="Y34" s="271">
        <f t="shared" si="6"/>
        <v>-10.012096494804489</v>
      </c>
      <c r="Z34" s="235"/>
      <c r="AB34" s="146">
        <f>+IF(AB33&gt;$G$13+$G$14,XX,AB33+1)</f>
        <v>2025</v>
      </c>
      <c r="AC34" s="117"/>
      <c r="AD34" s="151">
        <f t="shared" si="2"/>
        <v>48300</v>
      </c>
      <c r="AF34" s="154">
        <f t="shared" si="17"/>
        <v>107.54083069672038</v>
      </c>
      <c r="AH34" s="154">
        <f t="shared" si="12"/>
        <v>22.530506865768015</v>
      </c>
      <c r="AJ34" s="154">
        <f t="shared" si="13"/>
        <v>2.5916317962052187</v>
      </c>
      <c r="AL34" s="153">
        <f t="shared" si="7"/>
        <v>1116.9891109786342</v>
      </c>
      <c r="AN34" s="154">
        <f>INDEX('(2.2)_Forward_Price_Curve'!$L:$L,MATCH($AB34,'(2.2)_Forward_Price_Curve'!$C:$C,0),1)</f>
        <v>3.8251624999999998</v>
      </c>
      <c r="AP34" s="154">
        <f t="shared" si="18"/>
        <v>24.866994382979648</v>
      </c>
      <c r="AR34" s="154">
        <f t="shared" si="14"/>
        <v>2.6752272683515286</v>
      </c>
      <c r="AS34" s="154"/>
      <c r="AT34" s="153">
        <f t="shared" si="3"/>
        <v>1447.2742641011605</v>
      </c>
      <c r="AV34" s="153">
        <f t="shared" si="4"/>
        <v>1330.2893057592958</v>
      </c>
      <c r="AW34" s="273"/>
      <c r="AX34" s="155">
        <f t="shared" si="8"/>
        <v>2777.5635698604565</v>
      </c>
      <c r="AZ34" s="146">
        <f>+IF(AZ33&gt;$G$13+$G$14,XX,AZ33+1)</f>
        <v>2025</v>
      </c>
      <c r="BA34" s="117"/>
      <c r="BB34" s="154">
        <f t="shared" si="15"/>
        <v>68.795695102290495</v>
      </c>
      <c r="BD34" s="154">
        <f t="shared" si="16"/>
        <v>7.7504319655128153</v>
      </c>
      <c r="BF34" s="153">
        <f t="shared" si="9"/>
        <v>-330.2851531225262</v>
      </c>
      <c r="BH34" s="157"/>
    </row>
    <row r="35" spans="2:60" ht="12">
      <c r="B35" s="2"/>
      <c r="C35">
        <f>+IF(C34&gt;$G$13+$G$14,XX,C34+1)</f>
        <v>2026</v>
      </c>
      <c r="E35" s="169">
        <f>'(2.2)_Forward_Price_Curve'!T40</f>
        <v>2.1999999999999999E-2</v>
      </c>
      <c r="G35" s="18">
        <v>48060</v>
      </c>
      <c r="I35" s="28">
        <f t="shared" si="10"/>
        <v>0</v>
      </c>
      <c r="K35" s="28">
        <v>46.511573151828308</v>
      </c>
      <c r="M35" s="28">
        <f t="shared" si="11"/>
        <v>0</v>
      </c>
      <c r="O35" s="270">
        <f>'(2.2)_Forward_Price_Curve'!AD40</f>
        <v>1.0045007081240578</v>
      </c>
      <c r="Q35" s="28"/>
      <c r="S35" s="18">
        <f t="shared" si="5"/>
        <v>2283.6225097093106</v>
      </c>
      <c r="U35" s="18">
        <f t="shared" si="0"/>
        <v>2870.3656164666127</v>
      </c>
      <c r="W35" s="18">
        <f t="shared" si="1"/>
        <v>-586.74310675730203</v>
      </c>
      <c r="Y35" s="271">
        <f t="shared" si="6"/>
        <v>-12.208554031570996</v>
      </c>
      <c r="Z35" s="235"/>
      <c r="AB35" s="146">
        <f>+IF(AB34&gt;$G$13+$G$14,XX,AB34+1)</f>
        <v>2026</v>
      </c>
      <c r="AC35" s="117"/>
      <c r="AD35" s="151">
        <f t="shared" si="2"/>
        <v>48060</v>
      </c>
      <c r="AF35" s="154">
        <f t="shared" si="17"/>
        <v>109.90672897204823</v>
      </c>
      <c r="AH35" s="154">
        <f t="shared" si="12"/>
        <v>23.02617801681491</v>
      </c>
      <c r="AJ35" s="154">
        <f t="shared" si="13"/>
        <v>2.6486476957217335</v>
      </c>
      <c r="AL35" s="153">
        <f t="shared" si="7"/>
        <v>1140.9271959731909</v>
      </c>
      <c r="AN35" s="154">
        <f>INDEX('(2.2)_Forward_Price_Curve'!$L:$L,MATCH($AB35,'(2.2)_Forward_Price_Curve'!$C:$C,0),1)</f>
        <v>4.0344208333333329</v>
      </c>
      <c r="AP35" s="154">
        <f t="shared" si="18"/>
        <v>26.227361635244531</v>
      </c>
      <c r="AR35" s="154">
        <f t="shared" si="14"/>
        <v>2.7340822682552623</v>
      </c>
      <c r="AS35" s="154"/>
      <c r="AT35" s="153">
        <f t="shared" si="3"/>
        <v>1478.4786224644126</v>
      </c>
      <c r="AV35" s="153">
        <f t="shared" si="4"/>
        <v>1391.8869940022</v>
      </c>
      <c r="AW35" s="273"/>
      <c r="AX35" s="155">
        <f t="shared" si="8"/>
        <v>2870.3656164666127</v>
      </c>
      <c r="AZ35" s="146">
        <f>+IF(AZ34&gt;$G$13+$G$14,XX,AZ34+1)</f>
        <v>2026</v>
      </c>
      <c r="BA35" s="117"/>
      <c r="BB35" s="154">
        <f t="shared" si="15"/>
        <v>70.309200394540881</v>
      </c>
      <c r="BD35" s="154">
        <f t="shared" si="16"/>
        <v>7.9209414687540978</v>
      </c>
      <c r="BF35" s="153">
        <f t="shared" si="9"/>
        <v>-337.55142649122172</v>
      </c>
      <c r="BH35" s="157"/>
    </row>
    <row r="36" spans="2:60" ht="12">
      <c r="B36" s="2"/>
      <c r="C36">
        <f>+IF(C35&gt;$G$13+$G$14,XX,C35+1)</f>
        <v>2027</v>
      </c>
      <c r="E36" s="169">
        <f>'(2.2)_Forward_Price_Curve'!T41</f>
        <v>2.1999999999999999E-2</v>
      </c>
      <c r="G36" s="18">
        <v>47820</v>
      </c>
      <c r="I36" s="28">
        <f t="shared" si="10"/>
        <v>0</v>
      </c>
      <c r="K36" s="28">
        <v>46.511573151828337</v>
      </c>
      <c r="M36" s="28">
        <f t="shared" si="11"/>
        <v>0</v>
      </c>
      <c r="O36" s="270">
        <f>'(2.2)_Forward_Price_Curve'!AD41</f>
        <v>1.026779705893067</v>
      </c>
      <c r="Q36" s="28"/>
      <c r="S36" s="18">
        <f t="shared" si="5"/>
        <v>2273.2840336562376</v>
      </c>
      <c r="U36" s="18">
        <f t="shared" si="0"/>
        <v>2885.1438206026642</v>
      </c>
      <c r="W36" s="18">
        <f t="shared" si="1"/>
        <v>-611.85978694642654</v>
      </c>
      <c r="Y36" s="271">
        <f t="shared" si="6"/>
        <v>-12.795060371108876</v>
      </c>
      <c r="Z36" s="235"/>
      <c r="AB36" s="146">
        <f>+IF(AB35&gt;$G$13+$G$14,XX,AB35+1)</f>
        <v>2027</v>
      </c>
      <c r="AC36" s="117"/>
      <c r="AD36" s="151">
        <f t="shared" si="2"/>
        <v>47820</v>
      </c>
      <c r="AF36" s="154">
        <f t="shared" si="17"/>
        <v>112.32467700943329</v>
      </c>
      <c r="AH36" s="154">
        <f t="shared" si="12"/>
        <v>23.532753933184839</v>
      </c>
      <c r="AJ36" s="154">
        <f t="shared" si="13"/>
        <v>2.7069179450276115</v>
      </c>
      <c r="AL36" s="153">
        <f t="shared" si="7"/>
        <v>1165.3779339777943</v>
      </c>
      <c r="AN36" s="154">
        <f>INDEX('(2.2)_Forward_Price_Curve'!$L:$L,MATCH($AB36,'(2.2)_Forward_Price_Curve'!$C:$C,0),1)</f>
        <v>3.9925249999999992</v>
      </c>
      <c r="AP36" s="154">
        <f t="shared" si="18"/>
        <v>25.955001061760328</v>
      </c>
      <c r="AR36" s="154">
        <f t="shared" si="14"/>
        <v>2.7942320781568784</v>
      </c>
      <c r="AS36" s="154"/>
      <c r="AT36" s="153">
        <f t="shared" si="3"/>
        <v>1510.355491851823</v>
      </c>
      <c r="AV36" s="153">
        <f t="shared" si="4"/>
        <v>1374.7883287508409</v>
      </c>
      <c r="AW36" s="273"/>
      <c r="AX36" s="155">
        <f t="shared" si="8"/>
        <v>2885.1438206026642</v>
      </c>
      <c r="AZ36" s="146">
        <f>+IF(AZ35&gt;$G$13+$G$14,XX,AZ35+1)</f>
        <v>2027</v>
      </c>
      <c r="BA36" s="117"/>
      <c r="BB36" s="154">
        <f t="shared" si="15"/>
        <v>71.856002803220775</v>
      </c>
      <c r="BD36" s="154">
        <f t="shared" si="16"/>
        <v>8.0952021810666874</v>
      </c>
      <c r="BF36" s="153">
        <f t="shared" si="9"/>
        <v>-344.97755787402861</v>
      </c>
      <c r="BH36" s="157"/>
    </row>
    <row r="37" spans="2:60" ht="12">
      <c r="B37" s="2"/>
      <c r="C37">
        <f>+IF(C36&gt;$G$13+$G$14,XX,C36+1)</f>
        <v>2028</v>
      </c>
      <c r="E37" s="169">
        <f>'(2.2)_Forward_Price_Curve'!T42</f>
        <v>2.1999999999999999E-2</v>
      </c>
      <c r="G37" s="18">
        <v>47640</v>
      </c>
      <c r="I37" s="28">
        <f t="shared" si="10"/>
        <v>0</v>
      </c>
      <c r="K37" s="28">
        <v>46.511573151828308</v>
      </c>
      <c r="M37" s="28">
        <f t="shared" si="11"/>
        <v>0</v>
      </c>
      <c r="O37" s="270">
        <f>'(2.2)_Forward_Price_Curve'!AD42</f>
        <v>1.0498288329991143</v>
      </c>
      <c r="Q37" s="28"/>
      <c r="S37" s="18">
        <f t="shared" si="5"/>
        <v>2265.8251905571783</v>
      </c>
      <c r="U37" s="18">
        <f t="shared" si="0"/>
        <v>2897.0452244021239</v>
      </c>
      <c r="W37" s="18">
        <f t="shared" si="1"/>
        <v>-631.22003384494565</v>
      </c>
      <c r="Y37" s="271">
        <f t="shared" si="6"/>
        <v>-13.249790802790629</v>
      </c>
      <c r="Z37" s="235"/>
      <c r="AB37" s="146">
        <f>+IF(AB36&gt;$G$13+$G$14,XX,AB36+1)</f>
        <v>2028</v>
      </c>
      <c r="AC37" s="117"/>
      <c r="AD37" s="151">
        <f t="shared" si="2"/>
        <v>47640</v>
      </c>
      <c r="AF37" s="154">
        <f t="shared" si="17"/>
        <v>114.79581990364082</v>
      </c>
      <c r="AH37" s="154">
        <f t="shared" si="12"/>
        <v>24.050474519714907</v>
      </c>
      <c r="AJ37" s="154">
        <f t="shared" si="13"/>
        <v>2.7664701398182192</v>
      </c>
      <c r="AL37" s="153">
        <f t="shared" si="7"/>
        <v>1190.5182839001388</v>
      </c>
      <c r="AN37" s="154">
        <f>INDEX('(2.2)_Forward_Price_Curve'!$L:$L,MATCH($AB37,'(2.2)_Forward_Price_Curve'!$C:$C,0),1)</f>
        <v>3.9325250000000005</v>
      </c>
      <c r="AP37" s="154">
        <f t="shared" si="18"/>
        <v>25.564947132553726</v>
      </c>
      <c r="AR37" s="154">
        <f t="shared" si="14"/>
        <v>2.8557051838763297</v>
      </c>
      <c r="AS37" s="154"/>
      <c r="AT37" s="153">
        <f t="shared" si="3"/>
        <v>1543.0853480473961</v>
      </c>
      <c r="AV37" s="153">
        <f t="shared" si="4"/>
        <v>1353.9598763547278</v>
      </c>
      <c r="AW37" s="273"/>
      <c r="AX37" s="155">
        <f t="shared" si="8"/>
        <v>2897.0452244021239</v>
      </c>
      <c r="AZ37" s="146">
        <f>+IF(AZ36&gt;$G$13+$G$14,XX,AZ36+1)</f>
        <v>2028</v>
      </c>
      <c r="BA37" s="117"/>
      <c r="BB37" s="154">
        <f t="shared" si="15"/>
        <v>73.436834864891637</v>
      </c>
      <c r="BD37" s="154">
        <f t="shared" si="16"/>
        <v>8.2732966290501544</v>
      </c>
      <c r="BF37" s="153">
        <f t="shared" si="9"/>
        <v>-352.56706414725721</v>
      </c>
      <c r="BH37" s="157"/>
    </row>
    <row r="38" spans="2:60" ht="12">
      <c r="B38" s="2"/>
      <c r="C38">
        <f>+IF(C37&gt;$G$13+$G$14,XX,C37+1)</f>
        <v>2029</v>
      </c>
      <c r="E38" s="169">
        <f>'(2.2)_Forward_Price_Curve'!T43</f>
        <v>2.1999999999999999E-2</v>
      </c>
      <c r="G38" s="18">
        <v>47340</v>
      </c>
      <c r="I38" s="28">
        <f t="shared" si="10"/>
        <v>0</v>
      </c>
      <c r="K38" s="28">
        <v>46.511573151828308</v>
      </c>
      <c r="M38" s="28">
        <f t="shared" si="11"/>
        <v>0</v>
      </c>
      <c r="O38" s="270">
        <f>'(2.2)_Forward_Price_Curve'!AD43</f>
        <v>1.0737281421117022</v>
      </c>
      <c r="Q38" s="28"/>
      <c r="S38" s="18">
        <f t="shared" si="5"/>
        <v>2252.6881632551203</v>
      </c>
      <c r="U38" s="18">
        <f t="shared" si="0"/>
        <v>3022.7697768570906</v>
      </c>
      <c r="W38" s="18">
        <f t="shared" si="1"/>
        <v>-770.08161360197028</v>
      </c>
      <c r="Y38" s="271">
        <f t="shared" si="6"/>
        <v>-16.267038732614495</v>
      </c>
      <c r="Z38" s="235"/>
      <c r="AB38" s="146">
        <f>+IF(AB37&gt;$G$13+$G$14,XX,AB37+1)</f>
        <v>2029</v>
      </c>
      <c r="AC38" s="117"/>
      <c r="AD38" s="151">
        <f t="shared" si="2"/>
        <v>47340</v>
      </c>
      <c r="AF38" s="154">
        <f t="shared" si="17"/>
        <v>117.32132794152092</v>
      </c>
      <c r="AH38" s="154">
        <f t="shared" si="12"/>
        <v>24.579584959148637</v>
      </c>
      <c r="AJ38" s="154">
        <f t="shared" si="13"/>
        <v>2.8273324828942199</v>
      </c>
      <c r="AL38" s="153">
        <f t="shared" si="7"/>
        <v>1215.8614864010735</v>
      </c>
      <c r="AN38" s="154">
        <f>INDEX('(2.2)_Forward_Price_Curve'!$L:$L,MATCH($AB38,'(2.2)_Forward_Price_Curve'!$C:$C,0),1)</f>
        <v>4.2515375000000004</v>
      </c>
      <c r="AP38" s="154">
        <f t="shared" si="18"/>
        <v>27.638815117404125</v>
      </c>
      <c r="AR38" s="154">
        <f t="shared" si="14"/>
        <v>2.918530697921609</v>
      </c>
      <c r="AS38" s="154"/>
      <c r="AT38" s="153">
        <f t="shared" si="3"/>
        <v>1576.1850259595703</v>
      </c>
      <c r="AV38" s="153">
        <f t="shared" si="4"/>
        <v>1446.5847508975203</v>
      </c>
      <c r="AW38" s="273"/>
      <c r="AX38" s="155">
        <f t="shared" si="8"/>
        <v>3022.7697768570906</v>
      </c>
      <c r="AZ38" s="146">
        <f>+IF(AZ37&gt;$G$13+$G$14,XX,AZ37+1)</f>
        <v>2029</v>
      </c>
      <c r="BA38" s="117"/>
      <c r="BB38" s="154">
        <f t="shared" si="15"/>
        <v>75.052445231919251</v>
      </c>
      <c r="BD38" s="154">
        <f t="shared" si="16"/>
        <v>8.4553091548892585</v>
      </c>
      <c r="BF38" s="153">
        <f t="shared" si="9"/>
        <v>-360.32353955849692</v>
      </c>
      <c r="BH38" s="157"/>
    </row>
    <row r="39" spans="2:60" ht="12">
      <c r="B39" s="2"/>
      <c r="C39">
        <f>+IF(C38&gt;$G$13+$G$14,XX,C38+1)</f>
        <v>2030</v>
      </c>
      <c r="E39" s="169">
        <f>'(2.2)_Forward_Price_Curve'!T44</f>
        <v>2.1999999999999999E-2</v>
      </c>
      <c r="G39" s="18">
        <v>47110</v>
      </c>
      <c r="I39" s="28">
        <f t="shared" si="10"/>
        <v>0</v>
      </c>
      <c r="K39" s="28">
        <v>46.511573151828301</v>
      </c>
      <c r="M39" s="28">
        <f t="shared" si="11"/>
        <v>0</v>
      </c>
      <c r="O39" s="270">
        <f>'(2.2)_Forward_Price_Curve'!AD44</f>
        <v>1.0977895859175892</v>
      </c>
      <c r="Q39" s="28"/>
      <c r="S39" s="18">
        <f t="shared" si="5"/>
        <v>2242.877078575209</v>
      </c>
      <c r="U39" s="18">
        <f t="shared" si="0"/>
        <v>3223.8136824948324</v>
      </c>
      <c r="W39" s="18">
        <f t="shared" si="1"/>
        <v>-980.93660391962339</v>
      </c>
      <c r="Y39" s="271">
        <f t="shared" si="6"/>
        <v>-20.822258627035097</v>
      </c>
      <c r="Z39" s="235"/>
      <c r="AB39" s="146">
        <f>+IF(AB38&gt;$G$13+$G$14,XX,AB38+1)</f>
        <v>2030</v>
      </c>
      <c r="AC39" s="117"/>
      <c r="AD39" s="151">
        <f t="shared" si="2"/>
        <v>47110</v>
      </c>
      <c r="AF39" s="154">
        <f t="shared" si="17"/>
        <v>119.90239715623439</v>
      </c>
      <c r="AH39" s="154">
        <f t="shared" si="12"/>
        <v>25.120335828249907</v>
      </c>
      <c r="AJ39" s="154">
        <f t="shared" si="13"/>
        <v>2.8895337975178927</v>
      </c>
      <c r="AL39" s="153">
        <f t="shared" si="7"/>
        <v>1241.945846328468</v>
      </c>
      <c r="AN39" s="154">
        <f>INDEX('(2.2)_Forward_Price_Curve'!$L:$L,MATCH($AB39,'(2.2)_Forward_Price_Curve'!$C:$C,0),1)</f>
        <v>4.8100083333333341</v>
      </c>
      <c r="AP39" s="154">
        <f t="shared" si="18"/>
        <v>31.26937749888673</v>
      </c>
      <c r="AR39" s="154">
        <f t="shared" si="14"/>
        <v>2.9827383732758843</v>
      </c>
      <c r="AS39" s="154"/>
      <c r="AT39" s="153">
        <f t="shared" si="3"/>
        <v>1610.1965037572518</v>
      </c>
      <c r="AV39" s="153">
        <f t="shared" si="4"/>
        <v>1613.6171787375808</v>
      </c>
      <c r="AW39" s="273"/>
      <c r="AX39" s="155">
        <f t="shared" si="8"/>
        <v>3223.8136824948324</v>
      </c>
      <c r="AZ39" s="146">
        <f>+IF(AZ38&gt;$G$13+$G$14,XX,AZ38+1)</f>
        <v>2030</v>
      </c>
      <c r="BA39" s="117"/>
      <c r="BB39" s="154">
        <f t="shared" si="15"/>
        <v>76.703599027021482</v>
      </c>
      <c r="BD39" s="154">
        <f t="shared" si="16"/>
        <v>8.6413259562968232</v>
      </c>
      <c r="BF39" s="153">
        <f t="shared" si="9"/>
        <v>-368.25065742878388</v>
      </c>
      <c r="BH39" s="157"/>
    </row>
    <row r="40" spans="2:60" ht="12">
      <c r="B40" s="2"/>
      <c r="C40">
        <f>+IF(C39&gt;$G$13+$G$14,XX,C39+1)</f>
        <v>2031</v>
      </c>
      <c r="E40" s="169">
        <f>'(2.2)_Forward_Price_Curve'!T45</f>
        <v>2.1999999999999999E-2</v>
      </c>
      <c r="G40" s="18">
        <v>46870</v>
      </c>
      <c r="I40" s="28">
        <f t="shared" si="10"/>
        <v>0</v>
      </c>
      <c r="K40" s="28">
        <v>46.511573151828316</v>
      </c>
      <c r="M40" s="28">
        <f t="shared" si="11"/>
        <v>0</v>
      </c>
      <c r="O40" s="270">
        <f>'(2.2)_Forward_Price_Curve'!AD45</f>
        <v>1.1218057776996744</v>
      </c>
      <c r="Q40" s="28"/>
      <c r="S40" s="18">
        <f t="shared" si="5"/>
        <v>2232.5764704269773</v>
      </c>
      <c r="U40" s="18">
        <f t="shared" si="0"/>
        <v>3348.1566066210798</v>
      </c>
      <c r="W40" s="18">
        <f t="shared" si="1"/>
        <v>-1115.5801361941026</v>
      </c>
      <c r="Y40" s="271">
        <f t="shared" si="6"/>
        <v>-23.801581740859877</v>
      </c>
      <c r="Z40" s="235"/>
      <c r="AB40" s="146">
        <f>+IF(AB39&gt;$G$13+$G$14,XX,AB39+1)</f>
        <v>2031</v>
      </c>
      <c r="AC40" s="117"/>
      <c r="AD40" s="151">
        <f t="shared" si="2"/>
        <v>46870</v>
      </c>
      <c r="AF40" s="154">
        <f t="shared" si="17"/>
        <v>122.54024989367154</v>
      </c>
      <c r="AH40" s="154">
        <f t="shared" si="12"/>
        <v>25.672983216471405</v>
      </c>
      <c r="AJ40" s="154">
        <f t="shared" si="13"/>
        <v>2.9531035410632867</v>
      </c>
      <c r="AL40" s="153">
        <f t="shared" si="7"/>
        <v>1268.5599100978393</v>
      </c>
      <c r="AN40" s="154">
        <f>INDEX('(2.2)_Forward_Price_Curve'!$L:$L,MATCH($AB40,'(2.2)_Forward_Price_Curve'!$C:$C,0),1)</f>
        <v>5.1210458333333335</v>
      </c>
      <c r="AP40" s="154">
        <f t="shared" si="18"/>
        <v>33.291400815646746</v>
      </c>
      <c r="AR40" s="154">
        <f t="shared" si="14"/>
        <v>3.048358617487954</v>
      </c>
      <c r="AS40" s="154"/>
      <c r="AT40" s="153">
        <f t="shared" si="3"/>
        <v>1644.9120819900563</v>
      </c>
      <c r="AV40" s="153">
        <f t="shared" si="4"/>
        <v>1703.2445246310233</v>
      </c>
      <c r="AW40" s="273"/>
      <c r="AX40" s="155">
        <f t="shared" si="8"/>
        <v>3348.1566066210798</v>
      </c>
      <c r="AZ40" s="146">
        <f>+IF(AZ39&gt;$G$13+$G$14,XX,AZ39+1)</f>
        <v>2031</v>
      </c>
      <c r="BA40" s="117"/>
      <c r="BB40" s="154">
        <f t="shared" si="15"/>
        <v>78.391078205615955</v>
      </c>
      <c r="BD40" s="154">
        <f t="shared" si="16"/>
        <v>8.8314351273353537</v>
      </c>
      <c r="BF40" s="153">
        <f t="shared" si="9"/>
        <v>-376.35217189221714</v>
      </c>
      <c r="BH40" s="157"/>
    </row>
    <row r="41" spans="2:60" ht="12">
      <c r="B41" s="2"/>
      <c r="C41">
        <f>+IF(C40&gt;$G$13+$G$14,XX,C40+1)</f>
        <v>2032</v>
      </c>
      <c r="E41" s="169">
        <f>'(2.2)_Forward_Price_Curve'!T46</f>
        <v>2.1000000000000001E-2</v>
      </c>
      <c r="G41" s="18">
        <v>46690</v>
      </c>
      <c r="I41" s="28">
        <f t="shared" si="10"/>
        <v>0</v>
      </c>
      <c r="K41" s="28">
        <v>46.511573151828323</v>
      </c>
      <c r="M41" s="28">
        <f t="shared" si="11"/>
        <v>0</v>
      </c>
      <c r="O41" s="270">
        <f>'(2.2)_Forward_Price_Curve'!AD46</f>
        <v>1.1460041088775619</v>
      </c>
      <c r="Q41" s="28"/>
      <c r="S41" s="18">
        <f t="shared" si="5"/>
        <v>2225.1322823023579</v>
      </c>
      <c r="U41" s="18">
        <f t="shared" si="0"/>
        <v>3470.302793210069</v>
      </c>
      <c r="W41" s="18">
        <f t="shared" si="1"/>
        <v>-1245.1705109077111</v>
      </c>
      <c r="Y41" s="271">
        <f t="shared" si="6"/>
        <v>-26.668890788342495</v>
      </c>
      <c r="Z41" s="235"/>
      <c r="AB41" s="146">
        <f>+IF(AB40&gt;$G$13+$G$14,XX,AB40+1)</f>
        <v>2032</v>
      </c>
      <c r="AC41" s="117"/>
      <c r="AD41" s="151">
        <f t="shared" si="2"/>
        <v>46690</v>
      </c>
      <c r="AF41" s="154">
        <f t="shared" si="17"/>
        <v>125.11359514143864</v>
      </c>
      <c r="AH41" s="154">
        <f t="shared" si="12"/>
        <v>26.212115864017303</v>
      </c>
      <c r="AJ41" s="154">
        <f t="shared" si="13"/>
        <v>3.0151187154256154</v>
      </c>
      <c r="AL41" s="153">
        <f t="shared" si="7"/>
        <v>1294.6569468411169</v>
      </c>
      <c r="AN41" s="154">
        <f>INDEX('(2.2)_Forward_Price_Curve'!$L:$L,MATCH($AB41,'(2.2)_Forward_Price_Curve'!$C:$C,0),1)</f>
        <v>5.4231541666666665</v>
      </c>
      <c r="AP41" s="154">
        <f t="shared" si="18"/>
        <v>35.255376523358855</v>
      </c>
      <c r="AR41" s="154">
        <f t="shared" si="14"/>
        <v>3.1123741484552006</v>
      </c>
      <c r="AS41" s="154"/>
      <c r="AT41" s="153">
        <f t="shared" si="3"/>
        <v>1678.9125143430706</v>
      </c>
      <c r="AV41" s="153">
        <f t="shared" si="4"/>
        <v>1791.3902788669984</v>
      </c>
      <c r="AW41" s="273"/>
      <c r="AX41" s="155">
        <f t="shared" si="8"/>
        <v>3470.302793210069</v>
      </c>
      <c r="AZ41" s="146">
        <f>+IF(AZ40&gt;$G$13+$G$14,XX,AZ40+1)</f>
        <v>2032</v>
      </c>
      <c r="BA41" s="117"/>
      <c r="BB41" s="154">
        <f t="shared" si="15"/>
        <v>80.037290847933889</v>
      </c>
      <c r="BD41" s="154">
        <f t="shared" si="16"/>
        <v>9.0168952650093956</v>
      </c>
      <c r="BF41" s="153">
        <f t="shared" si="9"/>
        <v>-384.25556750195369</v>
      </c>
      <c r="BH41" s="157"/>
    </row>
    <row r="42" spans="2:60" ht="12">
      <c r="B42" s="2"/>
      <c r="C42">
        <f>+IF(C41&gt;$G$13+$G$14,XX,C41+1)</f>
        <v>2033</v>
      </c>
      <c r="E42" s="169">
        <f>'(2.2)_Forward_Price_Curve'!T47</f>
        <v>2.1000000000000001E-2</v>
      </c>
      <c r="G42" s="18">
        <v>46400</v>
      </c>
      <c r="I42" s="28">
        <f t="shared" si="10"/>
        <v>0</v>
      </c>
      <c r="K42" s="28">
        <v>46.511573151828323</v>
      </c>
      <c r="M42" s="28">
        <f t="shared" si="11"/>
        <v>0</v>
      </c>
      <c r="O42" s="270">
        <f>'(2.2)_Forward_Price_Curve'!AD47</f>
        <v>1.1705802944541936</v>
      </c>
      <c r="Q42" s="28"/>
      <c r="S42" s="18">
        <f t="shared" si="5"/>
        <v>2212.4519199075085</v>
      </c>
      <c r="U42" s="18">
        <f t="shared" si="0"/>
        <v>3592.2326418050829</v>
      </c>
      <c r="W42" s="18">
        <f t="shared" si="1"/>
        <v>-1379.7807218975745</v>
      </c>
      <c r="Y42" s="271">
        <f t="shared" si="6"/>
        <v>-29.736653489171868</v>
      </c>
      <c r="Z42" s="235"/>
      <c r="AB42" s="146">
        <f>+IF(AB41&gt;$G$13+$G$14,XX,AB41+1)</f>
        <v>2033</v>
      </c>
      <c r="AC42" s="117"/>
      <c r="AD42" s="151">
        <f t="shared" si="2"/>
        <v>46400</v>
      </c>
      <c r="AF42" s="154">
        <f t="shared" si="17"/>
        <v>127.74098063940883</v>
      </c>
      <c r="AH42" s="154">
        <f t="shared" si="12"/>
        <v>26.762570297161663</v>
      </c>
      <c r="AJ42" s="154">
        <f t="shared" si="13"/>
        <v>3.0784362084495531</v>
      </c>
      <c r="AL42" s="153">
        <f t="shared" si="7"/>
        <v>1320.9519962243301</v>
      </c>
      <c r="AN42" s="154">
        <f>INDEX('(2.2)_Forward_Price_Curve'!$L:$L,MATCH($AB42,'(2.2)_Forward_Price_Curve'!$C:$C,0),1)</f>
        <v>5.7402833333333332</v>
      </c>
      <c r="AP42" s="154">
        <f t="shared" si="18"/>
        <v>37.317001148764703</v>
      </c>
      <c r="AR42" s="154">
        <f t="shared" si="14"/>
        <v>3.1777340055727596</v>
      </c>
      <c r="AS42" s="154"/>
      <c r="AT42" s="153">
        <f t="shared" si="3"/>
        <v>1713.2769306438247</v>
      </c>
      <c r="AV42" s="153">
        <f t="shared" si="4"/>
        <v>1878.9557111612583</v>
      </c>
      <c r="AW42" s="273"/>
      <c r="AX42" s="155">
        <f t="shared" si="8"/>
        <v>3592.2326418050829</v>
      </c>
      <c r="AZ42" s="146">
        <f>+IF(AZ41&gt;$G$13+$G$14,XX,AZ41+1)</f>
        <v>2033</v>
      </c>
      <c r="BA42" s="117"/>
      <c r="BB42" s="154">
        <f t="shared" si="15"/>
        <v>81.718073955740493</v>
      </c>
      <c r="BD42" s="154">
        <f t="shared" si="16"/>
        <v>9.2062500655745918</v>
      </c>
      <c r="BF42" s="153">
        <f t="shared" si="9"/>
        <v>-392.3249344194947</v>
      </c>
      <c r="BH42" s="157"/>
    </row>
    <row r="43" spans="2:60" ht="12">
      <c r="B43" s="2"/>
      <c r="C43">
        <f>+IF(C42&gt;$G$13+$G$14,XX,C42+1)</f>
        <v>2034</v>
      </c>
      <c r="E43" s="169">
        <f>'(2.2)_Forward_Price_Curve'!T48</f>
        <v>2.1000000000000001E-2</v>
      </c>
      <c r="G43" s="18">
        <v>46170</v>
      </c>
      <c r="I43" s="28">
        <f t="shared" si="10"/>
        <v>0</v>
      </c>
      <c r="K43" s="28">
        <v>46.511573151828323</v>
      </c>
      <c r="M43" s="28">
        <f t="shared" si="11"/>
        <v>0</v>
      </c>
      <c r="O43" s="270">
        <f>'(2.2)_Forward_Price_Curve'!AD48</f>
        <v>1.1951742037401478</v>
      </c>
      <c r="Q43" s="28"/>
      <c r="S43" s="18">
        <f t="shared" si="5"/>
        <v>2202.6205254065962</v>
      </c>
      <c r="U43" s="18">
        <f t="shared" si="0"/>
        <v>3713.8647461573787</v>
      </c>
      <c r="W43" s="18">
        <f t="shared" si="1"/>
        <v>-1511.2442207507825</v>
      </c>
      <c r="Y43" s="271">
        <f t="shared" si="6"/>
        <v>-32.732168523950236</v>
      </c>
      <c r="Z43" s="235"/>
      <c r="AB43" s="146">
        <f>+IF(AB42&gt;$G$13+$G$14,XX,AB42+1)</f>
        <v>2034</v>
      </c>
      <c r="AC43" s="117"/>
      <c r="AD43" s="151">
        <f t="shared" si="2"/>
        <v>46170</v>
      </c>
      <c r="AF43" s="154">
        <f t="shared" si="17"/>
        <v>130.42354123283641</v>
      </c>
      <c r="AH43" s="154">
        <f t="shared" si="12"/>
        <v>27.324584273402056</v>
      </c>
      <c r="AJ43" s="154">
        <f t="shared" si="13"/>
        <v>3.1430833688269932</v>
      </c>
      <c r="AL43" s="153">
        <f t="shared" si="7"/>
        <v>1347.9690789702108</v>
      </c>
      <c r="AN43" s="154">
        <f>INDEX('(2.2)_Forward_Price_Curve'!$L:$L,MATCH($AB43,'(2.2)_Forward_Price_Curve'!$C:$C,0),1)</f>
        <v>6.0488291666666667</v>
      </c>
      <c r="AP43" s="154">
        <f t="shared" si="18"/>
        <v>39.322826392631285</v>
      </c>
      <c r="AR43" s="154">
        <f t="shared" si="14"/>
        <v>3.2444664196897874</v>
      </c>
      <c r="AS43" s="154"/>
      <c r="AT43" s="153">
        <f t="shared" si="3"/>
        <v>1748.5328370125148</v>
      </c>
      <c r="AV43" s="153">
        <f t="shared" si="4"/>
        <v>1965.3319091448639</v>
      </c>
      <c r="AW43" s="273"/>
      <c r="AX43" s="155">
        <f t="shared" si="8"/>
        <v>3713.8647461573787</v>
      </c>
      <c r="AZ43" s="146">
        <f>+IF(AZ42&gt;$G$13+$G$14,XX,AZ42+1)</f>
        <v>2034</v>
      </c>
      <c r="BA43" s="117"/>
      <c r="BB43" s="154">
        <f t="shared" si="15"/>
        <v>83.434153508811036</v>
      </c>
      <c r="BD43" s="154">
        <f t="shared" si="16"/>
        <v>9.3995813169516573</v>
      </c>
      <c r="BF43" s="153">
        <f t="shared" si="9"/>
        <v>-400.56375804230402</v>
      </c>
      <c r="BH43" s="157"/>
    </row>
    <row r="44" spans="2:60" ht="12">
      <c r="B44" s="2"/>
      <c r="C44">
        <f>+IF(C43&gt;$G$13+$G$14,XX,C43+1)</f>
        <v>2035</v>
      </c>
      <c r="E44" s="169">
        <f>'(2.2)_Forward_Price_Curve'!T49</f>
        <v>2.1000000000000001E-2</v>
      </c>
      <c r="G44" s="18">
        <v>45940</v>
      </c>
      <c r="I44" s="28">
        <f t="shared" si="10"/>
        <v>0</v>
      </c>
      <c r="K44" s="28">
        <v>46.511573151828316</v>
      </c>
      <c r="M44" s="28">
        <f t="shared" si="11"/>
        <v>0</v>
      </c>
      <c r="O44" s="270">
        <f>'(2.2)_Forward_Price_Curve'!AD49</f>
        <v>1.2202670165885168</v>
      </c>
      <c r="Q44" s="28"/>
      <c r="S44" s="18">
        <f t="shared" si="5"/>
        <v>2192.8007373370692</v>
      </c>
      <c r="U44" s="18">
        <f t="shared" si="0"/>
        <v>3647.948026461102</v>
      </c>
      <c r="W44" s="18">
        <f t="shared" si="1"/>
        <v>-1455.1472891240328</v>
      </c>
      <c r="Y44" s="271">
        <f t="shared" si="6"/>
        <v>-31.674951874706849</v>
      </c>
      <c r="Z44" s="235"/>
      <c r="AB44" s="146">
        <f>+IF(AB43&gt;$G$13+$G$14,XX,AB43+1)</f>
        <v>2035</v>
      </c>
      <c r="AC44" s="117"/>
      <c r="AD44" s="151">
        <f t="shared" si="2"/>
        <v>45940</v>
      </c>
      <c r="AF44" s="154">
        <f t="shared" si="17"/>
        <v>133.16243559872598</v>
      </c>
      <c r="AH44" s="154">
        <f t="shared" si="12"/>
        <v>27.898400543143499</v>
      </c>
      <c r="AJ44" s="154">
        <f t="shared" si="13"/>
        <v>3.20908811957236</v>
      </c>
      <c r="AL44" s="153">
        <f t="shared" si="7"/>
        <v>1375.5383393610837</v>
      </c>
      <c r="AN44" s="154">
        <f>INDEX('(2.2)_Forward_Price_Curve'!$L:$L,MATCH($AB44,'(2.2)_Forward_Price_Curve'!$C:$C,0),1)</f>
        <v>5.7299374999999992</v>
      </c>
      <c r="AP44" s="154">
        <f t="shared" si="18"/>
        <v>37.24974393305498</v>
      </c>
      <c r="AR44" s="154">
        <f t="shared" si="14"/>
        <v>3.3126002145032727</v>
      </c>
      <c r="AS44" s="154"/>
      <c r="AT44" s="153">
        <f t="shared" si="3"/>
        <v>1784.5139363222761</v>
      </c>
      <c r="AV44" s="153">
        <f t="shared" si="4"/>
        <v>1863.4340901388261</v>
      </c>
      <c r="AW44" s="273"/>
      <c r="AX44" s="155">
        <f t="shared" si="8"/>
        <v>3647.948026461102</v>
      </c>
      <c r="AZ44" s="146">
        <f>+IF(AZ43&gt;$G$13+$G$14,XX,AZ43+1)</f>
        <v>2035</v>
      </c>
      <c r="BA44" s="117"/>
      <c r="BB44" s="154">
        <f t="shared" si="15"/>
        <v>85.186270732496055</v>
      </c>
      <c r="BD44" s="154">
        <f t="shared" si="16"/>
        <v>9.5969725246076418</v>
      </c>
      <c r="BF44" s="153">
        <f t="shared" si="9"/>
        <v>-408.97559696119231</v>
      </c>
      <c r="BH44" s="157"/>
    </row>
    <row r="45" spans="2:60" ht="12">
      <c r="B45" s="2"/>
      <c r="C45">
        <f>+IF(C44&gt;$G$13+$G$14,XX,C44+1)</f>
        <v>2036</v>
      </c>
      <c r="E45" s="169">
        <f>'(2.2)_Forward_Price_Curve'!T50</f>
        <v>2.1000000000000001E-2</v>
      </c>
      <c r="G45" s="18">
        <v>45760</v>
      </c>
      <c r="I45" s="28">
        <f t="shared" si="10"/>
        <v>0</v>
      </c>
      <c r="K45" s="28">
        <v>46.511573151828316</v>
      </c>
      <c r="M45" s="28">
        <f t="shared" si="11"/>
        <v>0</v>
      </c>
      <c r="O45" s="270">
        <f>'(2.2)_Forward_Price_Curve'!AD50</f>
        <v>1.2456969570142082</v>
      </c>
      <c r="Q45" s="28"/>
      <c r="S45" s="18">
        <f t="shared" si="5"/>
        <v>2185.3726801806338</v>
      </c>
      <c r="U45" s="18">
        <f t="shared" si="0"/>
        <v>3694.9731299251762</v>
      </c>
      <c r="W45" s="18">
        <f t="shared" si="1"/>
        <v>-1509.6004497445424</v>
      </c>
      <c r="Y45" s="271">
        <f t="shared" si="6"/>
        <v>-32.989520317844018</v>
      </c>
      <c r="Z45" s="235"/>
      <c r="AB45" s="146">
        <f>+IF(AB44&gt;$G$13+$G$14,XX,AB44+1)</f>
        <v>2036</v>
      </c>
      <c r="AC45" s="117"/>
      <c r="AD45" s="151">
        <f t="shared" si="2"/>
        <v>45760</v>
      </c>
      <c r="AF45" s="154">
        <f t="shared" si="17"/>
        <v>135.9588467462992</v>
      </c>
      <c r="AH45" s="154">
        <f t="shared" si="12"/>
        <v>28.484266954549511</v>
      </c>
      <c r="AJ45" s="154">
        <f t="shared" si="13"/>
        <v>3.2764789700833794</v>
      </c>
      <c r="AL45" s="153">
        <f t="shared" si="7"/>
        <v>1403.8348782730509</v>
      </c>
      <c r="AN45" s="154">
        <f>INDEX('(2.2)_Forward_Price_Curve'!$L:$L,MATCH($AB45,'(2.2)_Forward_Price_Curve'!$C:$C,0),1)</f>
        <v>5.7778666666666672</v>
      </c>
      <c r="AP45" s="154">
        <f t="shared" si="18"/>
        <v>37.561326596087184</v>
      </c>
      <c r="AR45" s="154">
        <f t="shared" si="14"/>
        <v>3.3821648190078411</v>
      </c>
      <c r="AS45" s="154"/>
      <c r="AT45" s="153">
        <f t="shared" si="3"/>
        <v>1821.3989627704282</v>
      </c>
      <c r="AV45" s="153">
        <f t="shared" si="4"/>
        <v>1873.5741671547482</v>
      </c>
      <c r="AW45" s="273"/>
      <c r="AX45" s="155">
        <f t="shared" si="8"/>
        <v>3694.9731299251762</v>
      </c>
      <c r="AZ45" s="146">
        <f>+IF(AZ44&gt;$G$13+$G$14,XX,AZ44+1)</f>
        <v>2036</v>
      </c>
      <c r="BA45" s="117"/>
      <c r="BB45" s="154">
        <f t="shared" si="15"/>
        <v>86.975182417878472</v>
      </c>
      <c r="BD45" s="154">
        <f t="shared" si="16"/>
        <v>9.7985089476244021</v>
      </c>
      <c r="BF45" s="153">
        <f t="shared" si="9"/>
        <v>-417.56408449737739</v>
      </c>
      <c r="BH45" s="157"/>
    </row>
    <row r="46" spans="2:60" ht="12">
      <c r="B46" s="2"/>
      <c r="C46">
        <f>+IF(C45&gt;$G$13+$G$14,XX,C45+1)</f>
        <v>2037</v>
      </c>
      <c r="E46" s="169">
        <f>'(2.2)_Forward_Price_Curve'!T51</f>
        <v>2.1000000000000001E-2</v>
      </c>
      <c r="G46" s="18">
        <v>45480</v>
      </c>
      <c r="I46" s="28">
        <f t="shared" si="10"/>
        <v>0</v>
      </c>
      <c r="K46" s="28">
        <v>46.511573151828316</v>
      </c>
      <c r="M46" s="28">
        <f t="shared" si="11"/>
        <v>0</v>
      </c>
      <c r="O46" s="270">
        <f>'(2.2)_Forward_Price_Curve'!AD51</f>
        <v>1.2716748240280993</v>
      </c>
      <c r="Q46" s="28"/>
      <c r="S46" s="18">
        <f t="shared" si="5"/>
        <v>2173.1821179419494</v>
      </c>
      <c r="U46" s="18">
        <f t="shared" si="0"/>
        <v>3824.6973155416154</v>
      </c>
      <c r="W46" s="18">
        <f t="shared" si="1"/>
        <v>-1651.515197599666</v>
      </c>
      <c r="Y46" s="271">
        <f t="shared" si="6"/>
        <v>-36.312999067714728</v>
      </c>
      <c r="Z46" s="235"/>
      <c r="AB46" s="146">
        <f>+IF(AB45&gt;$G$13+$G$14,XX,AB45+1)</f>
        <v>2037</v>
      </c>
      <c r="AC46" s="117"/>
      <c r="AD46" s="151">
        <f t="shared" si="2"/>
        <v>45480</v>
      </c>
      <c r="AF46" s="154">
        <f t="shared" si="17"/>
        <v>138.81398252797146</v>
      </c>
      <c r="AH46" s="154">
        <f t="shared" si="12"/>
        <v>29.082436560595049</v>
      </c>
      <c r="AJ46" s="154">
        <f t="shared" si="13"/>
        <v>3.3452850284551299</v>
      </c>
      <c r="AL46" s="153">
        <f t="shared" si="7"/>
        <v>1432.3787309088177</v>
      </c>
      <c r="AN46" s="154">
        <f>INDEX('(2.2)_Forward_Price_Curve'!$L:$L,MATCH($AB46,'(2.2)_Forward_Price_Curve'!$C:$C,0),1)</f>
        <v>6.1182749999999997</v>
      </c>
      <c r="AP46" s="154">
        <f t="shared" si="18"/>
        <v>39.774286728609511</v>
      </c>
      <c r="AR46" s="154">
        <f t="shared" si="14"/>
        <v>3.4531902802070054</v>
      </c>
      <c r="AS46" s="154"/>
      <c r="AT46" s="153">
        <f t="shared" si="3"/>
        <v>1858.71166118064</v>
      </c>
      <c r="AV46" s="153">
        <f t="shared" si="4"/>
        <v>1965.9856543609751</v>
      </c>
      <c r="AW46" s="273"/>
      <c r="AX46" s="155">
        <f t="shared" si="8"/>
        <v>3824.6973155416154</v>
      </c>
      <c r="AZ46" s="146">
        <f>+IF(AZ45&gt;$G$13+$G$14,XX,AZ45+1)</f>
        <v>2037</v>
      </c>
      <c r="BA46" s="117"/>
      <c r="BB46" s="154">
        <f t="shared" si="15"/>
        <v>88.801661248653915</v>
      </c>
      <c r="BD46" s="154">
        <f t="shared" si="16"/>
        <v>10.004277635524513</v>
      </c>
      <c r="BF46" s="153">
        <f t="shared" si="9"/>
        <v>-426.33293027182231</v>
      </c>
      <c r="BH46" s="157"/>
    </row>
    <row r="47" spans="2:60" ht="12">
      <c r="B47" s="2"/>
      <c r="C47">
        <f>+IF(C46&gt;$G$13+$G$14,XX,C46+1)</f>
        <v>2038</v>
      </c>
      <c r="E47" s="169">
        <f>'(2.2)_Forward_Price_Curve'!T52</f>
        <v>2.1000000000000001E-2</v>
      </c>
      <c r="G47" s="18">
        <v>45250</v>
      </c>
      <c r="I47" s="28">
        <f t="shared" si="10"/>
        <v>0</v>
      </c>
      <c r="K47" s="28">
        <v>46.511573151828316</v>
      </c>
      <c r="M47" s="28"/>
      <c r="O47" s="270">
        <f>'(2.2)_Forward_Price_Curve'!AD52</f>
        <v>1.2982351222983386</v>
      </c>
      <c r="Q47" s="28"/>
      <c r="S47" s="18">
        <f t="shared" si="5"/>
        <v>2163.3938244042306</v>
      </c>
      <c r="U47" s="18">
        <f t="shared" si="0"/>
        <v>4001.4802599307091</v>
      </c>
      <c r="W47" s="18">
        <f t="shared" si="1"/>
        <v>-1838.0864355264785</v>
      </c>
      <c r="Y47" s="271">
        <f t="shared" si="6"/>
        <v>-40.620694707767484</v>
      </c>
      <c r="Z47" s="235"/>
      <c r="AB47" s="146">
        <f>+IF(AB46&gt;$G$13+$G$14,XX,AB46+1)</f>
        <v>2038</v>
      </c>
      <c r="AC47" s="117"/>
      <c r="AD47" s="151">
        <f t="shared" si="2"/>
        <v>45250</v>
      </c>
      <c r="AF47" s="154">
        <f t="shared" si="17"/>
        <v>141.72907616105886</v>
      </c>
      <c r="AH47" s="154">
        <f t="shared" si="12"/>
        <v>29.693167728367541</v>
      </c>
      <c r="AJ47" s="154">
        <f t="shared" si="13"/>
        <v>3.4155360140526874</v>
      </c>
      <c r="AL47" s="153">
        <f t="shared" si="7"/>
        <v>1461.6731109746706</v>
      </c>
      <c r="AN47" s="154">
        <f>INDEX('(2.2)_Forward_Price_Curve'!$L:$L,MATCH($AB47,'(2.2)_Forward_Price_Curve'!$C:$C,0),1)</f>
        <v>6.6118625</v>
      </c>
      <c r="AP47" s="154">
        <f t="shared" si="18"/>
        <v>42.983049124980646</v>
      </c>
      <c r="AR47" s="154">
        <f t="shared" si="14"/>
        <v>3.5257072760913521</v>
      </c>
      <c r="AS47" s="154"/>
      <c r="AT47" s="153">
        <f t="shared" si="3"/>
        <v>1896.9590327822011</v>
      </c>
      <c r="AV47" s="153">
        <f t="shared" si="4"/>
        <v>2104.5212271485079</v>
      </c>
      <c r="AW47" s="273"/>
      <c r="AX47" s="155">
        <f t="shared" si="8"/>
        <v>4001.4802599307091</v>
      </c>
      <c r="AZ47" s="146">
        <f>+IF(AZ46&gt;$G$13+$G$14,XX,AZ46+1)</f>
        <v>2038</v>
      </c>
      <c r="BA47" s="117"/>
      <c r="BB47" s="154">
        <f t="shared" si="15"/>
        <v>90.666496134875644</v>
      </c>
      <c r="BD47" s="154">
        <f t="shared" si="16"/>
        <v>10.214367465870527</v>
      </c>
      <c r="BF47" s="153">
        <f t="shared" si="9"/>
        <v>-435.28592180753054</v>
      </c>
      <c r="BH47" s="157"/>
    </row>
    <row r="48" spans="2:60" ht="12">
      <c r="B48" s="2"/>
      <c r="E48" s="169"/>
      <c r="G48" s="18"/>
      <c r="I48" s="28"/>
      <c r="K48" s="28"/>
      <c r="M48" s="28"/>
      <c r="O48" s="270"/>
      <c r="Q48" s="28"/>
      <c r="S48" s="18"/>
      <c r="U48" s="18"/>
      <c r="W48" s="18"/>
      <c r="Y48" s="271"/>
      <c r="Z48" s="235"/>
      <c r="AB48" s="146"/>
      <c r="AC48" s="117"/>
      <c r="AD48" s="151"/>
      <c r="AF48" s="154"/>
      <c r="AH48" s="154"/>
      <c r="AJ48" s="154"/>
      <c r="AL48" s="153"/>
      <c r="AN48" s="154"/>
      <c r="AP48" s="154"/>
      <c r="AR48" s="154"/>
      <c r="AS48" s="154"/>
      <c r="AT48" s="153"/>
      <c r="AV48" s="153"/>
      <c r="AW48" s="273"/>
      <c r="AX48" s="155"/>
      <c r="AZ48" s="146"/>
      <c r="BA48" s="117"/>
      <c r="BB48" s="154"/>
      <c r="BD48" s="154"/>
      <c r="BF48" s="153"/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E50" s="169"/>
      <c r="G50" s="18"/>
      <c r="I50" s="28"/>
      <c r="K50" s="28"/>
      <c r="M50" s="28"/>
      <c r="O50" s="270"/>
      <c r="Q50" s="28"/>
      <c r="S50" s="18"/>
      <c r="U50" s="18"/>
      <c r="W50" s="18"/>
      <c r="Y50" s="271"/>
      <c r="Z50" s="235"/>
      <c r="AB50" s="146"/>
      <c r="AC50" s="117"/>
      <c r="AD50" s="151"/>
      <c r="AF50" s="154"/>
      <c r="AH50" s="154"/>
      <c r="AJ50" s="154"/>
      <c r="AL50" s="153"/>
      <c r="AN50" s="154"/>
      <c r="AP50" s="154"/>
      <c r="AR50" s="154"/>
      <c r="AS50" s="154"/>
      <c r="AT50" s="153"/>
      <c r="AV50" s="153"/>
      <c r="AW50" s="273"/>
      <c r="AX50" s="155"/>
      <c r="AZ50" s="146"/>
      <c r="BA50" s="117"/>
      <c r="BB50" s="154"/>
      <c r="BD50" s="154"/>
      <c r="BF50" s="153"/>
      <c r="BH50" s="157"/>
    </row>
    <row r="51" spans="2:60" ht="12">
      <c r="B51" s="2"/>
      <c r="E51" s="169"/>
      <c r="G51" s="18"/>
      <c r="I51" s="28"/>
      <c r="K51" s="28"/>
      <c r="M51" s="28"/>
      <c r="O51" s="270"/>
      <c r="Q51" s="28"/>
      <c r="S51" s="18"/>
      <c r="U51" s="18"/>
      <c r="W51" s="18"/>
      <c r="Y51" s="271"/>
      <c r="Z51" s="235"/>
      <c r="AB51" s="146"/>
      <c r="AC51" s="117"/>
      <c r="AD51" s="151"/>
      <c r="AF51" s="154"/>
      <c r="AH51" s="154"/>
      <c r="AJ51" s="154"/>
      <c r="AL51" s="153"/>
      <c r="AN51" s="154"/>
      <c r="AP51" s="154"/>
      <c r="AR51" s="154"/>
      <c r="AS51" s="154"/>
      <c r="AT51" s="153"/>
      <c r="AV51" s="153"/>
      <c r="AW51" s="273"/>
      <c r="AX51" s="155"/>
      <c r="AZ51" s="146"/>
      <c r="BA51" s="117"/>
      <c r="BB51" s="154"/>
      <c r="BD51" s="154"/>
      <c r="BF51" s="153"/>
      <c r="BH51" s="157"/>
    </row>
    <row r="52" spans="2:60" ht="12">
      <c r="B52" s="2"/>
      <c r="E52" s="169"/>
      <c r="G52" s="18"/>
      <c r="I52" s="28"/>
      <c r="K52" s="28"/>
      <c r="M52" s="28"/>
      <c r="O52" s="270"/>
      <c r="Q52" s="28" t="s">
        <v>299</v>
      </c>
      <c r="S52" s="18"/>
      <c r="U52" s="18"/>
      <c r="W52" s="18"/>
      <c r="Y52" s="271"/>
      <c r="Z52" s="235"/>
      <c r="AB52" s="146"/>
      <c r="AC52" s="117"/>
      <c r="AD52" s="151"/>
      <c r="AF52" s="154"/>
      <c r="AH52" s="154"/>
      <c r="AJ52" s="154"/>
      <c r="AL52" s="153"/>
      <c r="AN52" s="154"/>
      <c r="AP52" s="154"/>
      <c r="AR52" s="154"/>
      <c r="AS52" s="154"/>
      <c r="AT52" s="153"/>
      <c r="AV52" s="153"/>
      <c r="AW52" s="273"/>
      <c r="AX52" s="155"/>
      <c r="AZ52" s="146"/>
      <c r="BA52" s="117"/>
      <c r="BB52" s="154"/>
      <c r="BD52" s="154"/>
      <c r="BF52" s="153"/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20-year Nominal Levelized at 6.91%</v>
      </c>
      <c r="E58" s="169"/>
      <c r="G58" s="18">
        <f>+-PMT($G$18,$G$14,NPV($G$18,G28:G56))</f>
        <v>44319.635098469007</v>
      </c>
      <c r="I58" s="28">
        <f>+-PMT($G$18,$G$14,NPV($G$18,I28:I56))</f>
        <v>0</v>
      </c>
      <c r="J58" s="28"/>
      <c r="K58" s="28">
        <f>+-PMT($G$18,$G$14,NPV($G$18,K28:K56))</f>
        <v>46.511573151828351</v>
      </c>
      <c r="M58" s="28">
        <f>+-PMT($G$18,$G$14,NPV($G$18,M28:M56))</f>
        <v>0</v>
      </c>
      <c r="O58" s="28">
        <f>+-PMT($G$18,$G$14,NPV($G$18,O28:O56))</f>
        <v>1.0166251298389934</v>
      </c>
      <c r="Q58" s="28">
        <f>+-PMT($G$18,$G$14,NPV($G$18,Q28:Q56))</f>
        <v>0</v>
      </c>
      <c r="S58" s="18">
        <f>+-PMT($G$18,$G$14,NPV($G$18,S28:S56))</f>
        <v>2106.8780649583409</v>
      </c>
      <c r="U58" s="18">
        <f>+-PMT($G$18,$G$14,NPV($G$18,U28:U56))</f>
        <v>2722.7840655659088</v>
      </c>
      <c r="W58" s="18">
        <f>+-PMT($G$18,$G$14,NPV($G$18,W28:W56))</f>
        <v>-615.90600060756753</v>
      </c>
      <c r="Y58" s="271">
        <f>+-PMT($G$18,$G$14,NPV($G$18,Y28:Y56))</f>
        <v>-22.011095141487989</v>
      </c>
      <c r="Z58" s="235"/>
      <c r="AB58" s="2"/>
      <c r="AD58" s="151">
        <f>+-PMT($G$18,$G$14,NPV($G$18,AD28:AD56))</f>
        <v>44319.635098469007</v>
      </c>
      <c r="AF58" s="154">
        <f>+-PMT($G$18,$G$14,NPV($G$18,AF28:AF56))</f>
        <v>111.23855642114968</v>
      </c>
      <c r="AH58" s="154">
        <f>+-PMT($G$18,$G$14,NPV($G$18,AH28:AH56))</f>
        <v>23.30520457158109</v>
      </c>
      <c r="AJ58" s="154">
        <f>+-PMT($G$18,$G$14,NPV($G$18,AJ28:AJ56))</f>
        <v>2.6807434712684581</v>
      </c>
      <c r="AL58" s="153">
        <f>+-PMT($G$18,$G$14,NPV($G$18,AL28:AL56))</f>
        <v>1145.8682824237753</v>
      </c>
      <c r="AN58" s="154">
        <f>+-PMT($G$18,$G$14,NPV($G$18,AN28:AN56))</f>
        <v>3.7522917437315124</v>
      </c>
      <c r="AP58" s="154">
        <f>+-PMT($G$18,$G$14,NPV($G$18,AP28:AP56))</f>
        <v>24.393268969533302</v>
      </c>
      <c r="AR58" s="154">
        <f>+-PMT($G$18,$G$14,NPV($G$18,AR28:AR56))</f>
        <v>2.7672133226230979</v>
      </c>
      <c r="AS58" s="154"/>
      <c r="AT58" s="153">
        <f>+-PMT($G$18,$G$14,NPV($G$18,AT28:AT56))</f>
        <v>1487.5100886350481</v>
      </c>
      <c r="AV58" s="153">
        <f>+-PMT($G$18,$G$14,NPV($G$18,AV28:AV56))</f>
        <v>1235.27397693086</v>
      </c>
      <c r="AW58" s="273"/>
      <c r="AX58" s="155">
        <f>+-PMT($G$18,$G$14,NPV($G$18,AX28:AX56))</f>
        <v>2722.7840655659088</v>
      </c>
      <c r="AZ58" s="2"/>
      <c r="BB58" s="154">
        <f>+-PMT($G$18,$G$14,NPV($G$18,BB28:BB56))</f>
        <v>71.161193023978882</v>
      </c>
      <c r="BD58" s="154">
        <f>+-PMT($G$18,$G$14,NPV($G$18,BD28:BD56))</f>
        <v>8.0169258308534879</v>
      </c>
      <c r="BF58" s="153">
        <f>+-PMT($G$18,$G$14,NPV($G$18,BF28:BF56))</f>
        <v>-341.64180621127235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8" tint="0.79998168889431442"/>
  </sheetPr>
  <dimension ref="A1:AA122"/>
  <sheetViews>
    <sheetView zoomScale="80" zoomScaleNormal="80" workbookViewId="0"/>
  </sheetViews>
  <sheetFormatPr defaultColWidth="9.33203125" defaultRowHeight="11.25"/>
  <cols>
    <col min="1" max="1" width="14.5" customWidth="1"/>
    <col min="2" max="2" width="2.5" customWidth="1"/>
    <col min="3" max="3" width="27.83203125" customWidth="1"/>
    <col min="4" max="4" width="15.33203125" customWidth="1"/>
    <col min="5" max="7" width="13.1640625" customWidth="1"/>
    <col min="8" max="8" width="17.33203125" customWidth="1"/>
    <col min="9" max="9" width="15.33203125" bestFit="1" customWidth="1"/>
    <col min="10" max="15" width="13.1640625" customWidth="1"/>
    <col min="16" max="16" width="22.33203125" customWidth="1"/>
    <col min="17" max="17" width="13.1640625" customWidth="1"/>
    <col min="18" max="18" width="13" customWidth="1"/>
    <col min="19" max="19" width="10.33203125" customWidth="1"/>
    <col min="20" max="20" width="12.5" customWidth="1"/>
    <col min="22" max="22" width="11.1640625" customWidth="1"/>
    <col min="24" max="24" width="11.1640625" customWidth="1"/>
    <col min="26" max="26" width="12.83203125" bestFit="1" customWidth="1"/>
    <col min="27" max="27" width="11.1640625" customWidth="1"/>
  </cols>
  <sheetData>
    <row r="1" spans="1:17" s="4" customFormat="1">
      <c r="A1" s="4" t="s">
        <v>0</v>
      </c>
    </row>
    <row r="2" spans="1:17" s="4" customFormat="1">
      <c r="A2" s="4" t="s">
        <v>143</v>
      </c>
    </row>
    <row r="3" spans="1:17" s="4" customFormat="1">
      <c r="A3" s="4" t="s">
        <v>1</v>
      </c>
    </row>
    <row r="4" spans="1:17" s="4" customFormat="1"/>
    <row r="5" spans="1:17" s="4" customFormat="1">
      <c r="A5" s="4" t="s">
        <v>351</v>
      </c>
    </row>
    <row r="6" spans="1:17" s="36" customFormat="1" ht="12.75">
      <c r="B6" s="400"/>
      <c r="C6" s="585" t="s">
        <v>385</v>
      </c>
    </row>
    <row r="7" spans="1:17" s="36" customFormat="1" ht="12.75">
      <c r="B7" s="38"/>
      <c r="C7" s="39" t="s">
        <v>36</v>
      </c>
      <c r="D7" s="40"/>
      <c r="E7" s="40"/>
      <c r="F7" s="40"/>
      <c r="G7" s="41"/>
      <c r="H7" s="41"/>
      <c r="I7" s="41"/>
      <c r="J7" s="42" t="s">
        <v>37</v>
      </c>
      <c r="K7" s="43"/>
      <c r="L7" s="44" t="s">
        <v>38</v>
      </c>
      <c r="M7" s="45"/>
      <c r="N7" s="46"/>
      <c r="O7" s="47" t="s">
        <v>39</v>
      </c>
      <c r="P7" s="48"/>
      <c r="Q7" s="49"/>
    </row>
    <row r="8" spans="1:17" s="36" customFormat="1" ht="12.75">
      <c r="B8" s="50"/>
      <c r="C8" s="51"/>
      <c r="D8" s="51"/>
      <c r="E8" s="51"/>
      <c r="F8" s="51"/>
      <c r="G8" s="51"/>
      <c r="H8" s="52"/>
      <c r="I8" s="51"/>
      <c r="J8" s="53"/>
      <c r="K8" s="54"/>
      <c r="L8" s="55" t="s">
        <v>40</v>
      </c>
      <c r="M8" s="56"/>
      <c r="N8" s="57"/>
      <c r="O8" s="58"/>
      <c r="P8" s="59"/>
    </row>
    <row r="9" spans="1:17" s="36" customFormat="1" ht="48" customHeight="1">
      <c r="B9" s="60" t="s">
        <v>41</v>
      </c>
      <c r="C9" s="61"/>
      <c r="D9" s="61" t="s">
        <v>42</v>
      </c>
      <c r="E9" s="61" t="s">
        <v>43</v>
      </c>
      <c r="F9" s="61" t="s">
        <v>44</v>
      </c>
      <c r="G9" s="61" t="s">
        <v>45</v>
      </c>
      <c r="H9" s="61" t="s">
        <v>46</v>
      </c>
      <c r="I9" s="61" t="s">
        <v>47</v>
      </c>
      <c r="J9" s="62" t="s">
        <v>48</v>
      </c>
      <c r="K9" s="63" t="s">
        <v>49</v>
      </c>
      <c r="L9" s="64" t="s">
        <v>50</v>
      </c>
      <c r="M9" s="64" t="s">
        <v>51</v>
      </c>
      <c r="N9" s="65" t="s">
        <v>52</v>
      </c>
      <c r="O9" s="66" t="s">
        <v>53</v>
      </c>
      <c r="P9" s="63" t="s">
        <v>142</v>
      </c>
    </row>
    <row r="10" spans="1:17" s="67" customFormat="1" ht="12.75">
      <c r="B10" s="68"/>
      <c r="C10" s="69"/>
      <c r="D10" s="70"/>
      <c r="E10" s="70"/>
      <c r="F10" s="71"/>
      <c r="G10" s="72"/>
      <c r="H10" s="73"/>
      <c r="I10" s="74"/>
      <c r="J10" s="75"/>
      <c r="K10" s="76"/>
      <c r="L10" s="75"/>
      <c r="M10" s="75"/>
      <c r="N10" s="77"/>
      <c r="O10" s="75"/>
      <c r="P10" s="78"/>
    </row>
    <row r="11" spans="1:17" s="67" customFormat="1" ht="12.75">
      <c r="B11" s="79" t="s">
        <v>388</v>
      </c>
      <c r="C11" s="80"/>
      <c r="D11" s="81"/>
      <c r="E11" s="81"/>
      <c r="F11" s="74"/>
      <c r="G11" s="74"/>
      <c r="H11" s="82"/>
      <c r="I11" s="83"/>
      <c r="J11" s="191" t="s">
        <v>405</v>
      </c>
      <c r="K11" s="74"/>
      <c r="L11" s="191" t="s">
        <v>405</v>
      </c>
      <c r="M11" s="191" t="s">
        <v>405</v>
      </c>
      <c r="N11" s="77"/>
      <c r="O11" s="191" t="s">
        <v>405</v>
      </c>
      <c r="P11" s="85"/>
      <c r="Q11" s="607"/>
    </row>
    <row r="12" spans="1:17" s="67" customFormat="1" ht="12.75">
      <c r="A12" s="67" t="s">
        <v>211</v>
      </c>
      <c r="B12" s="421" t="s">
        <v>245</v>
      </c>
      <c r="C12" s="86"/>
      <c r="D12" s="194">
        <v>0.78</v>
      </c>
      <c r="E12" s="194">
        <v>0.87650399999999995</v>
      </c>
      <c r="F12" s="415"/>
      <c r="G12" s="195">
        <v>458.65175932798581</v>
      </c>
      <c r="H12" s="196">
        <v>6234.2609333164464</v>
      </c>
      <c r="I12" s="197">
        <v>3021267.5034749997</v>
      </c>
      <c r="J12" s="198">
        <v>1485.1943106566662</v>
      </c>
      <c r="K12" s="416">
        <v>6.6086000000000006E-2</v>
      </c>
      <c r="L12" s="195">
        <v>27.133759084849199</v>
      </c>
      <c r="M12" s="195">
        <v>0.70989324966503564</v>
      </c>
      <c r="N12" s="94">
        <v>27.843652334514235</v>
      </c>
      <c r="O12" s="200">
        <v>1.918366230619678</v>
      </c>
      <c r="P12" s="95">
        <v>2.27</v>
      </c>
      <c r="Q12" s="607"/>
    </row>
    <row r="13" spans="1:17" s="67" customFormat="1" ht="12.75">
      <c r="B13" s="421" t="s">
        <v>246</v>
      </c>
      <c r="C13" s="86"/>
      <c r="D13" s="106">
        <v>0.12</v>
      </c>
      <c r="E13" s="194">
        <v>0.87650399999999995</v>
      </c>
      <c r="F13" s="415"/>
      <c r="G13" s="195">
        <v>63.000240172223585</v>
      </c>
      <c r="H13" s="196">
        <v>8651.5848497398674</v>
      </c>
      <c r="I13" s="205">
        <v>66225.567150000003</v>
      </c>
      <c r="J13" s="198">
        <v>407.47795766862254</v>
      </c>
      <c r="K13" s="416">
        <v>6.6086000000000006E-2</v>
      </c>
      <c r="L13" s="203">
        <v>0</v>
      </c>
      <c r="M13" s="203">
        <v>0</v>
      </c>
      <c r="N13" s="103">
        <v>0</v>
      </c>
      <c r="O13" s="200">
        <v>1.1452019946130383</v>
      </c>
      <c r="P13" s="104">
        <v>2.81</v>
      </c>
      <c r="Q13" s="607"/>
    </row>
    <row r="14" spans="1:17" s="67" customFormat="1" ht="13.5" thickBot="1">
      <c r="B14" s="329" t="s">
        <v>57</v>
      </c>
      <c r="C14" s="86"/>
      <c r="D14" s="401">
        <v>0.69299999999999995</v>
      </c>
      <c r="E14" s="402"/>
      <c r="F14" s="97"/>
      <c r="G14" s="402"/>
      <c r="H14" s="403">
        <v>6556.5707888395682</v>
      </c>
      <c r="I14" s="402"/>
      <c r="J14" s="403">
        <f>SUMPRODUCT(J12:J13,$G12:$G13)/SUM($G12:$G13)</f>
        <v>1355.0378286709158</v>
      </c>
      <c r="K14" s="110"/>
      <c r="L14" s="211">
        <v>23.51592454020264</v>
      </c>
      <c r="M14" s="211">
        <v>0.6152408163763643</v>
      </c>
      <c r="N14" s="211">
        <v>24.131165356579</v>
      </c>
      <c r="O14" s="211">
        <v>1.8152776658187928</v>
      </c>
      <c r="P14" s="103">
        <f>SUMPRODUCT(P12:P13,$I12:$I13)/SUM($I12:$I13)</f>
        <v>2.2815827972542659</v>
      </c>
      <c r="Q14" s="607"/>
    </row>
    <row r="15" spans="1:17" s="67" customFormat="1" ht="13.5" thickBot="1">
      <c r="B15" s="80" t="s">
        <v>227</v>
      </c>
      <c r="C15" s="337"/>
      <c r="D15" s="87">
        <v>0.33</v>
      </c>
      <c r="E15" s="87"/>
      <c r="F15" s="88"/>
      <c r="G15" s="89">
        <v>296.43</v>
      </c>
      <c r="H15" s="90"/>
      <c r="I15" s="91"/>
      <c r="J15" s="89">
        <v>843</v>
      </c>
      <c r="K15" s="406">
        <v>6.4562857142857144E-2</v>
      </c>
      <c r="L15" s="102">
        <v>16.831761637470294</v>
      </c>
      <c r="M15" s="93">
        <v>0</v>
      </c>
      <c r="N15" s="410">
        <v>16.831761637470294</v>
      </c>
      <c r="O15" s="95">
        <v>2.7759300458983387</v>
      </c>
      <c r="P15" s="95">
        <v>3.79</v>
      </c>
      <c r="Q15" s="608"/>
    </row>
    <row r="16" spans="1:17" ht="12">
      <c r="B16" s="586" t="s">
        <v>401</v>
      </c>
      <c r="C16" s="472"/>
      <c r="G16" s="112"/>
    </row>
    <row r="17" spans="1:17" s="4" customFormat="1">
      <c r="H17" s="35"/>
    </row>
    <row r="18" spans="1:17" ht="17.25" customHeight="1"/>
    <row r="19" spans="1:17" s="36" customFormat="1" ht="12.75">
      <c r="B19" s="400"/>
      <c r="C19" s="37" t="s">
        <v>386</v>
      </c>
    </row>
    <row r="20" spans="1:17" s="36" customFormat="1" ht="12.75">
      <c r="B20" s="38"/>
      <c r="C20" s="39" t="s">
        <v>36</v>
      </c>
      <c r="D20" s="40"/>
      <c r="E20" s="40"/>
      <c r="F20" s="40"/>
      <c r="G20" s="41"/>
      <c r="H20" s="41"/>
      <c r="I20" s="41"/>
      <c r="J20" s="42" t="s">
        <v>37</v>
      </c>
      <c r="K20" s="43"/>
      <c r="L20" s="44" t="s">
        <v>38</v>
      </c>
      <c r="M20" s="45"/>
      <c r="N20" s="46"/>
      <c r="O20" s="47" t="s">
        <v>39</v>
      </c>
      <c r="P20" s="48"/>
      <c r="Q20" s="49"/>
    </row>
    <row r="21" spans="1:17" s="36" customFormat="1" ht="12.75">
      <c r="B21" s="50"/>
      <c r="C21" s="51"/>
      <c r="D21" s="51"/>
      <c r="E21" s="51"/>
      <c r="F21" s="51"/>
      <c r="G21" s="51"/>
      <c r="H21" s="52"/>
      <c r="I21" s="51"/>
      <c r="J21" s="53"/>
      <c r="K21" s="54"/>
      <c r="L21" s="55" t="s">
        <v>40</v>
      </c>
      <c r="M21" s="56"/>
      <c r="N21" s="57"/>
      <c r="O21" s="58"/>
      <c r="P21" s="59"/>
    </row>
    <row r="22" spans="1:17" s="36" customFormat="1" ht="48" customHeight="1">
      <c r="B22" s="60" t="s">
        <v>41</v>
      </c>
      <c r="C22" s="61"/>
      <c r="D22" s="61" t="s">
        <v>42</v>
      </c>
      <c r="E22" s="61" t="s">
        <v>43</v>
      </c>
      <c r="F22" s="61" t="s">
        <v>44</v>
      </c>
      <c r="G22" s="61" t="s">
        <v>45</v>
      </c>
      <c r="H22" s="61" t="s">
        <v>46</v>
      </c>
      <c r="I22" s="61" t="s">
        <v>47</v>
      </c>
      <c r="J22" s="62" t="s">
        <v>48</v>
      </c>
      <c r="K22" s="63" t="s">
        <v>49</v>
      </c>
      <c r="L22" s="64" t="s">
        <v>50</v>
      </c>
      <c r="M22" s="64" t="s">
        <v>51</v>
      </c>
      <c r="N22" s="65" t="s">
        <v>52</v>
      </c>
      <c r="O22" s="66" t="s">
        <v>53</v>
      </c>
      <c r="P22" s="63" t="s">
        <v>142</v>
      </c>
    </row>
    <row r="23" spans="1:17" s="67" customFormat="1" ht="12.75">
      <c r="B23" s="68"/>
      <c r="C23" s="69"/>
      <c r="D23" s="70"/>
      <c r="E23" s="70"/>
      <c r="F23" s="71"/>
      <c r="G23" s="72"/>
      <c r="H23" s="73"/>
      <c r="I23" s="74"/>
      <c r="J23" s="75"/>
      <c r="K23" s="76"/>
      <c r="L23" s="75"/>
      <c r="M23" s="75"/>
      <c r="N23" s="77"/>
      <c r="O23" s="75"/>
      <c r="P23" s="78"/>
      <c r="Q23" s="607"/>
    </row>
    <row r="24" spans="1:17" s="67" customFormat="1" ht="12.95" customHeight="1">
      <c r="B24" s="79" t="s">
        <v>387</v>
      </c>
      <c r="C24" s="80"/>
      <c r="D24" s="81"/>
      <c r="E24" s="81"/>
      <c r="F24" s="74"/>
      <c r="G24" s="74"/>
      <c r="H24" s="82"/>
      <c r="I24" s="83"/>
      <c r="J24" s="191" t="s">
        <v>398</v>
      </c>
      <c r="K24" s="74"/>
      <c r="L24" s="191" t="s">
        <v>398</v>
      </c>
      <c r="M24" s="191" t="s">
        <v>398</v>
      </c>
      <c r="N24" s="77"/>
      <c r="O24" s="191" t="s">
        <v>398</v>
      </c>
      <c r="P24" s="85"/>
      <c r="Q24" s="607"/>
    </row>
    <row r="25" spans="1:17" s="67" customFormat="1" ht="12.75">
      <c r="A25" s="67" t="s">
        <v>211</v>
      </c>
      <c r="B25" s="421" t="s">
        <v>245</v>
      </c>
      <c r="C25" s="86"/>
      <c r="D25" s="194">
        <v>0.78</v>
      </c>
      <c r="E25" s="194">
        <v>0.93794999999999995</v>
      </c>
      <c r="F25" s="415"/>
      <c r="G25" s="195">
        <v>503.82115625</v>
      </c>
      <c r="H25" s="196">
        <v>6351.9296003280906</v>
      </c>
      <c r="I25" s="197">
        <v>3442509.1964250002</v>
      </c>
      <c r="J25" s="198">
        <v>1298.9467438240974</v>
      </c>
      <c r="K25" s="416">
        <v>6.88618281225582E-2</v>
      </c>
      <c r="L25" s="195">
        <v>0</v>
      </c>
      <c r="M25" s="195">
        <v>0</v>
      </c>
      <c r="N25" s="94">
        <v>0</v>
      </c>
      <c r="O25" s="200">
        <v>1.9934940196448265</v>
      </c>
      <c r="P25" s="95">
        <v>2.27</v>
      </c>
      <c r="Q25" s="607"/>
    </row>
    <row r="26" spans="1:17" s="67" customFormat="1" ht="12.75">
      <c r="B26" s="421" t="s">
        <v>246</v>
      </c>
      <c r="C26" s="86"/>
      <c r="D26" s="106">
        <v>0.12</v>
      </c>
      <c r="E26" s="194">
        <v>0.93794999999999995</v>
      </c>
      <c r="F26" s="415"/>
      <c r="G26" s="195">
        <v>63.036031250000001</v>
      </c>
      <c r="H26" s="196">
        <v>9451.5997156257272</v>
      </c>
      <c r="I26" s="205">
        <v>66263.476049999997</v>
      </c>
      <c r="J26" s="198">
        <v>397.35971137745486</v>
      </c>
      <c r="K26" s="416">
        <v>6.88618281225582E-2</v>
      </c>
      <c r="L26" s="203">
        <v>0</v>
      </c>
      <c r="M26" s="203">
        <v>0</v>
      </c>
      <c r="N26" s="103">
        <v>0</v>
      </c>
      <c r="O26" s="200">
        <v>5.5971745826285502E-2</v>
      </c>
      <c r="P26" s="104">
        <v>2.81</v>
      </c>
      <c r="Q26" s="607"/>
    </row>
    <row r="27" spans="1:17" s="67" customFormat="1" ht="13.5" thickBot="1">
      <c r="B27" s="329" t="s">
        <v>57</v>
      </c>
      <c r="C27" s="86"/>
      <c r="D27" s="401">
        <v>0.69299999999999995</v>
      </c>
      <c r="E27" s="402"/>
      <c r="F27" s="97"/>
      <c r="G27" s="402"/>
      <c r="H27" s="403">
        <v>6765.2189490344426</v>
      </c>
      <c r="I27" s="402"/>
      <c r="J27" s="403">
        <v>1178.7351394978784</v>
      </c>
      <c r="K27" s="110"/>
      <c r="L27" s="211">
        <v>0</v>
      </c>
      <c r="M27" s="211">
        <v>0</v>
      </c>
      <c r="N27" s="211">
        <v>0</v>
      </c>
      <c r="O27" s="211">
        <v>1.7351577164690211</v>
      </c>
      <c r="P27" s="103">
        <f>SUMPRODUCT(P25:P26,$I25:$I26)/SUM($I25:$I26)</f>
        <v>2.2801979468056448</v>
      </c>
      <c r="Q27" s="607"/>
    </row>
    <row r="28" spans="1:17" s="67" customFormat="1" ht="13.5" thickBot="1">
      <c r="B28" s="80" t="s">
        <v>227</v>
      </c>
      <c r="C28" s="337"/>
      <c r="D28" s="87">
        <v>0.33</v>
      </c>
      <c r="E28" s="87"/>
      <c r="F28" s="88"/>
      <c r="G28" s="89">
        <v>198.75595312499999</v>
      </c>
      <c r="H28" s="90"/>
      <c r="I28" s="91"/>
      <c r="J28" s="89">
        <v>840.91285033496422</v>
      </c>
      <c r="K28" s="406">
        <v>7.0491123651898399E-2</v>
      </c>
      <c r="L28" s="102">
        <v>0</v>
      </c>
      <c r="M28" s="93">
        <v>0</v>
      </c>
      <c r="N28" s="410">
        <v>0</v>
      </c>
      <c r="O28" s="95">
        <v>19.289906914696203</v>
      </c>
      <c r="P28" s="95">
        <v>3.79</v>
      </c>
      <c r="Q28" s="608"/>
    </row>
    <row r="29" spans="1:17" ht="12">
      <c r="B29" s="586" t="s">
        <v>408</v>
      </c>
      <c r="G29" s="112"/>
    </row>
    <row r="30" spans="1:17" s="4" customFormat="1">
      <c r="H30" s="35"/>
    </row>
    <row r="31" spans="1:17" ht="17.25" customHeight="1"/>
    <row r="32" spans="1:17" s="36" customFormat="1" ht="12.75">
      <c r="B32" s="400"/>
      <c r="C32" s="37" t="s">
        <v>389</v>
      </c>
    </row>
    <row r="33" spans="1:17" s="36" customFormat="1" ht="12.75">
      <c r="B33" s="38"/>
      <c r="C33" s="39" t="s">
        <v>36</v>
      </c>
      <c r="D33" s="40"/>
      <c r="E33" s="40"/>
      <c r="F33" s="40"/>
      <c r="G33" s="41"/>
      <c r="H33" s="41"/>
      <c r="I33" s="41"/>
      <c r="J33" s="42" t="s">
        <v>37</v>
      </c>
      <c r="K33" s="43"/>
      <c r="L33" s="44" t="s">
        <v>38</v>
      </c>
      <c r="M33" s="45"/>
      <c r="N33" s="46"/>
      <c r="O33" s="47" t="s">
        <v>39</v>
      </c>
      <c r="P33" s="48"/>
      <c r="Q33" s="49"/>
    </row>
    <row r="34" spans="1:17" s="36" customFormat="1" ht="12.75">
      <c r="B34" s="50"/>
      <c r="C34" s="51"/>
      <c r="D34" s="51"/>
      <c r="E34" s="51"/>
      <c r="F34" s="51"/>
      <c r="G34" s="51"/>
      <c r="H34" s="52"/>
      <c r="I34" s="51"/>
      <c r="J34" s="53"/>
      <c r="K34" s="54"/>
      <c r="L34" s="55" t="s">
        <v>40</v>
      </c>
      <c r="M34" s="56"/>
      <c r="N34" s="57"/>
      <c r="O34" s="58"/>
      <c r="P34" s="59"/>
    </row>
    <row r="35" spans="1:17" s="36" customFormat="1" ht="48" customHeight="1">
      <c r="B35" s="60" t="s">
        <v>41</v>
      </c>
      <c r="C35" s="61"/>
      <c r="D35" s="61" t="s">
        <v>42</v>
      </c>
      <c r="E35" s="61" t="s">
        <v>43</v>
      </c>
      <c r="F35" s="61" t="s">
        <v>44</v>
      </c>
      <c r="G35" s="61" t="s">
        <v>45</v>
      </c>
      <c r="H35" s="61" t="s">
        <v>46</v>
      </c>
      <c r="I35" s="61" t="s">
        <v>47</v>
      </c>
      <c r="J35" s="62" t="s">
        <v>48</v>
      </c>
      <c r="K35" s="63" t="s">
        <v>49</v>
      </c>
      <c r="L35" s="64" t="s">
        <v>50</v>
      </c>
      <c r="M35" s="64" t="s">
        <v>51</v>
      </c>
      <c r="N35" s="65" t="s">
        <v>52</v>
      </c>
      <c r="O35" s="66" t="s">
        <v>53</v>
      </c>
      <c r="P35" s="63" t="s">
        <v>142</v>
      </c>
    </row>
    <row r="36" spans="1:17" s="67" customFormat="1" ht="12.75">
      <c r="B36" s="68"/>
      <c r="C36" s="69"/>
      <c r="D36" s="70"/>
      <c r="E36" s="70"/>
      <c r="F36" s="71"/>
      <c r="G36" s="72"/>
      <c r="H36" s="73"/>
      <c r="I36" s="74"/>
      <c r="J36" s="75"/>
      <c r="K36" s="76"/>
      <c r="L36" s="75"/>
      <c r="M36" s="75"/>
      <c r="N36" s="77"/>
      <c r="O36" s="75"/>
      <c r="P36" s="78"/>
    </row>
    <row r="37" spans="1:17" s="67" customFormat="1" ht="12.75">
      <c r="B37" s="79" t="s">
        <v>224</v>
      </c>
      <c r="C37" s="80"/>
      <c r="D37" s="81"/>
      <c r="E37" s="81"/>
      <c r="F37" s="74"/>
      <c r="G37" s="74"/>
      <c r="H37" s="82"/>
      <c r="I37" s="83"/>
      <c r="J37" s="191" t="s">
        <v>241</v>
      </c>
      <c r="K37" s="74"/>
      <c r="L37" s="191" t="s">
        <v>241</v>
      </c>
      <c r="M37" s="191" t="s">
        <v>241</v>
      </c>
      <c r="N37" s="77"/>
      <c r="O37" s="191" t="s">
        <v>241</v>
      </c>
      <c r="P37" s="85"/>
    </row>
    <row r="38" spans="1:17" s="67" customFormat="1" ht="12.75">
      <c r="A38" s="67" t="s">
        <v>211</v>
      </c>
      <c r="B38" s="421" t="s">
        <v>245</v>
      </c>
      <c r="C38" s="86"/>
      <c r="D38" s="194">
        <v>0.78</v>
      </c>
      <c r="E38" s="194">
        <v>0.93794999999999995</v>
      </c>
      <c r="F38" s="415"/>
      <c r="G38" s="195">
        <v>442.17121874999998</v>
      </c>
      <c r="H38" s="196">
        <v>6463.5860879785032</v>
      </c>
      <c r="I38" s="197">
        <v>3021267.5034749997</v>
      </c>
      <c r="J38" s="198">
        <v>1485.1943106566662</v>
      </c>
      <c r="K38" s="416">
        <v>6.7898535686010855E-2</v>
      </c>
      <c r="L38" s="195">
        <v>21.260763433965998</v>
      </c>
      <c r="M38" s="195">
        <v>0</v>
      </c>
      <c r="N38" s="94">
        <v>21.260763433965998</v>
      </c>
      <c r="O38" s="200">
        <v>2.2553065750725811</v>
      </c>
      <c r="P38" s="95">
        <v>2.27</v>
      </c>
    </row>
    <row r="39" spans="1:17" s="67" customFormat="1" ht="12.75">
      <c r="B39" s="421" t="s">
        <v>246</v>
      </c>
      <c r="C39" s="86"/>
      <c r="D39" s="106">
        <v>0.12</v>
      </c>
      <c r="E39" s="194">
        <v>0.95430399999999993</v>
      </c>
      <c r="F39" s="415"/>
      <c r="G39" s="195">
        <v>62.999968750000001</v>
      </c>
      <c r="H39" s="196">
        <v>8203.1378481266383</v>
      </c>
      <c r="I39" s="205">
        <v>66225.567150000003</v>
      </c>
      <c r="J39" s="198">
        <v>407.47795766862254</v>
      </c>
      <c r="K39" s="416">
        <v>6.7898535686010855E-2</v>
      </c>
      <c r="L39" s="203">
        <v>4.8587893451560964</v>
      </c>
      <c r="M39" s="203">
        <v>0</v>
      </c>
      <c r="N39" s="103">
        <v>4.8587893451560964</v>
      </c>
      <c r="O39" s="200">
        <v>0.15649818878161617</v>
      </c>
      <c r="P39" s="104">
        <v>2.81</v>
      </c>
    </row>
    <row r="40" spans="1:17" s="67" customFormat="1" ht="13.5" thickBot="1">
      <c r="B40" s="329" t="s">
        <v>57</v>
      </c>
      <c r="C40" s="86"/>
      <c r="D40" s="401">
        <f>SUMPRODUCT(D38:D39,$G38:$G39)/SUM($G38:$G39)</f>
        <v>0.6976913086021953</v>
      </c>
      <c r="E40" s="402"/>
      <c r="F40" s="97"/>
      <c r="G40" s="402"/>
      <c r="H40" s="403">
        <f>SUMPRODUCT(H38:H39,$I38:$I39)/SUM($I38:$I39)</f>
        <v>6500.8988201101647</v>
      </c>
      <c r="I40" s="402"/>
      <c r="J40" s="403">
        <f>SUMPRODUCT(J38:J39,$G38:$G39)/SUM($G38:$G39)</f>
        <v>1350.7921550317262</v>
      </c>
      <c r="K40" s="110"/>
      <c r="L40" s="211">
        <f>SUMPRODUCT(L38:L39,$G38:$G39)/SUM($G38:$G39)</f>
        <v>19.215270973980179</v>
      </c>
      <c r="M40" s="211">
        <f t="shared" ref="M40" si="0">SUMPRODUCT(M38:M39,$G38:$G39)/SUM($G38:$G39)</f>
        <v>0</v>
      </c>
      <c r="N40" s="211">
        <f>SUMPRODUCT(N38:N39,$G38:$G39)/SUM($G38:$G39)</f>
        <v>19.215270973980179</v>
      </c>
      <c r="O40" s="211">
        <f>SUMPRODUCT(O38:O39,$I38:$I39)/SUM($I38:$I39)</f>
        <v>2.2102879231948753</v>
      </c>
      <c r="P40" s="103">
        <f>SUMPRODUCT(P38:P39,$I38:$I39)/SUM($I38:$I39)</f>
        <v>2.2815827972542659</v>
      </c>
    </row>
    <row r="41" spans="1:17" s="67" customFormat="1" ht="13.5" thickBot="1">
      <c r="B41" s="80" t="s">
        <v>227</v>
      </c>
      <c r="C41" s="337"/>
      <c r="D41" s="87">
        <v>0.33</v>
      </c>
      <c r="E41" s="87"/>
      <c r="F41" s="88"/>
      <c r="G41" s="89">
        <v>194.47378125</v>
      </c>
      <c r="H41" s="90"/>
      <c r="I41" s="91"/>
      <c r="J41" s="89">
        <v>843</v>
      </c>
      <c r="K41" s="406">
        <v>6.9599999999999995E-2</v>
      </c>
      <c r="L41" s="102">
        <v>16.100000000000001</v>
      </c>
      <c r="M41" s="93">
        <v>0.05</v>
      </c>
      <c r="N41" s="410">
        <f>L41+M41</f>
        <v>16.150000000000002</v>
      </c>
      <c r="O41" s="95">
        <v>6.61</v>
      </c>
      <c r="P41" s="95">
        <v>3.79</v>
      </c>
    </row>
    <row r="42" spans="1:17" ht="12.75">
      <c r="B42" s="67" t="s">
        <v>239</v>
      </c>
      <c r="G42" s="112"/>
    </row>
    <row r="45" spans="1:17" s="36" customFormat="1" ht="12.75">
      <c r="B45" s="400"/>
      <c r="C45" s="37" t="s">
        <v>237</v>
      </c>
    </row>
    <row r="46" spans="1:17" s="36" customFormat="1" ht="12.75">
      <c r="B46" s="38"/>
      <c r="C46" s="39" t="s">
        <v>36</v>
      </c>
      <c r="D46" s="40"/>
      <c r="E46" s="40"/>
      <c r="F46" s="40"/>
      <c r="G46" s="41"/>
      <c r="H46" s="41"/>
      <c r="I46" s="41"/>
      <c r="J46" s="42" t="s">
        <v>37</v>
      </c>
      <c r="K46" s="43"/>
      <c r="L46" s="44" t="s">
        <v>38</v>
      </c>
      <c r="M46" s="45"/>
      <c r="N46" s="46"/>
      <c r="O46" s="47" t="s">
        <v>39</v>
      </c>
      <c r="P46" s="48"/>
      <c r="Q46" s="49"/>
    </row>
    <row r="47" spans="1:17" s="36" customFormat="1" ht="12.75">
      <c r="B47" s="50"/>
      <c r="C47" s="51"/>
      <c r="D47" s="51"/>
      <c r="E47" s="51"/>
      <c r="F47" s="51"/>
      <c r="G47" s="51"/>
      <c r="H47" s="52"/>
      <c r="I47" s="51"/>
      <c r="J47" s="53"/>
      <c r="K47" s="54"/>
      <c r="L47" s="55" t="s">
        <v>40</v>
      </c>
      <c r="M47" s="56"/>
      <c r="N47" s="57"/>
      <c r="O47" s="58"/>
      <c r="P47" s="59"/>
    </row>
    <row r="48" spans="1:17" s="36" customFormat="1" ht="48" customHeight="1">
      <c r="B48" s="60" t="s">
        <v>41</v>
      </c>
      <c r="C48" s="61"/>
      <c r="D48" s="61" t="s">
        <v>42</v>
      </c>
      <c r="E48" s="61" t="s">
        <v>43</v>
      </c>
      <c r="F48" s="61" t="s">
        <v>44</v>
      </c>
      <c r="G48" s="61" t="s">
        <v>45</v>
      </c>
      <c r="H48" s="61" t="s">
        <v>46</v>
      </c>
      <c r="I48" s="61" t="s">
        <v>47</v>
      </c>
      <c r="J48" s="62" t="s">
        <v>48</v>
      </c>
      <c r="K48" s="63" t="s">
        <v>49</v>
      </c>
      <c r="L48" s="64" t="s">
        <v>50</v>
      </c>
      <c r="M48" s="64" t="s">
        <v>51</v>
      </c>
      <c r="N48" s="65" t="s">
        <v>52</v>
      </c>
      <c r="O48" s="66" t="s">
        <v>53</v>
      </c>
      <c r="P48" s="63" t="s">
        <v>142</v>
      </c>
    </row>
    <row r="49" spans="1:26" s="67" customFormat="1" ht="12.75">
      <c r="B49" s="68"/>
      <c r="C49" s="69"/>
      <c r="D49" s="70"/>
      <c r="E49" s="70"/>
      <c r="F49" s="71"/>
      <c r="G49" s="72"/>
      <c r="H49" s="73"/>
      <c r="I49" s="74"/>
      <c r="J49" s="75"/>
      <c r="K49" s="76"/>
      <c r="L49" s="75"/>
      <c r="M49" s="75"/>
      <c r="N49" s="77"/>
      <c r="O49" s="75"/>
      <c r="P49" s="78"/>
    </row>
    <row r="50" spans="1:26" s="67" customFormat="1" ht="12.75">
      <c r="B50" s="79" t="s">
        <v>238</v>
      </c>
      <c r="C50" s="80"/>
      <c r="D50" s="81"/>
      <c r="E50" s="81"/>
      <c r="F50" s="74"/>
      <c r="G50" s="74"/>
      <c r="H50" s="82"/>
      <c r="I50" s="83"/>
      <c r="J50" s="191">
        <v>2016</v>
      </c>
      <c r="K50" s="74"/>
      <c r="L50" s="191">
        <v>2016</v>
      </c>
      <c r="M50" s="191">
        <v>2016</v>
      </c>
      <c r="N50" s="77"/>
      <c r="O50" s="191">
        <v>2016</v>
      </c>
      <c r="P50" s="85"/>
    </row>
    <row r="51" spans="1:26" s="67" customFormat="1" ht="12.75">
      <c r="A51" s="67" t="s">
        <v>54</v>
      </c>
      <c r="B51" s="86" t="s">
        <v>225</v>
      </c>
      <c r="C51" s="86"/>
      <c r="D51" s="87">
        <v>0.78</v>
      </c>
      <c r="E51" s="87">
        <v>0.93699999999999994</v>
      </c>
      <c r="F51" s="88"/>
      <c r="G51" s="89">
        <v>385.35346874999999</v>
      </c>
      <c r="H51" s="404">
        <v>6362</v>
      </c>
      <c r="I51" s="405">
        <f>G51*D51*8760</f>
        <v>2633043.1812750003</v>
      </c>
      <c r="J51" s="89">
        <v>1484.3381350587799</v>
      </c>
      <c r="K51" s="406">
        <v>7.2562879502455491E-2</v>
      </c>
      <c r="L51" s="93">
        <v>21.68</v>
      </c>
      <c r="M51" s="93">
        <v>3.3180439885901754E-2</v>
      </c>
      <c r="N51" s="407">
        <f>L51+M51</f>
        <v>21.713180439885903</v>
      </c>
      <c r="O51" s="95">
        <v>2.0592662948867351</v>
      </c>
      <c r="P51" s="95">
        <v>2.27</v>
      </c>
    </row>
    <row r="52" spans="1:26" s="67" customFormat="1" ht="12.75">
      <c r="A52" s="67" t="s">
        <v>54</v>
      </c>
      <c r="B52" s="86" t="s">
        <v>226</v>
      </c>
      <c r="C52" s="86"/>
      <c r="D52" s="96">
        <v>0.12</v>
      </c>
      <c r="E52" s="87">
        <v>0.95399999999999996</v>
      </c>
      <c r="F52" s="97"/>
      <c r="G52" s="89">
        <v>51.003718749999997</v>
      </c>
      <c r="H52" s="404">
        <v>9012</v>
      </c>
      <c r="I52" s="408">
        <f>G52*D52*8760</f>
        <v>53615.109149999997</v>
      </c>
      <c r="J52" s="89">
        <v>443.00439708045104</v>
      </c>
      <c r="K52" s="406">
        <v>7.2562879502455491E-2</v>
      </c>
      <c r="L52" s="102">
        <v>5.39</v>
      </c>
      <c r="M52" s="102">
        <v>0</v>
      </c>
      <c r="N52" s="409">
        <f>L52+M52</f>
        <v>5.39</v>
      </c>
      <c r="O52" s="95">
        <v>0.15</v>
      </c>
      <c r="P52" s="104">
        <v>2.81</v>
      </c>
    </row>
    <row r="53" spans="1:26" s="67" customFormat="1" ht="13.5" thickBot="1">
      <c r="B53" s="329" t="s">
        <v>57</v>
      </c>
      <c r="C53" s="86"/>
      <c r="D53" s="401">
        <f>SUMPRODUCT(D51:D52,$G51:$G52)/SUM($G51:$G52)</f>
        <v>0.70285573530285894</v>
      </c>
      <c r="E53" s="402"/>
      <c r="F53" s="97"/>
      <c r="G53" s="402"/>
      <c r="H53" s="403">
        <f>SUMPRODUCT(H51:H52,$I51:$I52)/SUM($I51:$I52)</f>
        <v>6414.883554173548</v>
      </c>
      <c r="I53" s="402"/>
      <c r="J53" s="403">
        <v>1362.6215812395926</v>
      </c>
      <c r="K53" s="110"/>
      <c r="L53" s="211">
        <f>SUMPRODUCT(L51:L52,$G51:$G52)/SUM($G51:$G52)</f>
        <v>19.775939284975109</v>
      </c>
      <c r="M53" s="211">
        <f t="shared" ref="M53" si="1">SUMPRODUCT(M51:M52,$G51:$G52)/SUM($G51:$G52)</f>
        <v>2.9302135889953902E-2</v>
      </c>
      <c r="N53" s="211">
        <f>SUMPRODUCT(N51:N52,$G51:$G52)/SUM($G51:$G52)</f>
        <v>19.805241420865066</v>
      </c>
      <c r="O53" s="211">
        <f>SUMPRODUCT(O51:O52,$I51:$I52)/SUM($I51:$I52)</f>
        <v>2.02116486562735</v>
      </c>
      <c r="P53" s="103">
        <f>SUMPRODUCT(P51:P52,$I51:$I52)/SUM($I51:$I52)</f>
        <v>2.2807762714164963</v>
      </c>
    </row>
    <row r="54" spans="1:26" s="67" customFormat="1" ht="13.5" thickBot="1">
      <c r="B54" s="80" t="s">
        <v>227</v>
      </c>
      <c r="C54" s="337"/>
      <c r="D54" s="87">
        <v>0.33</v>
      </c>
      <c r="E54" s="87"/>
      <c r="F54" s="88"/>
      <c r="G54" s="89">
        <v>199.924125</v>
      </c>
      <c r="H54" s="90"/>
      <c r="I54" s="91"/>
      <c r="J54" s="89">
        <v>702</v>
      </c>
      <c r="K54" s="406">
        <v>7.3700000000000002E-2</v>
      </c>
      <c r="L54" s="102">
        <v>15.97</v>
      </c>
      <c r="M54" s="93">
        <v>0.05</v>
      </c>
      <c r="N54" s="410">
        <v>16.02</v>
      </c>
      <c r="O54" s="95">
        <v>6.61</v>
      </c>
      <c r="P54" s="95">
        <v>3.79</v>
      </c>
    </row>
    <row r="55" spans="1:26" ht="12.75">
      <c r="B55" s="67" t="s">
        <v>236</v>
      </c>
      <c r="G55" s="112"/>
    </row>
    <row r="57" spans="1:26" s="67" customFormat="1" ht="12.75">
      <c r="C57" s="490" t="s">
        <v>308</v>
      </c>
    </row>
    <row r="58" spans="1:26" s="67" customFormat="1" ht="12.75">
      <c r="C58" s="490" t="s">
        <v>316</v>
      </c>
      <c r="V58" s="36"/>
      <c r="W58" s="36"/>
      <c r="X58" s="36"/>
      <c r="Y58" s="36"/>
    </row>
    <row r="59" spans="1:26" s="36" customFormat="1" ht="13.5" thickBot="1">
      <c r="B59" s="37"/>
      <c r="C59" s="37" t="s">
        <v>317</v>
      </c>
    </row>
    <row r="60" spans="1:26" s="36" customFormat="1" ht="12.75">
      <c r="B60" s="491"/>
      <c r="C60" s="492" t="s">
        <v>36</v>
      </c>
      <c r="D60" s="493"/>
      <c r="E60" s="493"/>
      <c r="F60" s="493"/>
      <c r="G60" s="494"/>
      <c r="H60" s="494"/>
      <c r="I60" s="494"/>
      <c r="J60" s="495" t="s">
        <v>37</v>
      </c>
      <c r="K60" s="496"/>
      <c r="L60" s="497" t="s">
        <v>38</v>
      </c>
      <c r="M60" s="498"/>
      <c r="N60" s="499"/>
      <c r="O60" s="500" t="s">
        <v>39</v>
      </c>
      <c r="P60" s="501"/>
      <c r="Q60" s="502"/>
      <c r="R60" s="503"/>
      <c r="S60" s="503"/>
      <c r="T60" s="504"/>
    </row>
    <row r="61" spans="1:26" s="36" customFormat="1" ht="12.75">
      <c r="B61" s="505"/>
      <c r="C61" s="170"/>
      <c r="D61" s="170"/>
      <c r="E61" s="170"/>
      <c r="F61" s="170"/>
      <c r="G61" s="171"/>
      <c r="H61" s="172"/>
      <c r="I61" s="170"/>
      <c r="J61" s="174"/>
      <c r="K61" s="173"/>
      <c r="L61" s="175" t="s">
        <v>40</v>
      </c>
      <c r="M61" s="45"/>
      <c r="N61" s="46"/>
      <c r="O61" s="176"/>
      <c r="P61" s="506"/>
      <c r="Q61" s="178" t="s">
        <v>147</v>
      </c>
      <c r="R61" s="179"/>
      <c r="S61" s="179"/>
      <c r="T61" s="180"/>
    </row>
    <row r="62" spans="1:26" s="36" customFormat="1" ht="51">
      <c r="B62" s="507" t="s">
        <v>41</v>
      </c>
      <c r="C62" s="181"/>
      <c r="D62" s="61" t="s">
        <v>42</v>
      </c>
      <c r="E62" s="61" t="s">
        <v>43</v>
      </c>
      <c r="F62" s="61" t="s">
        <v>44</v>
      </c>
      <c r="G62" s="61" t="s">
        <v>45</v>
      </c>
      <c r="H62" s="61" t="s">
        <v>46</v>
      </c>
      <c r="I62" s="61" t="s">
        <v>47</v>
      </c>
      <c r="J62" s="182" t="s">
        <v>48</v>
      </c>
      <c r="K62" s="61" t="s">
        <v>49</v>
      </c>
      <c r="L62" s="183" t="s">
        <v>50</v>
      </c>
      <c r="M62" s="183" t="s">
        <v>51</v>
      </c>
      <c r="N62" s="184" t="s">
        <v>52</v>
      </c>
      <c r="O62" s="185" t="s">
        <v>53</v>
      </c>
      <c r="P62" s="185" t="s">
        <v>148</v>
      </c>
      <c r="Q62" s="185" t="s">
        <v>155</v>
      </c>
      <c r="R62" s="61" t="s">
        <v>149</v>
      </c>
      <c r="S62" s="61" t="s">
        <v>150</v>
      </c>
      <c r="T62" s="61" t="s">
        <v>151</v>
      </c>
      <c r="U62" s="186" t="s">
        <v>152</v>
      </c>
      <c r="W62" s="67"/>
      <c r="X62" s="67"/>
      <c r="Y62" s="67"/>
      <c r="Z62" s="67"/>
    </row>
    <row r="63" spans="1:26" s="67" customFormat="1" ht="12.75">
      <c r="B63" s="508"/>
      <c r="C63" s="70"/>
      <c r="D63" s="70"/>
      <c r="E63" s="70"/>
      <c r="F63" s="71"/>
      <c r="G63" s="72"/>
      <c r="H63" s="73"/>
      <c r="I63" s="74"/>
      <c r="J63" s="75"/>
      <c r="K63" s="76"/>
      <c r="L63" s="75"/>
      <c r="M63" s="75"/>
      <c r="N63" s="77"/>
      <c r="O63" s="75"/>
      <c r="P63" s="75"/>
      <c r="Q63" s="75"/>
      <c r="R63" s="188"/>
      <c r="S63" s="188"/>
      <c r="T63" s="188"/>
      <c r="U63" s="189"/>
    </row>
    <row r="64" spans="1:26" s="67" customFormat="1" ht="12.75">
      <c r="B64" s="509"/>
      <c r="C64" s="74"/>
      <c r="D64" s="81"/>
      <c r="E64" s="81"/>
      <c r="F64" s="74"/>
      <c r="G64" s="74"/>
      <c r="H64" s="190"/>
      <c r="I64" s="83"/>
      <c r="J64" s="191">
        <v>2014</v>
      </c>
      <c r="K64" s="74"/>
      <c r="L64" s="191">
        <v>2014</v>
      </c>
      <c r="M64" s="191">
        <v>2014</v>
      </c>
      <c r="N64" s="77"/>
      <c r="O64" s="191">
        <v>2014</v>
      </c>
      <c r="P64" s="191">
        <v>2014</v>
      </c>
      <c r="Q64" s="75"/>
      <c r="R64" s="510"/>
      <c r="S64" s="82"/>
      <c r="T64" s="82"/>
      <c r="U64" s="511"/>
    </row>
    <row r="65" spans="1:21" s="67" customFormat="1" ht="12.75">
      <c r="B65" s="421" t="s">
        <v>318</v>
      </c>
      <c r="D65" s="512">
        <v>0.78</v>
      </c>
      <c r="E65" s="512">
        <v>0.93699999999999994</v>
      </c>
      <c r="F65" s="513"/>
      <c r="G65" s="514">
        <v>380</v>
      </c>
      <c r="H65" s="515">
        <v>6494.6100000000006</v>
      </c>
      <c r="I65" s="516">
        <f>G65*D65*8760</f>
        <v>2596464.0000000005</v>
      </c>
      <c r="J65" s="517">
        <v>967.31727337852089</v>
      </c>
      <c r="K65" s="518">
        <v>7.682307239305719E-2</v>
      </c>
      <c r="L65" s="514">
        <v>8.5801819266493524</v>
      </c>
      <c r="M65" s="514">
        <v>0.33244283751823289</v>
      </c>
      <c r="N65" s="519">
        <f>L65+M65</f>
        <v>8.9126247641675853</v>
      </c>
      <c r="O65" s="520">
        <v>2.654223023176383</v>
      </c>
      <c r="P65" s="520">
        <v>12.507312384</v>
      </c>
      <c r="Q65" s="520">
        <v>3.1097027406600004</v>
      </c>
      <c r="R65" s="521">
        <v>5.9999999999999995E-4</v>
      </c>
      <c r="S65" s="522">
        <v>8.0000000000000002E-3</v>
      </c>
      <c r="T65" s="520">
        <v>0.255</v>
      </c>
      <c r="U65" s="523">
        <v>118</v>
      </c>
    </row>
    <row r="66" spans="1:21" s="67" customFormat="1" ht="12.75">
      <c r="B66" s="421" t="s">
        <v>319</v>
      </c>
      <c r="D66" s="524">
        <v>0.12</v>
      </c>
      <c r="E66" s="512">
        <v>0.95399999999999996</v>
      </c>
      <c r="F66" s="513"/>
      <c r="G66" s="514">
        <v>43</v>
      </c>
      <c r="H66" s="515">
        <v>8611.0186046511626</v>
      </c>
      <c r="I66" s="525">
        <f>G66*D66*8760</f>
        <v>45201.599999999999</v>
      </c>
      <c r="J66" s="517">
        <v>449.14729583808145</v>
      </c>
      <c r="K66" s="518">
        <v>7.682307239305719E-2</v>
      </c>
      <c r="L66" s="526">
        <v>0</v>
      </c>
      <c r="M66" s="526">
        <v>0</v>
      </c>
      <c r="N66" s="527">
        <f>L66+M66</f>
        <v>0</v>
      </c>
      <c r="O66" s="520">
        <v>9.7589769164759851E-2</v>
      </c>
      <c r="P66" s="520">
        <v>16.582058035199999</v>
      </c>
      <c r="Q66" s="520">
        <v>4.0526363537099996</v>
      </c>
      <c r="R66" s="521">
        <v>5.9999999999999995E-4</v>
      </c>
      <c r="S66" s="528">
        <v>8.0000000000000002E-3</v>
      </c>
      <c r="T66" s="520">
        <v>0.255</v>
      </c>
      <c r="U66" s="523">
        <v>118</v>
      </c>
    </row>
    <row r="67" spans="1:21" s="67" customFormat="1" ht="19.5" customHeight="1" thickBot="1">
      <c r="B67" s="529" t="s">
        <v>57</v>
      </c>
      <c r="C67" s="530"/>
      <c r="D67" s="401">
        <f>SUMPRODUCT(D65:D66,$G65:$G66)/SUM($G65:$G66)</f>
        <v>0.7129078014184399</v>
      </c>
      <c r="E67" s="402"/>
      <c r="F67" s="402"/>
      <c r="G67" s="402"/>
      <c r="H67" s="531">
        <f>SUMPRODUCT(H65:H66,$I65:$I66)/SUM($I65:$I66)</f>
        <v>6530.8239156386799</v>
      </c>
      <c r="I67" s="402"/>
      <c r="J67" s="403">
        <f>SUMPRODUCT(J65:J66,$G65:$G66)/SUM($G65:$G66)</f>
        <v>914.64278393587574</v>
      </c>
      <c r="K67" s="532"/>
      <c r="L67" s="211">
        <f>SUMPRODUCT(L65:L66,$G65:$G66)/SUM($G65:$G66)</f>
        <v>7.7079648513634842</v>
      </c>
      <c r="M67" s="211">
        <v>0</v>
      </c>
      <c r="N67" s="211">
        <f>SUMPRODUCT(N65:N66,$G65:$G66)/SUM($G65:$G66)</f>
        <v>8.006613263318398</v>
      </c>
      <c r="O67" s="211">
        <f>SUMPRODUCT(O65:O66,$I65:$I66)/SUM($I65:$I66)</f>
        <v>2.6104764135772984</v>
      </c>
      <c r="P67" s="211">
        <v>12.577035449261281</v>
      </c>
      <c r="Q67" s="103">
        <f>SUMPRODUCT(Q65:Q66,$I65:$I66)/SUM($I65:$I66)</f>
        <v>3.1258372991005694</v>
      </c>
      <c r="R67" s="210">
        <v>5.9999999999999984E-4</v>
      </c>
      <c r="S67" s="211">
        <v>7.9999999999999984E-3</v>
      </c>
      <c r="T67" s="211">
        <v>0.25500000000000006</v>
      </c>
      <c r="U67" s="212">
        <v>118</v>
      </c>
    </row>
    <row r="68" spans="1:21" s="67" customFormat="1" ht="13.5" thickBot="1">
      <c r="B68" s="534" t="s">
        <v>227</v>
      </c>
      <c r="C68" s="535"/>
      <c r="D68" s="87">
        <v>0.33</v>
      </c>
      <c r="E68" s="87"/>
      <c r="F68" s="88"/>
      <c r="G68" s="89">
        <v>199.924125</v>
      </c>
      <c r="H68" s="90"/>
      <c r="I68" s="91"/>
      <c r="J68" s="89">
        <v>820.02180312689813</v>
      </c>
      <c r="K68" s="406">
        <v>7.7667383499954168E-2</v>
      </c>
      <c r="L68" s="102"/>
      <c r="M68" s="93"/>
      <c r="N68" s="410">
        <v>10.728501482152289</v>
      </c>
    </row>
    <row r="69" spans="1:21" s="67" customFormat="1" ht="12.75">
      <c r="B69" s="490" t="s">
        <v>320</v>
      </c>
    </row>
    <row r="70" spans="1:21" s="67" customFormat="1" ht="12.75">
      <c r="B70" s="533" t="s">
        <v>321</v>
      </c>
    </row>
    <row r="73" spans="1:21" s="36" customFormat="1" ht="12.75">
      <c r="B73" s="37" t="s">
        <v>154</v>
      </c>
    </row>
    <row r="74" spans="1:21" s="36" customFormat="1" ht="12.75">
      <c r="B74" s="38"/>
      <c r="C74" s="39" t="s">
        <v>36</v>
      </c>
      <c r="D74" s="40"/>
      <c r="E74" s="40"/>
      <c r="F74" s="40"/>
      <c r="G74" s="41"/>
      <c r="H74" s="41"/>
      <c r="I74" s="41"/>
      <c r="J74" s="42" t="s">
        <v>37</v>
      </c>
      <c r="K74" s="43"/>
      <c r="L74" s="44" t="s">
        <v>38</v>
      </c>
      <c r="M74" s="45"/>
      <c r="N74" s="46"/>
      <c r="O74" s="47" t="s">
        <v>39</v>
      </c>
      <c r="P74" s="48"/>
      <c r="Q74" s="49"/>
    </row>
    <row r="75" spans="1:21" s="36" customFormat="1" ht="12.75">
      <c r="B75" s="50"/>
      <c r="C75" s="51"/>
      <c r="D75" s="51"/>
      <c r="E75" s="51"/>
      <c r="F75" s="51"/>
      <c r="G75" s="51"/>
      <c r="H75" s="52"/>
      <c r="I75" s="51"/>
      <c r="J75" s="53"/>
      <c r="K75" s="54"/>
      <c r="L75" s="55" t="s">
        <v>40</v>
      </c>
      <c r="M75" s="56"/>
      <c r="N75" s="57"/>
      <c r="O75" s="58"/>
      <c r="P75" s="59"/>
    </row>
    <row r="76" spans="1:21" s="36" customFormat="1" ht="48" customHeight="1">
      <c r="B76" s="60" t="s">
        <v>41</v>
      </c>
      <c r="C76" s="61"/>
      <c r="D76" s="61" t="s">
        <v>42</v>
      </c>
      <c r="E76" s="61" t="s">
        <v>43</v>
      </c>
      <c r="F76" s="61" t="s">
        <v>44</v>
      </c>
      <c r="G76" s="61" t="s">
        <v>45</v>
      </c>
      <c r="H76" s="61" t="s">
        <v>46</v>
      </c>
      <c r="I76" s="61" t="s">
        <v>47</v>
      </c>
      <c r="J76" s="62" t="s">
        <v>48</v>
      </c>
      <c r="K76" s="63" t="s">
        <v>49</v>
      </c>
      <c r="L76" s="64" t="s">
        <v>50</v>
      </c>
      <c r="M76" s="64" t="s">
        <v>51</v>
      </c>
      <c r="N76" s="65" t="s">
        <v>52</v>
      </c>
      <c r="O76" s="66" t="s">
        <v>53</v>
      </c>
      <c r="P76" s="63" t="s">
        <v>142</v>
      </c>
    </row>
    <row r="77" spans="1:21" s="67" customFormat="1" ht="12.75">
      <c r="B77" s="68"/>
      <c r="C77" s="69"/>
      <c r="D77" s="70"/>
      <c r="E77" s="70"/>
      <c r="F77" s="71"/>
      <c r="G77" s="72"/>
      <c r="H77" s="73"/>
      <c r="I77" s="74"/>
      <c r="J77" s="75"/>
      <c r="K77" s="76"/>
      <c r="L77" s="75"/>
      <c r="M77" s="75"/>
      <c r="N77" s="77"/>
      <c r="O77" s="75"/>
      <c r="P77" s="78"/>
    </row>
    <row r="78" spans="1:21" s="67" customFormat="1" ht="12.75">
      <c r="B78" s="79" t="str">
        <f>B73</f>
        <v>2007 IRP Proxy Resource</v>
      </c>
      <c r="C78" s="80"/>
      <c r="D78" s="81"/>
      <c r="E78" s="81"/>
      <c r="F78" s="74"/>
      <c r="G78" s="74"/>
      <c r="H78" s="82"/>
      <c r="I78" s="83"/>
      <c r="J78" s="84">
        <v>2006</v>
      </c>
      <c r="K78" s="74"/>
      <c r="L78" s="84">
        <v>2006</v>
      </c>
      <c r="M78" s="84">
        <v>2006</v>
      </c>
      <c r="N78" s="77"/>
      <c r="O78" s="84">
        <v>2006</v>
      </c>
      <c r="P78" s="85"/>
    </row>
    <row r="79" spans="1:21" s="67" customFormat="1" ht="12.75">
      <c r="A79" s="67" t="s">
        <v>54</v>
      </c>
      <c r="B79" s="86" t="s">
        <v>55</v>
      </c>
      <c r="C79" s="86"/>
      <c r="D79" s="87">
        <v>0.56000000000000005</v>
      </c>
      <c r="E79" s="87">
        <v>0.92</v>
      </c>
      <c r="F79" s="88"/>
      <c r="G79" s="89">
        <v>492</v>
      </c>
      <c r="H79" s="90">
        <v>7163.6978653530377</v>
      </c>
      <c r="I79" s="91">
        <f>G79*D79*8760</f>
        <v>2413555.2000000002</v>
      </c>
      <c r="J79" s="89">
        <v>741</v>
      </c>
      <c r="K79" s="92">
        <v>8.6199999999999999E-2</v>
      </c>
      <c r="L79" s="93">
        <v>9.07</v>
      </c>
      <c r="M79" s="93">
        <v>0.5</v>
      </c>
      <c r="N79" s="94">
        <f>L79+M79</f>
        <v>9.57</v>
      </c>
      <c r="O79" s="95">
        <v>2.36</v>
      </c>
      <c r="P79" s="95">
        <v>2.27</v>
      </c>
    </row>
    <row r="80" spans="1:21" s="67" customFormat="1" ht="12.75">
      <c r="A80" s="67" t="s">
        <v>54</v>
      </c>
      <c r="B80" s="86" t="s">
        <v>56</v>
      </c>
      <c r="C80" s="86"/>
      <c r="D80" s="96">
        <v>0.16</v>
      </c>
      <c r="E80" s="96">
        <v>0.92</v>
      </c>
      <c r="F80" s="97"/>
      <c r="G80" s="98">
        <v>110</v>
      </c>
      <c r="H80" s="99">
        <v>8867.8486690962327</v>
      </c>
      <c r="I80" s="100">
        <f>G80*D80*8760</f>
        <v>154176</v>
      </c>
      <c r="J80" s="98">
        <v>249</v>
      </c>
      <c r="K80" s="101">
        <v>8.6199999999999999E-2</v>
      </c>
      <c r="L80" s="102">
        <v>0</v>
      </c>
      <c r="M80" s="102">
        <v>0.5</v>
      </c>
      <c r="N80" s="103">
        <f>L80+M80</f>
        <v>0.5</v>
      </c>
      <c r="O80" s="104">
        <v>0.1</v>
      </c>
      <c r="P80" s="104">
        <v>2.81</v>
      </c>
    </row>
    <row r="81" spans="2:27" s="67" customFormat="1" ht="12.75">
      <c r="B81" s="329" t="s">
        <v>57</v>
      </c>
      <c r="C81" s="86"/>
      <c r="D81" s="106">
        <f>SUMPRODUCT(D79:D80,$G79:$G80)/SUM($G79:$G80)</f>
        <v>0.48691029900332239</v>
      </c>
      <c r="E81" s="97"/>
      <c r="F81" s="97"/>
      <c r="G81" s="107"/>
      <c r="H81" s="108">
        <f>SUMPRODUCT(H79:H80,$I79:$I80)/SUM($I79:$I80)</f>
        <v>7266.0213306432961</v>
      </c>
      <c r="I81" s="97"/>
      <c r="J81" s="109">
        <f>SUMPRODUCT(J79:J80,$G79:$G80)/SUM($G79:$G80)</f>
        <v>651.09966777408636</v>
      </c>
      <c r="K81" s="110"/>
      <c r="L81" s="103">
        <f>SUMPRODUCT(L79:L80,$G79:$G80)/SUM($G79:$G80)</f>
        <v>7.4126910299003335</v>
      </c>
      <c r="M81" s="103">
        <f>SUMPRODUCT(M79:M80,$G79:$G80)/SUM($G79:$G80)</f>
        <v>0.5</v>
      </c>
      <c r="N81" s="103">
        <f>SUMPRODUCT(N79:N80,$G79:$G80)/SUM($G79:$G80)</f>
        <v>7.9126910299003335</v>
      </c>
      <c r="O81" s="103">
        <f>SUMPRODUCT(O79:O80,$I79:$I80)/SUM($I79:$I80)</f>
        <v>2.2243013100436677</v>
      </c>
      <c r="P81" s="103">
        <f>SUMPRODUCT(P79:P80,$I79:$I80)/SUM($I79:$I80)</f>
        <v>2.302423580786026</v>
      </c>
    </row>
    <row r="82" spans="2:27" s="67" customFormat="1" ht="12.75">
      <c r="B82" s="80" t="s">
        <v>58</v>
      </c>
      <c r="C82" s="337"/>
      <c r="D82" s="87">
        <v>0.21</v>
      </c>
      <c r="E82" s="87"/>
      <c r="F82" s="88"/>
      <c r="G82" s="89">
        <v>332</v>
      </c>
      <c r="H82" s="90"/>
      <c r="I82" s="91"/>
      <c r="J82" s="89">
        <f>(423+485)/2</f>
        <v>454</v>
      </c>
      <c r="K82" s="92">
        <v>8.3299999999999999E-2</v>
      </c>
      <c r="L82" s="93">
        <v>5.25</v>
      </c>
      <c r="M82" s="93">
        <v>0.5</v>
      </c>
      <c r="N82" s="94">
        <f>L82+M82</f>
        <v>5.75</v>
      </c>
      <c r="O82" s="95">
        <v>9.8699999999999992</v>
      </c>
      <c r="P82" s="95">
        <v>3.79</v>
      </c>
    </row>
    <row r="83" spans="2:27" ht="12.75">
      <c r="B83" s="67" t="s">
        <v>59</v>
      </c>
      <c r="G83" s="112"/>
    </row>
    <row r="84" spans="2:27" ht="21" customHeight="1">
      <c r="G84" s="112"/>
    </row>
    <row r="86" spans="2:27" ht="12.75">
      <c r="B86" s="37" t="str">
        <f>"2008 IRP Proxy Resource, 2008 IRP Table 6.4"</f>
        <v>2008 IRP Proxy Resource, 2008 IRP Table 6.4</v>
      </c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</row>
    <row r="87" spans="2:27" ht="12.75">
      <c r="B87" s="317"/>
      <c r="C87" s="318" t="s">
        <v>36</v>
      </c>
      <c r="D87" s="319"/>
      <c r="E87" s="319"/>
      <c r="F87" s="319"/>
      <c r="G87" s="320"/>
      <c r="H87" s="320"/>
      <c r="I87" s="320"/>
      <c r="J87" s="42" t="s">
        <v>37</v>
      </c>
      <c r="K87" s="43"/>
      <c r="L87" s="44" t="s">
        <v>38</v>
      </c>
      <c r="M87" s="321"/>
      <c r="N87" s="322"/>
      <c r="O87" s="47" t="s">
        <v>39</v>
      </c>
      <c r="P87" s="48"/>
      <c r="Q87" s="218"/>
      <c r="R87" s="218"/>
      <c r="S87" s="218"/>
      <c r="T87" s="218"/>
    </row>
    <row r="88" spans="2:27" ht="12.75">
      <c r="B88" s="326"/>
      <c r="C88" s="325"/>
      <c r="D88" s="170"/>
      <c r="E88" s="170"/>
      <c r="F88" s="170"/>
      <c r="G88" s="171"/>
      <c r="H88" s="172"/>
      <c r="I88" s="170"/>
      <c r="J88" s="174"/>
      <c r="K88" s="173"/>
      <c r="L88" s="175" t="s">
        <v>40</v>
      </c>
      <c r="M88" s="45"/>
      <c r="N88" s="46"/>
      <c r="O88" s="176"/>
      <c r="P88" s="177"/>
      <c r="R88" s="36"/>
      <c r="S88" s="36"/>
      <c r="T88" s="36"/>
      <c r="U88" s="36"/>
      <c r="V88" s="36"/>
      <c r="X88" s="178" t="s">
        <v>147</v>
      </c>
      <c r="Y88" s="179"/>
      <c r="Z88" s="179"/>
      <c r="AA88" s="180"/>
    </row>
    <row r="89" spans="2:27" ht="66" customHeight="1">
      <c r="B89" s="324" t="s">
        <v>41</v>
      </c>
      <c r="C89" s="181"/>
      <c r="D89" s="61" t="s">
        <v>42</v>
      </c>
      <c r="E89" s="61" t="s">
        <v>43</v>
      </c>
      <c r="F89" s="61" t="s">
        <v>44</v>
      </c>
      <c r="G89" s="61" t="s">
        <v>45</v>
      </c>
      <c r="H89" s="61" t="s">
        <v>46</v>
      </c>
      <c r="I89" s="61" t="s">
        <v>47</v>
      </c>
      <c r="J89" s="182" t="s">
        <v>48</v>
      </c>
      <c r="K89" s="61" t="s">
        <v>49</v>
      </c>
      <c r="L89" s="183" t="s">
        <v>50</v>
      </c>
      <c r="M89" s="183" t="s">
        <v>51</v>
      </c>
      <c r="N89" s="184" t="s">
        <v>52</v>
      </c>
      <c r="O89" s="185" t="s">
        <v>53</v>
      </c>
      <c r="P89" s="185" t="s">
        <v>148</v>
      </c>
      <c r="Q89" s="312" t="s">
        <v>155</v>
      </c>
      <c r="R89" s="218"/>
      <c r="S89" s="218"/>
      <c r="T89" s="218"/>
      <c r="X89" s="61" t="s">
        <v>149</v>
      </c>
      <c r="Y89" s="61" t="s">
        <v>150</v>
      </c>
      <c r="Z89" s="61" t="s">
        <v>151</v>
      </c>
      <c r="AA89" s="186" t="s">
        <v>152</v>
      </c>
    </row>
    <row r="90" spans="2:27" ht="12.75">
      <c r="B90" s="80"/>
      <c r="C90" s="70"/>
      <c r="D90" s="70"/>
      <c r="E90" s="70"/>
      <c r="F90" s="187"/>
      <c r="G90" s="72"/>
      <c r="H90" s="73"/>
      <c r="I90" s="74"/>
      <c r="J90" s="75"/>
      <c r="K90" s="76"/>
      <c r="L90" s="75"/>
      <c r="M90" s="75"/>
      <c r="N90" s="77"/>
      <c r="O90" s="75"/>
      <c r="P90" s="313"/>
      <c r="Q90" s="78"/>
      <c r="R90" s="36"/>
      <c r="S90" s="36"/>
      <c r="T90" s="36"/>
      <c r="U90" s="36"/>
      <c r="V90" s="36"/>
      <c r="X90" s="188"/>
      <c r="Y90" s="188"/>
      <c r="Z90" s="188"/>
      <c r="AA90" s="189"/>
    </row>
    <row r="91" spans="2:27" ht="12.75">
      <c r="B91" s="79" t="str">
        <f>B86</f>
        <v>2008 IRP Proxy Resource, 2008 IRP Table 6.4</v>
      </c>
      <c r="C91" s="74"/>
      <c r="D91" s="81"/>
      <c r="E91" s="81"/>
      <c r="F91" s="74"/>
      <c r="G91" s="74"/>
      <c r="H91" s="190"/>
      <c r="I91" s="83"/>
      <c r="J91" s="191">
        <v>2008</v>
      </c>
      <c r="K91" s="74"/>
      <c r="L91" s="191">
        <v>2008</v>
      </c>
      <c r="M91" s="191">
        <v>2008</v>
      </c>
      <c r="N91" s="77"/>
      <c r="O91" s="191">
        <v>2008</v>
      </c>
      <c r="P91" s="191">
        <v>2010</v>
      </c>
      <c r="Q91" s="313">
        <v>2008</v>
      </c>
      <c r="R91" s="218"/>
      <c r="S91" s="218"/>
      <c r="T91" s="218"/>
      <c r="X91" s="192"/>
      <c r="Y91" s="190"/>
      <c r="Z91" s="190"/>
      <c r="AA91" s="193"/>
    </row>
    <row r="92" spans="2:27" ht="12.75">
      <c r="B92" s="86" t="s">
        <v>153</v>
      </c>
      <c r="C92" s="67"/>
      <c r="D92" s="194">
        <v>0.56000000000000005</v>
      </c>
      <c r="E92" s="194">
        <v>0.92</v>
      </c>
      <c r="F92" s="88"/>
      <c r="G92" s="195">
        <v>505.93497958333285</v>
      </c>
      <c r="H92" s="196">
        <v>7098.0908239498294</v>
      </c>
      <c r="I92" s="197">
        <f>G92*D92*8760</f>
        <v>2481914.6358439978</v>
      </c>
      <c r="J92" s="198">
        <v>1243.767380590491</v>
      </c>
      <c r="K92" s="199">
        <v>8.5860000000000006E-2</v>
      </c>
      <c r="L92" s="195">
        <v>7.7719621817459537</v>
      </c>
      <c r="M92" s="195">
        <v>0.5</v>
      </c>
      <c r="N92" s="94">
        <f>L92+M92</f>
        <v>8.2719621817459537</v>
      </c>
      <c r="O92" s="200">
        <v>2.9424640533057906</v>
      </c>
      <c r="P92" s="200">
        <v>5.96</v>
      </c>
      <c r="Q92" s="314">
        <v>2.25</v>
      </c>
      <c r="R92" s="36"/>
      <c r="S92" s="36"/>
      <c r="T92" s="36"/>
      <c r="U92" s="36"/>
      <c r="V92" s="36"/>
      <c r="X92" s="201">
        <v>5.9999999999999995E-4</v>
      </c>
      <c r="Y92" s="200">
        <v>1.0999999999999999E-2</v>
      </c>
      <c r="Z92" s="200">
        <v>0.255</v>
      </c>
      <c r="AA92" s="202">
        <v>118</v>
      </c>
    </row>
    <row r="93" spans="2:27" ht="12.75">
      <c r="B93" s="86" t="s">
        <v>56</v>
      </c>
      <c r="C93" s="67"/>
      <c r="D93" s="106">
        <v>0.16</v>
      </c>
      <c r="E93" s="106">
        <v>0.92</v>
      </c>
      <c r="F93" s="97"/>
      <c r="G93" s="203">
        <v>63.739957916667045</v>
      </c>
      <c r="H93" s="204">
        <v>8557.4573633663476</v>
      </c>
      <c r="I93" s="205">
        <f>G93*D93*8760</f>
        <v>89337.925016000532</v>
      </c>
      <c r="J93" s="206">
        <v>627.54983384669913</v>
      </c>
      <c r="K93" s="110">
        <v>8.5860000000000006E-2</v>
      </c>
      <c r="L93" s="203">
        <v>1.5955454525552297</v>
      </c>
      <c r="M93" s="203">
        <v>0.5</v>
      </c>
      <c r="N93" s="103">
        <f>L93+M93</f>
        <v>2.0955454525552297</v>
      </c>
      <c r="O93" s="207">
        <v>0.39314252692066332</v>
      </c>
      <c r="P93" s="207">
        <v>7.18</v>
      </c>
      <c r="Q93" s="315">
        <v>2.71</v>
      </c>
      <c r="R93" s="218"/>
      <c r="S93" s="218"/>
      <c r="T93" s="218"/>
      <c r="X93" s="208">
        <v>5.9999999999999995E-4</v>
      </c>
      <c r="Y93" s="207">
        <v>1.0999999999999999E-2</v>
      </c>
      <c r="Z93" s="207">
        <v>0.255</v>
      </c>
      <c r="AA93" s="209">
        <v>118</v>
      </c>
    </row>
    <row r="94" spans="2:27" ht="13.5" thickBot="1">
      <c r="B94" s="323" t="s">
        <v>57</v>
      </c>
      <c r="C94" s="51"/>
      <c r="D94" s="106">
        <f>SUMPRODUCT(D92:D93,$G92:$G93)/SUM($G92:$G93)</f>
        <v>0.51524468168012605</v>
      </c>
      <c r="E94" s="97"/>
      <c r="F94" s="97"/>
      <c r="G94" s="97"/>
      <c r="H94" s="108">
        <f>SUMPRODUCT(H92:H93,$I92:$I93)/SUM($I92:$I93)</f>
        <v>7148.796375187334</v>
      </c>
      <c r="I94" s="97"/>
      <c r="J94" s="109">
        <f>SUMPRODUCT(J92:J93,$G92:$G93)/SUM($G92:$G93)</f>
        <v>1174.8198494434653</v>
      </c>
      <c r="K94" s="110"/>
      <c r="L94" s="103">
        <f>SUMPRODUCT(L92:L93,$G92:$G93)/SUM($G92:$G93)</f>
        <v>7.0808934397681389</v>
      </c>
      <c r="M94" s="103">
        <f>SUMPRODUCT(M92:M93,$G92:$G93)/SUM($G92:$G93)</f>
        <v>0.5</v>
      </c>
      <c r="N94" s="103">
        <f>SUMPRODUCT(N92:N93,$G92:$G93)/SUM($G92:$G93)</f>
        <v>7.5808934397681389</v>
      </c>
      <c r="O94" s="103">
        <f>SUMPRODUCT(O92:O93,$I92:$I93)/SUM($I92:$I93)</f>
        <v>2.8538881199911357</v>
      </c>
      <c r="P94" s="103">
        <f>SUMPRODUCT(P92:P93,$I92:$I93)/SUM($I92:$I93)</f>
        <v>6.0023887836530019</v>
      </c>
      <c r="Q94" s="316">
        <f>SUMPRODUCT(Q92:Q93,$I92:$I93)/SUM($I92:$I93)</f>
        <v>2.26598265613146</v>
      </c>
      <c r="R94" s="36"/>
      <c r="S94" s="36"/>
      <c r="T94" s="36"/>
      <c r="U94" s="36"/>
      <c r="V94" s="36"/>
      <c r="X94" s="210">
        <f>SUMPRODUCT(X92:X93,$I92:$I93)/SUM($I92:$I93)</f>
        <v>5.9999999999999995E-4</v>
      </c>
      <c r="Y94" s="211">
        <f>SUMPRODUCT(Y92:Y93,$I92:$I93)/SUM($I92:$I93)</f>
        <v>1.0999999999999999E-2</v>
      </c>
      <c r="Z94" s="211">
        <f>SUMPRODUCT(Z92:Z93,$I92:$I93)/SUM($I92:$I93)</f>
        <v>0.255</v>
      </c>
      <c r="AA94" s="212">
        <f>SUMPRODUCT(AA92:AA93,$I92:$I93)/SUM($I92:$I93)</f>
        <v>118.00000000000001</v>
      </c>
    </row>
    <row r="95" spans="2:27" s="67" customFormat="1" ht="12.75">
      <c r="B95" s="105" t="s">
        <v>58</v>
      </c>
      <c r="C95" s="111"/>
      <c r="D95" s="194">
        <v>0.21</v>
      </c>
      <c r="E95" s="194"/>
      <c r="F95" s="88"/>
      <c r="G95" s="198"/>
      <c r="H95" s="196"/>
      <c r="I95" s="197"/>
      <c r="J95" s="198">
        <v>747</v>
      </c>
      <c r="K95" s="199">
        <v>8.6199999999999999E-2</v>
      </c>
      <c r="L95" s="195">
        <v>3.74</v>
      </c>
      <c r="M95" s="195">
        <v>0.5</v>
      </c>
      <c r="N95" s="94">
        <f>L95+M95</f>
        <v>4.24</v>
      </c>
      <c r="O95" s="200">
        <v>4.47</v>
      </c>
      <c r="P95" s="200">
        <v>9.7799999999999994</v>
      </c>
      <c r="Q95" s="97">
        <v>3.7</v>
      </c>
      <c r="R95" s="218"/>
      <c r="S95" s="218"/>
      <c r="T95" s="218"/>
      <c r="U95"/>
      <c r="V95"/>
      <c r="W95"/>
    </row>
    <row r="96" spans="2:27" ht="12.75">
      <c r="Q96" s="224"/>
      <c r="R96" s="36"/>
      <c r="S96" s="36"/>
      <c r="T96" s="36"/>
      <c r="U96" s="36"/>
      <c r="V96" s="36"/>
      <c r="X96" t="s">
        <v>160</v>
      </c>
      <c r="Y96" t="s">
        <v>160</v>
      </c>
      <c r="Z96" t="s">
        <v>160</v>
      </c>
      <c r="AA96" t="s">
        <v>160</v>
      </c>
    </row>
    <row r="97" spans="1:27" ht="12.75">
      <c r="R97" s="218"/>
      <c r="S97" s="218"/>
      <c r="T97" s="218"/>
      <c r="X97">
        <v>294</v>
      </c>
      <c r="Y97">
        <v>200</v>
      </c>
      <c r="Z97" s="215">
        <f>100000*2000</f>
        <v>200000000</v>
      </c>
      <c r="AA97">
        <v>7</v>
      </c>
    </row>
    <row r="98" spans="1:27" s="36" customFormat="1" ht="12.75">
      <c r="B98" s="37" t="s">
        <v>156</v>
      </c>
      <c r="W98"/>
    </row>
    <row r="99" spans="1:27" s="36" customFormat="1" ht="12.75">
      <c r="B99" s="38"/>
      <c r="C99" s="39" t="s">
        <v>36</v>
      </c>
      <c r="D99" s="40"/>
      <c r="E99" s="40"/>
      <c r="F99" s="40"/>
      <c r="G99" s="41"/>
      <c r="H99" s="41"/>
      <c r="I99" s="41"/>
      <c r="J99" s="42" t="s">
        <v>37</v>
      </c>
      <c r="K99" s="43"/>
      <c r="L99" s="44" t="s">
        <v>38</v>
      </c>
      <c r="M99" s="45"/>
      <c r="N99" s="46"/>
      <c r="O99" s="47" t="s">
        <v>39</v>
      </c>
      <c r="P99" s="48"/>
      <c r="Q99" s="49"/>
    </row>
    <row r="100" spans="1:27" s="36" customFormat="1" ht="12.75">
      <c r="B100" s="50"/>
      <c r="C100" s="51"/>
      <c r="D100" s="51"/>
      <c r="E100" s="51"/>
      <c r="F100" s="51"/>
      <c r="G100" s="51"/>
      <c r="H100" s="52"/>
      <c r="I100" s="51"/>
      <c r="J100" s="53"/>
      <c r="K100" s="54"/>
      <c r="L100" s="55" t="s">
        <v>40</v>
      </c>
      <c r="M100" s="56"/>
      <c r="N100" s="57"/>
      <c r="O100" s="58"/>
      <c r="P100" s="59"/>
      <c r="R100"/>
      <c r="X100" s="178" t="s">
        <v>147</v>
      </c>
      <c r="Y100" s="179"/>
      <c r="Z100" s="179"/>
      <c r="AA100" s="180"/>
    </row>
    <row r="101" spans="1:27" s="36" customFormat="1" ht="48" customHeight="1">
      <c r="B101" s="60" t="s">
        <v>41</v>
      </c>
      <c r="C101" s="61"/>
      <c r="D101" s="61" t="s">
        <v>42</v>
      </c>
      <c r="E101" s="61" t="s">
        <v>43</v>
      </c>
      <c r="F101" s="61" t="s">
        <v>44</v>
      </c>
      <c r="G101" s="61" t="s">
        <v>45</v>
      </c>
      <c r="H101" s="61" t="s">
        <v>46</v>
      </c>
      <c r="I101" s="61" t="s">
        <v>47</v>
      </c>
      <c r="J101" s="62" t="s">
        <v>48</v>
      </c>
      <c r="K101" s="63" t="s">
        <v>49</v>
      </c>
      <c r="L101" s="64" t="s">
        <v>50</v>
      </c>
      <c r="M101" s="64" t="s">
        <v>51</v>
      </c>
      <c r="N101" s="65" t="s">
        <v>52</v>
      </c>
      <c r="O101" s="66" t="s">
        <v>53</v>
      </c>
      <c r="P101" s="63" t="s">
        <v>155</v>
      </c>
      <c r="R101"/>
      <c r="X101" s="61" t="s">
        <v>149</v>
      </c>
      <c r="Y101" s="61" t="s">
        <v>150</v>
      </c>
      <c r="Z101" s="61" t="s">
        <v>151</v>
      </c>
      <c r="AA101" s="186" t="s">
        <v>152</v>
      </c>
    </row>
    <row r="102" spans="1:27" s="67" customFormat="1" ht="12.75">
      <c r="B102" s="68"/>
      <c r="C102" s="69"/>
      <c r="D102" s="70"/>
      <c r="E102" s="70"/>
      <c r="F102" s="71"/>
      <c r="G102" s="72"/>
      <c r="H102" s="73"/>
      <c r="I102" s="74"/>
      <c r="J102" s="75"/>
      <c r="K102" s="76"/>
      <c r="L102" s="75"/>
      <c r="M102" s="75"/>
      <c r="N102" s="77"/>
      <c r="O102" s="75"/>
      <c r="P102" s="78"/>
      <c r="R102"/>
      <c r="S102"/>
      <c r="T102"/>
      <c r="U102"/>
      <c r="V102"/>
      <c r="X102" s="192"/>
      <c r="Y102" s="190"/>
      <c r="Z102" s="190"/>
      <c r="AA102" s="193"/>
    </row>
    <row r="103" spans="1:27" s="67" customFormat="1" ht="12.75">
      <c r="B103" s="79" t="s">
        <v>156</v>
      </c>
      <c r="C103" s="80"/>
      <c r="D103" s="81"/>
      <c r="E103" s="81"/>
      <c r="F103" s="74"/>
      <c r="G103" s="74"/>
      <c r="H103" s="82"/>
      <c r="I103" s="83"/>
      <c r="J103" s="84">
        <v>2002</v>
      </c>
      <c r="K103" s="74"/>
      <c r="L103" s="84">
        <v>2002</v>
      </c>
      <c r="M103" s="84">
        <v>2002</v>
      </c>
      <c r="N103" s="77"/>
      <c r="O103" s="84">
        <v>2002</v>
      </c>
      <c r="P103" s="84">
        <v>2002</v>
      </c>
      <c r="R103" t="s">
        <v>162</v>
      </c>
      <c r="S103" t="s">
        <v>161</v>
      </c>
      <c r="T103" t="s">
        <v>161</v>
      </c>
      <c r="U103" t="s">
        <v>161</v>
      </c>
      <c r="V103" t="s">
        <v>161</v>
      </c>
      <c r="X103" s="201">
        <v>1.47E-3</v>
      </c>
      <c r="Y103" s="200">
        <v>8.8000000000000005E-3</v>
      </c>
      <c r="Z103" s="200">
        <v>0.255</v>
      </c>
      <c r="AA103" s="202">
        <v>118</v>
      </c>
    </row>
    <row r="104" spans="1:27" s="67" customFormat="1" ht="12.75">
      <c r="A104" s="67" t="s">
        <v>54</v>
      </c>
      <c r="B104" s="86" t="s">
        <v>207</v>
      </c>
      <c r="C104" s="86"/>
      <c r="D104" s="87">
        <v>0.86</v>
      </c>
      <c r="E104" s="87"/>
      <c r="F104" s="88"/>
      <c r="G104" s="89">
        <v>490</v>
      </c>
      <c r="H104" s="90">
        <v>7074</v>
      </c>
      <c r="I104" s="91">
        <f>G104*D104*8760</f>
        <v>3691464</v>
      </c>
      <c r="J104" s="89">
        <f>631+66</f>
        <v>697</v>
      </c>
      <c r="K104" s="92">
        <v>8.6099999999999996E-2</v>
      </c>
      <c r="L104" s="93">
        <v>7</v>
      </c>
      <c r="M104" s="93">
        <v>0.2</v>
      </c>
      <c r="N104" s="94">
        <f>L104+M104</f>
        <v>7.2</v>
      </c>
      <c r="O104" s="95">
        <v>1.61</v>
      </c>
      <c r="P104" s="95">
        <f>SUM(S104:V104)</f>
        <v>3.1097027406600004</v>
      </c>
      <c r="R104" s="67" t="s">
        <v>157</v>
      </c>
      <c r="S104" s="217">
        <f>X103*($H104/1000)*(1/2000)*X$107</f>
        <v>1.52862066E-3</v>
      </c>
      <c r="T104" s="217">
        <f>Y103*($H104/1000)*(1/2000)*Y$107</f>
        <v>6.2251199999999998E-3</v>
      </c>
      <c r="U104" s="216">
        <f>Z103*($H104/1000000000)*(1/2000)*Z$107</f>
        <v>0.18038700000000002</v>
      </c>
      <c r="V104" s="217">
        <f>AA103*($H104/1000)*(1/2000)*AA$107</f>
        <v>2.9215620000000002</v>
      </c>
      <c r="X104" s="208">
        <v>1.47E-3</v>
      </c>
      <c r="Y104" s="200">
        <v>8.8000000000000005E-3</v>
      </c>
      <c r="Z104" s="207">
        <v>0.255</v>
      </c>
      <c r="AA104" s="209">
        <v>118</v>
      </c>
    </row>
    <row r="105" spans="1:27" s="67" customFormat="1" ht="12.75">
      <c r="A105" s="67" t="s">
        <v>54</v>
      </c>
      <c r="B105" s="86" t="s">
        <v>209</v>
      </c>
      <c r="C105" s="86"/>
      <c r="D105" s="96">
        <v>0.23</v>
      </c>
      <c r="E105" s="96"/>
      <c r="F105" s="97"/>
      <c r="G105" s="98">
        <v>80</v>
      </c>
      <c r="H105" s="99">
        <v>9219</v>
      </c>
      <c r="I105" s="100">
        <f>G105*D105*8760</f>
        <v>161184.00000000003</v>
      </c>
      <c r="J105" s="98">
        <v>184</v>
      </c>
      <c r="K105" s="101">
        <v>8.6099999999999996E-2</v>
      </c>
      <c r="L105" s="102">
        <v>2.75</v>
      </c>
      <c r="M105" s="102">
        <v>0.2</v>
      </c>
      <c r="N105" s="103">
        <f>L105+M105</f>
        <v>2.95</v>
      </c>
      <c r="O105" s="104">
        <v>0</v>
      </c>
      <c r="P105" s="104">
        <f>SUM(S105:V105)</f>
        <v>4.0526363537099996</v>
      </c>
      <c r="R105" s="67" t="s">
        <v>158</v>
      </c>
      <c r="S105" s="217">
        <f>X104*($H105/1000)*(1/2000)*X$107</f>
        <v>1.9921337099999999E-3</v>
      </c>
      <c r="T105" s="217">
        <f>Y104*($H105/1000)*(1/2000)*Y$107</f>
        <v>8.1127200000000003E-3</v>
      </c>
      <c r="U105" s="216">
        <f>Z104*($H105/1000000000)*(1/2000)*Z$107</f>
        <v>0.23508449999999997</v>
      </c>
      <c r="V105" s="217">
        <f>AA104*($H105/1000)*(1/2000)*AA$107</f>
        <v>3.8074469999999998</v>
      </c>
    </row>
    <row r="106" spans="1:27" s="67" customFormat="1" ht="12.75">
      <c r="B106" s="329" t="s">
        <v>57</v>
      </c>
      <c r="C106" s="86"/>
      <c r="D106" s="330">
        <f>SUMPRODUCT(D104:D105,$G104:$G105)/SUM($G104:$G105)</f>
        <v>0.77157894736842092</v>
      </c>
      <c r="E106" s="171"/>
      <c r="F106" s="171"/>
      <c r="G106" s="331"/>
      <c r="H106" s="332">
        <f>SUMPRODUCT(H104:H105,$I104:$I105)/SUM($I104:$I105)</f>
        <v>7163.7407912687586</v>
      </c>
      <c r="I106" s="171"/>
      <c r="J106" s="333">
        <f>SUMPRODUCT(J104:J105,$G104:$G105)/SUM($G104:$G105)</f>
        <v>625</v>
      </c>
      <c r="K106" s="334"/>
      <c r="L106" s="227">
        <f>SUMPRODUCT(L104:L105,$G104:$G105)/SUM($G104:$G105)</f>
        <v>6.4035087719298245</v>
      </c>
      <c r="M106" s="227">
        <f>SUMPRODUCT(M104:M105,$G104:$G105)/SUM($G104:$G105)</f>
        <v>0.2</v>
      </c>
      <c r="N106" s="227">
        <f>SUMPRODUCT(N104:N105,$G104:$G105)/SUM($G104:$G105)</f>
        <v>6.6035087719298247</v>
      </c>
      <c r="O106" s="227">
        <f>SUMPRODUCT(O104:O105,$I104:$I105)/SUM($I104:$I105)</f>
        <v>1.5426421100500227</v>
      </c>
      <c r="P106" s="227">
        <f>SUMPRODUCT(P104:P105,$I104:$I105)/SUM($I104:$I105)</f>
        <v>3.1491524416152528</v>
      </c>
      <c r="R106"/>
      <c r="S106"/>
      <c r="T106"/>
      <c r="U106"/>
      <c r="V106"/>
      <c r="X106" t="s">
        <v>160</v>
      </c>
      <c r="Y106" t="s">
        <v>160</v>
      </c>
      <c r="Z106" t="s">
        <v>160</v>
      </c>
      <c r="AA106" t="s">
        <v>160</v>
      </c>
    </row>
    <row r="107" spans="1:27" s="67" customFormat="1" ht="12.75">
      <c r="B107" s="80" t="s">
        <v>159</v>
      </c>
      <c r="C107" s="335"/>
      <c r="D107" s="96">
        <v>0.23</v>
      </c>
      <c r="E107" s="96"/>
      <c r="F107" s="97"/>
      <c r="G107" s="98">
        <v>115</v>
      </c>
      <c r="H107" s="336">
        <v>12176</v>
      </c>
      <c r="I107" s="100"/>
      <c r="J107" s="98">
        <v>482</v>
      </c>
      <c r="K107" s="101">
        <v>9.5899999999999999E-2</v>
      </c>
      <c r="L107" s="102">
        <v>10.050000000000001</v>
      </c>
      <c r="M107" s="102"/>
      <c r="N107" s="103">
        <f>L107+M107</f>
        <v>10.050000000000001</v>
      </c>
      <c r="O107" s="104">
        <v>2.86</v>
      </c>
      <c r="P107" s="104"/>
      <c r="R107"/>
      <c r="S107"/>
      <c r="T107"/>
      <c r="U107"/>
      <c r="V107"/>
      <c r="X107">
        <v>294</v>
      </c>
      <c r="Y107">
        <v>200</v>
      </c>
      <c r="Z107" s="215">
        <f>100000*2000</f>
        <v>200000000</v>
      </c>
      <c r="AA107">
        <v>7</v>
      </c>
    </row>
    <row r="108" spans="1:27" ht="12.75">
      <c r="B108" s="67" t="s">
        <v>208</v>
      </c>
      <c r="G108" s="112"/>
    </row>
    <row r="110" spans="1:27" ht="12.75">
      <c r="X110" s="36"/>
      <c r="Y110" s="36"/>
      <c r="Z110" s="36"/>
      <c r="AA110" s="36"/>
    </row>
    <row r="111" spans="1:27" ht="12.75">
      <c r="X111" s="36"/>
      <c r="Y111" s="36"/>
      <c r="Z111" s="36"/>
      <c r="AA111" s="36"/>
    </row>
    <row r="112" spans="1:27" ht="12.75">
      <c r="A112" s="36"/>
      <c r="B112" s="37" t="s">
        <v>163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</row>
    <row r="113" spans="1:27" ht="12.75">
      <c r="A113" s="36"/>
      <c r="B113" s="38"/>
      <c r="C113" s="39" t="s">
        <v>36</v>
      </c>
      <c r="D113" s="40"/>
      <c r="E113" s="40"/>
      <c r="F113" s="40"/>
      <c r="G113" s="41"/>
      <c r="H113" s="41"/>
      <c r="I113" s="41"/>
      <c r="J113" s="42" t="s">
        <v>37</v>
      </c>
      <c r="K113" s="43"/>
      <c r="L113" s="44" t="s">
        <v>38</v>
      </c>
      <c r="M113" s="45"/>
      <c r="N113" s="46"/>
      <c r="O113" s="47" t="s">
        <v>39</v>
      </c>
      <c r="P113" s="48"/>
      <c r="Q113" s="49"/>
      <c r="R113" s="36"/>
      <c r="S113" s="36"/>
      <c r="T113" s="36"/>
      <c r="U113" s="36"/>
      <c r="V113" s="36"/>
      <c r="W113" s="36"/>
    </row>
    <row r="114" spans="1:27" ht="12.75">
      <c r="A114" s="36"/>
      <c r="B114" s="50"/>
      <c r="C114" s="51"/>
      <c r="D114" s="51"/>
      <c r="E114" s="51"/>
      <c r="F114" s="51"/>
      <c r="G114" s="51"/>
      <c r="H114" s="52"/>
      <c r="I114" s="51"/>
      <c r="J114" s="53"/>
      <c r="K114" s="54"/>
      <c r="L114" s="55" t="s">
        <v>40</v>
      </c>
      <c r="M114" s="56"/>
      <c r="N114" s="57"/>
      <c r="O114" s="58"/>
      <c r="P114" s="59"/>
      <c r="Q114" s="36"/>
      <c r="S114" s="36"/>
      <c r="T114" s="36"/>
      <c r="U114" s="36"/>
      <c r="V114" s="36"/>
      <c r="W114" s="36"/>
      <c r="X114" s="218"/>
      <c r="Y114" s="218"/>
      <c r="Z114" s="218"/>
      <c r="AA114" s="218"/>
    </row>
    <row r="115" spans="1:27" ht="38.25">
      <c r="A115" s="36"/>
      <c r="B115" s="327" t="s">
        <v>41</v>
      </c>
      <c r="C115" s="63"/>
      <c r="D115" s="63" t="s">
        <v>42</v>
      </c>
      <c r="E115" s="63" t="s">
        <v>43</v>
      </c>
      <c r="F115" s="63" t="s">
        <v>44</v>
      </c>
      <c r="G115" s="63" t="s">
        <v>45</v>
      </c>
      <c r="H115" s="63" t="s">
        <v>46</v>
      </c>
      <c r="I115" s="63" t="s">
        <v>47</v>
      </c>
      <c r="J115" s="62" t="s">
        <v>48</v>
      </c>
      <c r="K115" s="63" t="s">
        <v>49</v>
      </c>
      <c r="L115" s="64" t="s">
        <v>50</v>
      </c>
      <c r="M115" s="64" t="s">
        <v>51</v>
      </c>
      <c r="N115" s="65" t="s">
        <v>52</v>
      </c>
      <c r="O115" s="66" t="s">
        <v>53</v>
      </c>
      <c r="P115" s="63" t="s">
        <v>155</v>
      </c>
      <c r="Q115" s="36"/>
      <c r="S115" s="36"/>
      <c r="T115" s="36"/>
      <c r="U115" s="36"/>
      <c r="V115" s="36"/>
      <c r="W115" s="36"/>
      <c r="X115" s="219"/>
      <c r="Y115" s="219"/>
      <c r="Z115" s="219"/>
      <c r="AA115" s="219"/>
    </row>
    <row r="116" spans="1:27" ht="12.75">
      <c r="A116" s="67"/>
      <c r="B116" s="68"/>
      <c r="C116" s="69"/>
      <c r="D116" s="70"/>
      <c r="E116" s="70"/>
      <c r="F116" s="71"/>
      <c r="G116" s="72"/>
      <c r="H116" s="73"/>
      <c r="I116" s="74"/>
      <c r="J116" s="75"/>
      <c r="K116" s="76"/>
      <c r="L116" s="75"/>
      <c r="M116" s="75"/>
      <c r="N116" s="77"/>
      <c r="O116" s="75"/>
      <c r="P116" s="78"/>
      <c r="Q116" s="67"/>
      <c r="W116" s="67"/>
      <c r="X116" s="220"/>
      <c r="Y116" s="221"/>
      <c r="Z116" s="221"/>
      <c r="AA116" s="221"/>
    </row>
    <row r="117" spans="1:27" ht="12.75">
      <c r="A117" s="67"/>
      <c r="B117" s="79" t="s">
        <v>163</v>
      </c>
      <c r="C117" s="80"/>
      <c r="D117" s="81"/>
      <c r="E117" s="81"/>
      <c r="F117" s="74"/>
      <c r="G117" s="74"/>
      <c r="H117" s="82"/>
      <c r="I117" s="83"/>
      <c r="J117" s="84">
        <v>2004</v>
      </c>
      <c r="K117" s="74"/>
      <c r="L117" s="84">
        <v>2004</v>
      </c>
      <c r="M117" s="84">
        <v>2004</v>
      </c>
      <c r="N117" s="77"/>
      <c r="O117" s="84">
        <v>2004</v>
      </c>
      <c r="P117" s="84">
        <v>2004</v>
      </c>
      <c r="Q117" s="67"/>
      <c r="W117" s="67"/>
      <c r="X117" s="222"/>
      <c r="Y117" s="223"/>
      <c r="Z117" s="224"/>
      <c r="AA117" s="224"/>
    </row>
    <row r="118" spans="1:27" ht="12.75">
      <c r="A118" s="67" t="s">
        <v>211</v>
      </c>
      <c r="B118" s="86" t="s">
        <v>207</v>
      </c>
      <c r="C118" s="86"/>
      <c r="D118" s="87">
        <v>0.56000000000000005</v>
      </c>
      <c r="E118" s="87"/>
      <c r="F118" s="88"/>
      <c r="G118" s="89">
        <v>420</v>
      </c>
      <c r="H118" s="90">
        <v>7462</v>
      </c>
      <c r="I118" s="91">
        <f>G118*D118*8760</f>
        <v>2060352.0000000002</v>
      </c>
      <c r="J118" s="89">
        <v>789</v>
      </c>
      <c r="K118" s="92">
        <v>7.9299999999999995E-2</v>
      </c>
      <c r="L118" s="93">
        <v>10.63</v>
      </c>
      <c r="M118" s="93">
        <v>1.35</v>
      </c>
      <c r="N118" s="94">
        <f>L118+M118</f>
        <v>11.98</v>
      </c>
      <c r="O118" s="95">
        <v>3.27</v>
      </c>
      <c r="P118" s="95">
        <v>2.3199999999999998</v>
      </c>
      <c r="Q118" s="67"/>
      <c r="R118" s="67"/>
      <c r="S118" s="217"/>
      <c r="T118" s="217"/>
      <c r="U118" s="216"/>
      <c r="V118" s="217"/>
      <c r="W118" s="67"/>
      <c r="X118" s="222"/>
      <c r="Y118" s="223"/>
      <c r="Z118" s="224"/>
      <c r="AA118" s="224"/>
    </row>
    <row r="119" spans="1:27" ht="12.75">
      <c r="A119" s="67"/>
      <c r="B119" s="86" t="s">
        <v>209</v>
      </c>
      <c r="C119" s="86"/>
      <c r="D119" s="96">
        <v>0.16</v>
      </c>
      <c r="E119" s="96"/>
      <c r="F119" s="97"/>
      <c r="G119" s="98">
        <v>105</v>
      </c>
      <c r="H119" s="99">
        <v>9512</v>
      </c>
      <c r="I119" s="100">
        <f>G119*D119*8760</f>
        <v>147168</v>
      </c>
      <c r="J119" s="98">
        <v>207</v>
      </c>
      <c r="K119" s="92">
        <v>7.9299999999999995E-2</v>
      </c>
      <c r="L119" s="102">
        <v>2.93</v>
      </c>
      <c r="M119" s="102">
        <v>1.35</v>
      </c>
      <c r="N119" s="103">
        <f>L119+M119</f>
        <v>4.28</v>
      </c>
      <c r="O119" s="104">
        <v>0.1</v>
      </c>
      <c r="P119" s="104">
        <v>2.96</v>
      </c>
      <c r="Q119" s="67"/>
      <c r="R119" s="67"/>
      <c r="S119" s="217"/>
      <c r="T119" s="217"/>
      <c r="U119" s="216"/>
      <c r="V119" s="217"/>
      <c r="W119" s="67"/>
      <c r="X119" s="67"/>
      <c r="Y119" s="67"/>
      <c r="Z119" s="67"/>
      <c r="AA119" s="67"/>
    </row>
    <row r="120" spans="1:27" ht="12.75">
      <c r="A120" s="67"/>
      <c r="B120" s="328" t="s">
        <v>57</v>
      </c>
      <c r="C120" s="105"/>
      <c r="D120" s="106">
        <f>SUMPRODUCT(D118:D119,$G118:$G119)/SUM($G118:$G119)</f>
        <v>0.48000000000000004</v>
      </c>
      <c r="E120" s="97"/>
      <c r="F120" s="97"/>
      <c r="G120" s="107"/>
      <c r="H120" s="108">
        <f>SUMPRODUCT(H118:H119,$I118:$I119)/SUM($I118:$I119)</f>
        <v>7598.6666666666679</v>
      </c>
      <c r="I120" s="97"/>
      <c r="J120" s="109">
        <f>SUMPRODUCT(J118:J119,$G118:$G119)/SUM($G118:$G119)</f>
        <v>672.6</v>
      </c>
      <c r="K120" s="110"/>
      <c r="L120" s="103">
        <f>SUMPRODUCT(L118:L119,$G118:$G119)/SUM($G118:$G119)</f>
        <v>9.09</v>
      </c>
      <c r="M120" s="103">
        <f>SUMPRODUCT(M118:M119,$G118:$G119)/SUM($G118:$G119)</f>
        <v>1.35</v>
      </c>
      <c r="N120" s="103">
        <f>SUMPRODUCT(N118:N119,$G118:$G119)/SUM($G118:$G119)</f>
        <v>10.44</v>
      </c>
      <c r="O120" s="103">
        <f>SUMPRODUCT(O118:O119,$I118:$I119)/SUM($I118:$I119)</f>
        <v>3.0586666666666669</v>
      </c>
      <c r="P120" s="103">
        <f>SUMPRODUCT(P118:P119,$I118:$I119)/SUM($I118:$I119)</f>
        <v>2.3626666666666671</v>
      </c>
      <c r="Q120" s="67"/>
      <c r="W120" s="67"/>
    </row>
    <row r="121" spans="1:27" ht="12.75">
      <c r="A121" s="67"/>
      <c r="B121" s="105" t="s">
        <v>159</v>
      </c>
      <c r="C121" s="111"/>
      <c r="D121" s="87">
        <v>0.16</v>
      </c>
      <c r="E121" s="87"/>
      <c r="F121" s="88"/>
      <c r="G121" s="89">
        <v>281</v>
      </c>
      <c r="H121" s="90">
        <v>11052</v>
      </c>
      <c r="I121" s="91"/>
      <c r="J121" s="89">
        <v>408</v>
      </c>
      <c r="K121" s="92">
        <v>7.6700000000000004E-2</v>
      </c>
      <c r="L121" s="93">
        <v>10.97</v>
      </c>
      <c r="M121" s="93"/>
      <c r="N121" s="94">
        <f>L121+M121</f>
        <v>10.97</v>
      </c>
      <c r="O121" s="95">
        <v>5.35</v>
      </c>
      <c r="P121" s="95"/>
      <c r="Q121" s="67"/>
      <c r="W121" s="67"/>
      <c r="Z121" s="225"/>
    </row>
    <row r="122" spans="1:27" ht="15" customHeight="1">
      <c r="B122" s="67" t="s">
        <v>210</v>
      </c>
      <c r="G122" s="112"/>
    </row>
  </sheetData>
  <mergeCells count="2">
    <mergeCell ref="Q11:Q15"/>
    <mergeCell ref="Q23:Q28"/>
  </mergeCells>
  <pageMargins left="0.25" right="0.25" top="0.25" bottom="0.75" header="0.3" footer="0.3"/>
  <pageSetup scale="56" orientation="landscape" r:id="rId1"/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4B404-84B7-4CF7-9AAE-40D80B3C39F3}">
  <sheetPr codeName="Sheet17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311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312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20</v>
      </c>
      <c r="H11" s="252"/>
      <c r="AB11" s="122" t="s">
        <v>99</v>
      </c>
      <c r="AC11" s="123"/>
      <c r="AD11" s="123"/>
      <c r="AE11" s="123"/>
      <c r="AF11" s="281">
        <f>+G11*(G12/AJ16)</f>
        <v>7.6251487361344221</v>
      </c>
      <c r="AG11" s="127"/>
      <c r="AH11" s="123" t="s">
        <v>100</v>
      </c>
      <c r="AI11" s="124"/>
      <c r="AJ11" s="166">
        <f>'(2.1)_Proxy Resources'!N40</f>
        <v>19.215270973980179</v>
      </c>
      <c r="AK11" s="235"/>
      <c r="AZ11" s="122" t="s">
        <v>99</v>
      </c>
      <c r="BA11" s="123"/>
      <c r="BB11" s="123"/>
      <c r="BC11" s="123"/>
      <c r="BD11" s="134">
        <f>(AF11*AF13-G11*G19)</f>
        <v>-4.3148512638655774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0.26600000000000001</v>
      </c>
      <c r="H12" s="252"/>
      <c r="AB12" s="122" t="s">
        <v>32</v>
      </c>
      <c r="AC12" s="123"/>
      <c r="AD12" s="123"/>
      <c r="AE12" s="123"/>
      <c r="AF12" s="131">
        <f>+AD58/8760/AF11</f>
        <v>0.66350431319357084</v>
      </c>
      <c r="AG12" s="127"/>
      <c r="AH12" s="117" t="s">
        <v>101</v>
      </c>
      <c r="AI12" s="118"/>
      <c r="AJ12" s="117">
        <v>2018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2019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Resources'!O40</f>
        <v>2.2102879231948753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20</v>
      </c>
      <c r="H14" s="252"/>
      <c r="AB14" s="122" t="s">
        <v>104</v>
      </c>
      <c r="AC14" s="123"/>
      <c r="AD14" s="123"/>
      <c r="AE14" s="123"/>
      <c r="AF14" s="134">
        <f>'(2.1)_Proxy Resources'!H40</f>
        <v>6500.8988201101647</v>
      </c>
      <c r="AG14" s="127"/>
      <c r="AH14" s="117" t="s">
        <v>148</v>
      </c>
      <c r="AI14" s="118"/>
      <c r="AJ14" s="166">
        <v>0</v>
      </c>
      <c r="AK14" s="235"/>
      <c r="AZ14" s="122" t="s">
        <v>192</v>
      </c>
      <c r="BA14" s="123"/>
      <c r="BB14" s="123"/>
      <c r="BC14" s="123"/>
      <c r="BD14" s="167">
        <f>'(2.1)_Proxy Resources'!J41</f>
        <v>843</v>
      </c>
      <c r="BE14" s="132"/>
    </row>
    <row r="15" spans="1:57" ht="12">
      <c r="A15" t="s">
        <v>283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244</v>
      </c>
      <c r="AC15" s="123"/>
      <c r="AD15" s="123"/>
      <c r="AE15" s="123"/>
      <c r="AF15" s="167">
        <f>'(2.1)_Proxy Resources'!J40</f>
        <v>1350.7921550317262</v>
      </c>
      <c r="AG15" s="127"/>
      <c r="AH15" s="117" t="s">
        <v>145</v>
      </c>
      <c r="AI15" s="118"/>
      <c r="AJ15" s="166">
        <f>'(2.1)_Proxy Resources'!P40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Resources'!K41</f>
        <v>6.9599999999999995E-2</v>
      </c>
      <c r="BE15" s="132"/>
    </row>
    <row r="16" spans="1:57" ht="12">
      <c r="A16" t="s">
        <v>283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Resources'!K39</f>
        <v>6.7898535686010855E-2</v>
      </c>
      <c r="AG16" s="127"/>
      <c r="AH16" s="117" t="s">
        <v>110</v>
      </c>
      <c r="AI16" s="124"/>
      <c r="AJ16" s="137">
        <f>'(2.1)_Proxy Resources'!D40</f>
        <v>0.6976913086021953</v>
      </c>
      <c r="AK16" s="235"/>
      <c r="AZ16" s="122" t="s">
        <v>100</v>
      </c>
      <c r="BA16" s="124"/>
      <c r="BB16" s="166">
        <f>'(2.1)_Proxy Resources'!O41</f>
        <v>6.61</v>
      </c>
      <c r="BE16" s="130"/>
    </row>
    <row r="17" spans="1:60" ht="12">
      <c r="A17" t="s">
        <v>283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2018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'(2.2)_Forward_Price_Curve'!AA9</f>
        <v>6.9099999999999995E-2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'(2.2)_Forward_Price_Curve'!L107</f>
        <v>0.59699999999999998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2019</v>
      </c>
      <c r="E28" s="169">
        <f>'(2.2)_Forward_Price_Curve'!T33</f>
        <v>1.9E-2</v>
      </c>
      <c r="G28" s="18">
        <v>7680</v>
      </c>
      <c r="I28" s="268">
        <f>$G$15*(1+E28)</f>
        <v>0</v>
      </c>
      <c r="J28" s="268"/>
      <c r="K28" s="268">
        <v>44.644851417567764</v>
      </c>
      <c r="L28" s="269"/>
      <c r="M28" s="268">
        <f>$G$17</f>
        <v>0</v>
      </c>
      <c r="O28" s="270">
        <f>'(2.2)_Forward_Price_Curve'!AD33</f>
        <v>0.85</v>
      </c>
      <c r="Q28" s="28"/>
      <c r="S28" s="18">
        <f>(I28*$G$11*1000+(K28+M28+O28+Q28)*G28)/1000</f>
        <v>349.40045888692043</v>
      </c>
      <c r="U28" s="18">
        <f t="shared" ref="U28:U47" si="0">AX28</f>
        <v>1282.7044337034572</v>
      </c>
      <c r="W28" s="18">
        <f t="shared" ref="W28:W47" si="1">S28-U28</f>
        <v>-933.30397481653677</v>
      </c>
      <c r="Y28" s="271">
        <f>+W28*1000/G28</f>
        <v>-121.52395505423655</v>
      </c>
      <c r="Z28" s="235"/>
      <c r="AB28" s="146">
        <f>$C$28</f>
        <v>2019</v>
      </c>
      <c r="AC28" s="117"/>
      <c r="AD28" s="151">
        <f t="shared" ref="AD28:AD47" si="2">G28</f>
        <v>7680</v>
      </c>
      <c r="AF28" s="152">
        <f>$AF$15*$AF$16*(1+E28)</f>
        <v>93.459428720318471</v>
      </c>
      <c r="AG28" s="272"/>
      <c r="AH28" s="152">
        <f>$AJ$11*(1+E28)</f>
        <v>19.580361122485801</v>
      </c>
      <c r="AI28" s="272"/>
      <c r="AJ28" s="152">
        <f>$AJ$13*(1+E28)</f>
        <v>2.2522833937355777</v>
      </c>
      <c r="AK28" s="272"/>
      <c r="AL28" s="153">
        <f>((AF28+AH28)*$AF$11*1000+AJ28*AD28)/1000</f>
        <v>879.24274711664884</v>
      </c>
      <c r="AN28" s="154">
        <f>INDEX('(2.2)_Forward_Price_Curve'!$L:$L,MATCH($AB28,'(2.2)_Forward_Price_Curve'!$C:$C,0),1)</f>
        <v>1.9742583333333332</v>
      </c>
      <c r="AO28" s="279"/>
      <c r="AP28" s="154">
        <f>AN28*$AF$14/1000+$AJ$14/(1+E29)</f>
        <v>12.834453669759327</v>
      </c>
      <c r="AQ28" s="272"/>
      <c r="AR28" s="152">
        <f>$AJ$15*(1+E28)</f>
        <v>2.3249328704020966</v>
      </c>
      <c r="AS28" s="152"/>
      <c r="AT28" s="153">
        <f t="shared" ref="AT28:AT47" si="3">AL28-BF28</f>
        <v>1166.2803450750175</v>
      </c>
      <c r="AU28" s="272"/>
      <c r="AV28" s="153">
        <f t="shared" ref="AV28:AV47" si="4">(AP28+AR28)*AD28/1000</f>
        <v>116.42408862843975</v>
      </c>
      <c r="AW28" s="273"/>
      <c r="AX28" s="155">
        <f>AT28+AV28</f>
        <v>1282.7044337034572</v>
      </c>
      <c r="AZ28" s="146">
        <f>$C$28</f>
        <v>2019</v>
      </c>
      <c r="BA28" s="117"/>
      <c r="BB28" s="152">
        <f>$BD$14*$BD$15*(1+E28)</f>
        <v>59.787583199999986</v>
      </c>
      <c r="BD28" s="152">
        <f>$BB$16*(1+E28)</f>
        <v>6.7355899999999993</v>
      </c>
      <c r="BE28" s="272"/>
      <c r="BF28" s="153">
        <f>(BB28+BD28)*$BD$11</f>
        <v>-287.03759795836868</v>
      </c>
      <c r="BG28" s="272"/>
      <c r="BH28" s="156"/>
    </row>
    <row r="29" spans="1:60" ht="12">
      <c r="B29" s="2"/>
      <c r="C29">
        <f>+IF(C28&gt;$G$13+$G$14,XX,C28+1)</f>
        <v>2020</v>
      </c>
      <c r="E29" s="169">
        <f>'(2.2)_Forward_Price_Curve'!T34</f>
        <v>2.5000000000000001E-2</v>
      </c>
      <c r="G29" s="18">
        <v>49590</v>
      </c>
      <c r="I29" s="28">
        <f>I28*(1+$E29)</f>
        <v>0</v>
      </c>
      <c r="K29" s="28">
        <f>K28</f>
        <v>44.644851417567764</v>
      </c>
      <c r="M29" s="28">
        <f>M28*(1+$E29)</f>
        <v>0</v>
      </c>
      <c r="O29" s="270">
        <f>'(2.2)_Forward_Price_Curve'!AD34</f>
        <v>0.87222518878125355</v>
      </c>
      <c r="Q29" s="28"/>
      <c r="S29" s="18">
        <f t="shared" ref="S29:S47" si="5">(I29*$G$11*1000+(K29+M29+O29+Q29)*G29)/1000</f>
        <v>2257.1918289088476</v>
      </c>
      <c r="U29" s="18">
        <f t="shared" si="0"/>
        <v>2018.0489448742817</v>
      </c>
      <c r="W29" s="18">
        <f t="shared" si="1"/>
        <v>239.1428840345659</v>
      </c>
      <c r="Y29" s="271">
        <f t="shared" ref="Y29:Y47" si="6">+W29*1000/G29</f>
        <v>4.8224013719412362</v>
      </c>
      <c r="Z29" s="235"/>
      <c r="AB29" s="146">
        <f>+IF(AB28&gt;$G$13+$G$14,XX,AB28+1)</f>
        <v>2020</v>
      </c>
      <c r="AC29" s="117"/>
      <c r="AD29" s="151">
        <f t="shared" si="2"/>
        <v>49590</v>
      </c>
      <c r="AF29" s="154">
        <f>AF28*(1+$E29)</f>
        <v>95.79591443832642</v>
      </c>
      <c r="AH29" s="154">
        <f>AH28*(1+$E29)</f>
        <v>20.069870150547946</v>
      </c>
      <c r="AJ29" s="154">
        <f>AJ28*(1+$E29)</f>
        <v>2.3085904785789668</v>
      </c>
      <c r="AL29" s="153">
        <f>((AF29+AH29)*$AF$11*1000+AJ29*AD29)/1000</f>
        <v>997.9768427518095</v>
      </c>
      <c r="AN29" s="154">
        <f>INDEX('(2.2)_Forward_Price_Curve'!$L:$L,MATCH($AB29,'(2.2)_Forward_Price_Curve'!$C:$C,0),1)</f>
        <v>1.8849916666666668</v>
      </c>
      <c r="AP29" s="154">
        <f>AN29*$AF$14/1000+$AJ$14</f>
        <v>12.254140101750828</v>
      </c>
      <c r="AR29" s="154">
        <f>AR28*(1+$E29)</f>
        <v>2.3830561921621487</v>
      </c>
      <c r="AS29" s="154"/>
      <c r="AT29" s="153">
        <f t="shared" si="3"/>
        <v>1292.1903806591372</v>
      </c>
      <c r="AV29" s="153">
        <f t="shared" si="4"/>
        <v>725.8585642151445</v>
      </c>
      <c r="AW29" s="273"/>
      <c r="AX29" s="155">
        <f t="shared" ref="AX29:AX47" si="7">AT29+AV29</f>
        <v>2018.0489448742817</v>
      </c>
      <c r="AZ29" s="146">
        <f>+IF(AZ28&gt;$G$13+$G$14,XX,AZ28+1)</f>
        <v>2020</v>
      </c>
      <c r="BA29" s="117"/>
      <c r="BB29" s="154">
        <f>BB28*(1+$E29)</f>
        <v>61.282272779999978</v>
      </c>
      <c r="BD29" s="154">
        <f>BD28*(1+$E29)</f>
        <v>6.9039797499999986</v>
      </c>
      <c r="BF29" s="153">
        <f t="shared" ref="BF29:BF47" si="8">(BB29+BD29)*$BD$11</f>
        <v>-294.2135379073278</v>
      </c>
      <c r="BH29" s="157"/>
    </row>
    <row r="30" spans="1:60" ht="12">
      <c r="B30" s="2"/>
      <c r="C30">
        <f>+IF(C29&gt;$G$13+$G$14,XX,C29+1)</f>
        <v>2021</v>
      </c>
      <c r="E30" s="169">
        <f>'(2.2)_Forward_Price_Curve'!T35</f>
        <v>2.4E-2</v>
      </c>
      <c r="G30" s="18">
        <v>49280</v>
      </c>
      <c r="I30" s="28">
        <f t="shared" ref="I30:I47" si="9">I29*(1+$E30)</f>
        <v>0</v>
      </c>
      <c r="K30" s="28">
        <f t="shared" ref="K30:K47" si="10">K29</f>
        <v>44.644851417567764</v>
      </c>
      <c r="M30" s="28">
        <f t="shared" ref="M30:M46" si="11">M29*(1+$E30)</f>
        <v>0</v>
      </c>
      <c r="O30" s="270">
        <f>'(2.2)_Forward_Price_Curve'!AD35</f>
        <v>0.89441110644161892</v>
      </c>
      <c r="Q30" s="28"/>
      <c r="S30" s="18">
        <f t="shared" si="5"/>
        <v>2244.1748571831822</v>
      </c>
      <c r="U30" s="18">
        <f t="shared" si="0"/>
        <v>2067.6522271184399</v>
      </c>
      <c r="W30" s="18">
        <f t="shared" si="1"/>
        <v>176.52263006474232</v>
      </c>
      <c r="Y30" s="271">
        <f t="shared" si="6"/>
        <v>3.5820338893007775</v>
      </c>
      <c r="Z30" s="235"/>
      <c r="AB30" s="146">
        <f>+IF(AB29&gt;$G$13+$G$14,XX,AB29+1)</f>
        <v>2021</v>
      </c>
      <c r="AC30" s="117"/>
      <c r="AD30" s="151">
        <f t="shared" si="2"/>
        <v>49280</v>
      </c>
      <c r="AF30" s="154">
        <f t="shared" ref="AF30:AF47" si="12">AF29*(1+$E30)</f>
        <v>98.095016384846261</v>
      </c>
      <c r="AH30" s="154">
        <f t="shared" ref="AH30:AH47" si="13">AH29*(1+$E30)</f>
        <v>20.551547034161096</v>
      </c>
      <c r="AJ30" s="154">
        <f t="shared" ref="AJ30:AJ47" si="14">AJ29*(1+$E30)</f>
        <v>2.3639966500648621</v>
      </c>
      <c r="AL30" s="153">
        <f t="shared" ref="AL30:AL47" si="15">((AF30+AH30)*$AF$11*1000+AJ30*AD30)/1000</f>
        <v>1021.1954480163329</v>
      </c>
      <c r="AN30" s="154">
        <f>INDEX('(2.2)_Forward_Price_Curve'!$L:$L,MATCH($AB30,'(2.2)_Forward_Price_Curve'!$C:$C,0),1)</f>
        <v>1.9506749999999997</v>
      </c>
      <c r="AP30" s="154">
        <f>AN30*$AF$14/1000+$AJ$14*(1+E30)</f>
        <v>12.681140805918394</v>
      </c>
      <c r="AR30" s="154">
        <f t="shared" ref="AR30:AR47" si="16">AR29*(1+$E30)</f>
        <v>2.4402495407740403</v>
      </c>
      <c r="AS30" s="154"/>
      <c r="AT30" s="153">
        <f t="shared" si="3"/>
        <v>1322.4701108334366</v>
      </c>
      <c r="AV30" s="153">
        <f t="shared" si="4"/>
        <v>745.18211628500319</v>
      </c>
      <c r="AW30" s="273"/>
      <c r="AX30" s="155">
        <f t="shared" si="7"/>
        <v>2067.6522271184399</v>
      </c>
      <c r="AZ30" s="146">
        <f>+IF(AZ29&gt;$G$13+$G$14,XX,AZ29+1)</f>
        <v>2021</v>
      </c>
      <c r="BA30" s="117"/>
      <c r="BB30" s="154">
        <f t="shared" ref="BB30:BB47" si="17">BB29*(1+$E30)</f>
        <v>62.75304732671998</v>
      </c>
      <c r="BD30" s="154">
        <f t="shared" ref="BD30:BD47" si="18">BD29*(1+$E30)</f>
        <v>7.0696752639999989</v>
      </c>
      <c r="BF30" s="153">
        <f t="shared" si="8"/>
        <v>-301.27466281710372</v>
      </c>
      <c r="BH30" s="157"/>
    </row>
    <row r="31" spans="1:60" ht="12">
      <c r="B31" s="2"/>
      <c r="C31">
        <f>+IF(C30&gt;$G$13+$G$14,XX,C30+1)</f>
        <v>2022</v>
      </c>
      <c r="E31" s="169">
        <f>'(2.2)_Forward_Price_Curve'!T36</f>
        <v>2.4E-2</v>
      </c>
      <c r="G31" s="18">
        <v>49030</v>
      </c>
      <c r="I31" s="28">
        <f t="shared" si="9"/>
        <v>0</v>
      </c>
      <c r="K31" s="28">
        <f t="shared" si="10"/>
        <v>44.644851417567764</v>
      </c>
      <c r="M31" s="28">
        <f t="shared" si="11"/>
        <v>0</v>
      </c>
      <c r="O31" s="270">
        <f>'(2.2)_Forward_Price_Curve'!AD36</f>
        <v>0.91699200095245803</v>
      </c>
      <c r="Q31" s="28"/>
      <c r="S31" s="18">
        <f t="shared" si="5"/>
        <v>2233.8971828100462</v>
      </c>
      <c r="U31" s="18">
        <f t="shared" si="0"/>
        <v>2251.0701065197368</v>
      </c>
      <c r="W31" s="18">
        <f t="shared" si="1"/>
        <v>-17.172923709690622</v>
      </c>
      <c r="Y31" s="271">
        <f t="shared" si="6"/>
        <v>-0.35025338995901739</v>
      </c>
      <c r="Z31" s="235"/>
      <c r="AB31" s="146">
        <f>+IF(AB30&gt;$G$13+$G$14,XX,AB30+1)</f>
        <v>2022</v>
      </c>
      <c r="AC31" s="117"/>
      <c r="AD31" s="151">
        <f t="shared" si="2"/>
        <v>49030</v>
      </c>
      <c r="AF31" s="154">
        <f t="shared" si="12"/>
        <v>100.44929677808257</v>
      </c>
      <c r="AH31" s="154">
        <f t="shared" si="13"/>
        <v>21.044784162980964</v>
      </c>
      <c r="AJ31" s="154">
        <f t="shared" si="14"/>
        <v>2.420732569666419</v>
      </c>
      <c r="AL31" s="153">
        <f t="shared" si="15"/>
        <v>1045.0989556263082</v>
      </c>
      <c r="AN31" s="154">
        <f>INDEX('(2.2)_Forward_Price_Curve'!$L:$L,MATCH($AB31,'(2.2)_Forward_Price_Curve'!$C:$C,0),1)</f>
        <v>2.431295833333333</v>
      </c>
      <c r="AP31" s="154">
        <f>AN31*$AF$14/1000+$AJ$14*(1+E31)</f>
        <v>15.805608214255424</v>
      </c>
      <c r="AR31" s="154">
        <f t="shared" si="16"/>
        <v>2.4988155297526173</v>
      </c>
      <c r="AS31" s="154"/>
      <c r="AT31" s="153">
        <f t="shared" si="3"/>
        <v>1353.6042103510224</v>
      </c>
      <c r="AV31" s="153">
        <f t="shared" si="4"/>
        <v>897.46589616871427</v>
      </c>
      <c r="AW31" s="273"/>
      <c r="AX31" s="155">
        <f t="shared" si="7"/>
        <v>2251.0701065197368</v>
      </c>
      <c r="AZ31" s="146">
        <f>+IF(AZ30&gt;$G$13+$G$14,XX,AZ30+1)</f>
        <v>2022</v>
      </c>
      <c r="BA31" s="117"/>
      <c r="BB31" s="154">
        <f t="shared" si="17"/>
        <v>64.259120462561256</v>
      </c>
      <c r="BD31" s="154">
        <f t="shared" si="18"/>
        <v>7.239347470335999</v>
      </c>
      <c r="BF31" s="153">
        <f t="shared" si="8"/>
        <v>-308.50525472471418</v>
      </c>
      <c r="BH31" s="157"/>
    </row>
    <row r="32" spans="1:60" ht="12">
      <c r="B32" s="2"/>
      <c r="C32">
        <f>+IF(C31&gt;$G$13+$G$14,XX,C31+1)</f>
        <v>2023</v>
      </c>
      <c r="E32" s="169">
        <f>'(2.2)_Forward_Price_Curve'!T37</f>
        <v>2.4E-2</v>
      </c>
      <c r="G32" s="18">
        <v>48790</v>
      </c>
      <c r="I32" s="28">
        <f t="shared" si="9"/>
        <v>0</v>
      </c>
      <c r="K32" s="28">
        <f t="shared" si="10"/>
        <v>44.644851417567764</v>
      </c>
      <c r="M32" s="28">
        <f t="shared" si="11"/>
        <v>0</v>
      </c>
      <c r="O32" s="270">
        <f>'(2.2)_Forward_Price_Curve'!AD37</f>
        <v>0.93952909305922927</v>
      </c>
      <c r="Q32" s="28"/>
      <c r="S32" s="18">
        <f t="shared" si="5"/>
        <v>2224.0619251134908</v>
      </c>
      <c r="U32" s="18">
        <f t="shared" si="0"/>
        <v>2441.9567431963969</v>
      </c>
      <c r="W32" s="18">
        <f t="shared" si="1"/>
        <v>-217.89481808290611</v>
      </c>
      <c r="Y32" s="271">
        <f t="shared" si="6"/>
        <v>-4.4659729059829081</v>
      </c>
      <c r="Z32" s="235"/>
      <c r="AB32" s="146">
        <f>+IF(AB31&gt;$G$13+$G$14,XX,AB31+1)</f>
        <v>2023</v>
      </c>
      <c r="AC32" s="117"/>
      <c r="AD32" s="151">
        <f t="shared" si="2"/>
        <v>48790</v>
      </c>
      <c r="AF32" s="154">
        <f t="shared" si="12"/>
        <v>102.86007990075656</v>
      </c>
      <c r="AH32" s="154">
        <f t="shared" si="13"/>
        <v>21.549858982892509</v>
      </c>
      <c r="AJ32" s="154">
        <f t="shared" si="14"/>
        <v>2.4788301513384132</v>
      </c>
      <c r="AL32" s="153">
        <f t="shared" si="15"/>
        <v>1069.5864113250186</v>
      </c>
      <c r="AN32" s="154">
        <f>INDEX('(2.2)_Forward_Price_Curve'!$L:$L,MATCH($AB32,'(2.2)_Forward_Price_Curve'!$C:$C,0),1)</f>
        <v>2.9371999999999994</v>
      </c>
      <c r="AP32" s="154">
        <f t="shared" ref="AP32:AP47" si="19">AN32*$AF$14/1000+$AJ$14*(1+E32)</f>
        <v>19.094440014427573</v>
      </c>
      <c r="AR32" s="154">
        <f t="shared" si="16"/>
        <v>2.5587871024666802</v>
      </c>
      <c r="AS32" s="154"/>
      <c r="AT32" s="153">
        <f t="shared" si="3"/>
        <v>1385.495792163126</v>
      </c>
      <c r="AV32" s="153">
        <f t="shared" si="4"/>
        <v>1056.4609510332707</v>
      </c>
      <c r="AW32" s="273"/>
      <c r="AX32" s="155">
        <f t="shared" si="7"/>
        <v>2441.9567431963969</v>
      </c>
      <c r="AZ32" s="146">
        <f>+IF(AZ31&gt;$G$13+$G$14,XX,AZ31+1)</f>
        <v>2023</v>
      </c>
      <c r="BA32" s="117"/>
      <c r="BB32" s="154">
        <f t="shared" si="17"/>
        <v>65.801339353662726</v>
      </c>
      <c r="BD32" s="154">
        <f t="shared" si="18"/>
        <v>7.4130918096240634</v>
      </c>
      <c r="BF32" s="153">
        <f t="shared" si="8"/>
        <v>-315.90938083810732</v>
      </c>
      <c r="BH32" s="157"/>
    </row>
    <row r="33" spans="2:60" ht="12">
      <c r="B33" s="2"/>
      <c r="C33">
        <f>+IF(C32&gt;$G$13+$G$14,XX,C32+1)</f>
        <v>2024</v>
      </c>
      <c r="E33" s="169">
        <f>'(2.2)_Forward_Price_Curve'!T38</f>
        <v>2.3E-2</v>
      </c>
      <c r="G33" s="18">
        <v>48600</v>
      </c>
      <c r="I33" s="28">
        <f t="shared" si="9"/>
        <v>0</v>
      </c>
      <c r="K33" s="28">
        <f t="shared" si="10"/>
        <v>44.644851417567764</v>
      </c>
      <c r="M33" s="28">
        <f t="shared" si="11"/>
        <v>0</v>
      </c>
      <c r="O33" s="270">
        <f>'(2.2)_Forward_Price_Curve'!AD38</f>
        <v>0.961379129353919</v>
      </c>
      <c r="Q33" s="28"/>
      <c r="S33" s="18">
        <f t="shared" si="5"/>
        <v>2216.4628045803943</v>
      </c>
      <c r="U33" s="18">
        <f t="shared" si="0"/>
        <v>2639.6521166639209</v>
      </c>
      <c r="W33" s="18">
        <f t="shared" si="1"/>
        <v>-423.1893120835266</v>
      </c>
      <c r="Y33" s="271">
        <f t="shared" si="6"/>
        <v>-8.7075990140643338</v>
      </c>
      <c r="Z33" s="235"/>
      <c r="AB33" s="146">
        <f>+IF(AB32&gt;$G$13+$G$14,XX,AB32+1)</f>
        <v>2024</v>
      </c>
      <c r="AC33" s="117"/>
      <c r="AD33" s="151">
        <f t="shared" si="2"/>
        <v>48600</v>
      </c>
      <c r="AF33" s="154">
        <f t="shared" si="12"/>
        <v>105.22586173847395</v>
      </c>
      <c r="AH33" s="154">
        <f t="shared" si="13"/>
        <v>22.045505739499035</v>
      </c>
      <c r="AJ33" s="154">
        <f t="shared" si="14"/>
        <v>2.5358432448191963</v>
      </c>
      <c r="AL33" s="153">
        <f t="shared" si="15"/>
        <v>1093.7050885689782</v>
      </c>
      <c r="AN33" s="154">
        <f>INDEX('(2.2)_Forward_Price_Curve'!$L:$L,MATCH($AB33,'(2.2)_Forward_Price_Curve'!$C:$C,0),1)</f>
        <v>3.4675625000000001</v>
      </c>
      <c r="AP33" s="154">
        <f t="shared" si="19"/>
        <v>22.542272964908253</v>
      </c>
      <c r="AR33" s="154">
        <f t="shared" si="16"/>
        <v>2.6176392058234135</v>
      </c>
      <c r="AS33" s="154"/>
      <c r="AT33" s="153">
        <f t="shared" si="3"/>
        <v>1416.880385166362</v>
      </c>
      <c r="AV33" s="153">
        <f t="shared" si="4"/>
        <v>1222.7717314975589</v>
      </c>
      <c r="AW33" s="273"/>
      <c r="AX33" s="155">
        <f t="shared" si="7"/>
        <v>2639.6521166639209</v>
      </c>
      <c r="AZ33" s="146">
        <f>+IF(AZ32&gt;$G$13+$G$14,XX,AZ32+1)</f>
        <v>2024</v>
      </c>
      <c r="BA33" s="117"/>
      <c r="BB33" s="154">
        <f t="shared" si="17"/>
        <v>67.314770158796961</v>
      </c>
      <c r="BD33" s="154">
        <f t="shared" si="18"/>
        <v>7.5835929212454163</v>
      </c>
      <c r="BF33" s="153">
        <f t="shared" si="8"/>
        <v>-323.17529659738375</v>
      </c>
      <c r="BH33" s="157"/>
    </row>
    <row r="34" spans="2:60" ht="12">
      <c r="B34" s="2"/>
      <c r="C34">
        <f>+IF(C33&gt;$G$13+$G$14,XX,C33+1)</f>
        <v>2025</v>
      </c>
      <c r="E34" s="169">
        <f>'(2.2)_Forward_Price_Curve'!T39</f>
        <v>2.1999999999999999E-2</v>
      </c>
      <c r="G34" s="18">
        <v>48300</v>
      </c>
      <c r="I34" s="28">
        <f t="shared" si="9"/>
        <v>0</v>
      </c>
      <c r="K34" s="28">
        <f t="shared" si="10"/>
        <v>44.644851417567764</v>
      </c>
      <c r="M34" s="28">
        <f t="shared" si="11"/>
        <v>0</v>
      </c>
      <c r="O34" s="270">
        <f>'(2.2)_Forward_Price_Curve'!AD39</f>
        <v>0.98282248298325492</v>
      </c>
      <c r="Q34" s="28"/>
      <c r="S34" s="18">
        <f t="shared" si="5"/>
        <v>2203.8166493966141</v>
      </c>
      <c r="U34" s="18">
        <f t="shared" si="0"/>
        <v>2777.5635698604565</v>
      </c>
      <c r="W34" s="18">
        <f t="shared" si="1"/>
        <v>-573.74692046384234</v>
      </c>
      <c r="Y34" s="271">
        <f t="shared" si="6"/>
        <v>-11.878818229065059</v>
      </c>
      <c r="Z34" s="235"/>
      <c r="AB34" s="146">
        <f>+IF(AB33&gt;$G$13+$G$14,XX,AB33+1)</f>
        <v>2025</v>
      </c>
      <c r="AC34" s="117"/>
      <c r="AD34" s="151">
        <f t="shared" si="2"/>
        <v>48300</v>
      </c>
      <c r="AF34" s="154">
        <f t="shared" si="12"/>
        <v>107.54083069672038</v>
      </c>
      <c r="AH34" s="154">
        <f t="shared" si="13"/>
        <v>22.530506865768015</v>
      </c>
      <c r="AJ34" s="154">
        <f t="shared" si="14"/>
        <v>2.5916317962052187</v>
      </c>
      <c r="AL34" s="153">
        <f t="shared" si="15"/>
        <v>1116.9891109786342</v>
      </c>
      <c r="AN34" s="154">
        <f>INDEX('(2.2)_Forward_Price_Curve'!$L:$L,MATCH($AB34,'(2.2)_Forward_Price_Curve'!$C:$C,0),1)</f>
        <v>3.8251624999999998</v>
      </c>
      <c r="AP34" s="154">
        <f t="shared" si="19"/>
        <v>24.866994382979648</v>
      </c>
      <c r="AR34" s="154">
        <f t="shared" si="16"/>
        <v>2.6752272683515286</v>
      </c>
      <c r="AS34" s="154"/>
      <c r="AT34" s="153">
        <f t="shared" si="3"/>
        <v>1447.2742641011605</v>
      </c>
      <c r="AV34" s="153">
        <f t="shared" si="4"/>
        <v>1330.2893057592958</v>
      </c>
      <c r="AW34" s="273"/>
      <c r="AX34" s="155">
        <f t="shared" si="7"/>
        <v>2777.5635698604565</v>
      </c>
      <c r="AZ34" s="146">
        <f>+IF(AZ33&gt;$G$13+$G$14,XX,AZ33+1)</f>
        <v>2025</v>
      </c>
      <c r="BA34" s="117"/>
      <c r="BB34" s="154">
        <f t="shared" si="17"/>
        <v>68.795695102290495</v>
      </c>
      <c r="BD34" s="154">
        <f t="shared" si="18"/>
        <v>7.7504319655128153</v>
      </c>
      <c r="BF34" s="153">
        <f t="shared" si="8"/>
        <v>-330.2851531225262</v>
      </c>
      <c r="BH34" s="157"/>
    </row>
    <row r="35" spans="2:60" ht="12">
      <c r="B35" s="2"/>
      <c r="C35">
        <f>+IF(C34&gt;$G$13+$G$14,XX,C34+1)</f>
        <v>2026</v>
      </c>
      <c r="E35" s="169">
        <f>'(2.2)_Forward_Price_Curve'!T40</f>
        <v>2.1999999999999999E-2</v>
      </c>
      <c r="G35" s="18">
        <v>48060</v>
      </c>
      <c r="I35" s="28">
        <f t="shared" si="9"/>
        <v>0</v>
      </c>
      <c r="K35" s="28">
        <f t="shared" si="10"/>
        <v>44.644851417567764</v>
      </c>
      <c r="M35" s="28">
        <f t="shared" si="11"/>
        <v>0</v>
      </c>
      <c r="O35" s="270">
        <f>'(2.2)_Forward_Price_Curve'!AD40</f>
        <v>1.0045007081240578</v>
      </c>
      <c r="Q35" s="28"/>
      <c r="S35" s="18">
        <f t="shared" si="5"/>
        <v>2193.907863160749</v>
      </c>
      <c r="U35" s="18">
        <f t="shared" si="0"/>
        <v>2870.3656164666127</v>
      </c>
      <c r="W35" s="18">
        <f t="shared" si="1"/>
        <v>-676.45775330586366</v>
      </c>
      <c r="Y35" s="271">
        <f t="shared" si="6"/>
        <v>-14.075275765831538</v>
      </c>
      <c r="Z35" s="235"/>
      <c r="AB35" s="146">
        <f>+IF(AB34&gt;$G$13+$G$14,XX,AB34+1)</f>
        <v>2026</v>
      </c>
      <c r="AC35" s="117"/>
      <c r="AD35" s="151">
        <f t="shared" si="2"/>
        <v>48060</v>
      </c>
      <c r="AF35" s="154">
        <f t="shared" si="12"/>
        <v>109.90672897204823</v>
      </c>
      <c r="AH35" s="154">
        <f t="shared" si="13"/>
        <v>23.02617801681491</v>
      </c>
      <c r="AJ35" s="154">
        <f t="shared" si="14"/>
        <v>2.6486476957217335</v>
      </c>
      <c r="AL35" s="153">
        <f t="shared" si="15"/>
        <v>1140.9271959731909</v>
      </c>
      <c r="AN35" s="154">
        <f>INDEX('(2.2)_Forward_Price_Curve'!$L:$L,MATCH($AB35,'(2.2)_Forward_Price_Curve'!$C:$C,0),1)</f>
        <v>4.0344208333333329</v>
      </c>
      <c r="AP35" s="154">
        <f t="shared" si="19"/>
        <v>26.227361635244531</v>
      </c>
      <c r="AR35" s="154">
        <f t="shared" si="16"/>
        <v>2.7340822682552623</v>
      </c>
      <c r="AS35" s="154"/>
      <c r="AT35" s="153">
        <f t="shared" si="3"/>
        <v>1478.4786224644126</v>
      </c>
      <c r="AV35" s="153">
        <f t="shared" si="4"/>
        <v>1391.8869940022</v>
      </c>
      <c r="AW35" s="273"/>
      <c r="AX35" s="155">
        <f t="shared" si="7"/>
        <v>2870.3656164666127</v>
      </c>
      <c r="AZ35" s="146">
        <f>+IF(AZ34&gt;$G$13+$G$14,XX,AZ34+1)</f>
        <v>2026</v>
      </c>
      <c r="BA35" s="117"/>
      <c r="BB35" s="154">
        <f t="shared" si="17"/>
        <v>70.309200394540881</v>
      </c>
      <c r="BD35" s="154">
        <f t="shared" si="18"/>
        <v>7.9209414687540978</v>
      </c>
      <c r="BF35" s="153">
        <f t="shared" si="8"/>
        <v>-337.55142649122172</v>
      </c>
      <c r="BH35" s="157"/>
    </row>
    <row r="36" spans="2:60" ht="12">
      <c r="B36" s="2"/>
      <c r="C36">
        <f>+IF(C35&gt;$G$13+$G$14,XX,C35+1)</f>
        <v>2027</v>
      </c>
      <c r="E36" s="169">
        <f>'(2.2)_Forward_Price_Curve'!T41</f>
        <v>2.1999999999999999E-2</v>
      </c>
      <c r="G36" s="18">
        <v>47820</v>
      </c>
      <c r="I36" s="28">
        <f t="shared" si="9"/>
        <v>0</v>
      </c>
      <c r="K36" s="28">
        <f t="shared" si="10"/>
        <v>44.644851417567764</v>
      </c>
      <c r="M36" s="28">
        <f t="shared" si="11"/>
        <v>0</v>
      </c>
      <c r="O36" s="270">
        <f>'(2.2)_Forward_Price_Curve'!AD41</f>
        <v>1.026779705893067</v>
      </c>
      <c r="Q36" s="28"/>
      <c r="S36" s="18">
        <f t="shared" si="5"/>
        <v>2184.0174003238972</v>
      </c>
      <c r="U36" s="18">
        <f t="shared" si="0"/>
        <v>2885.1438206026642</v>
      </c>
      <c r="W36" s="18">
        <f t="shared" si="1"/>
        <v>-701.126420278767</v>
      </c>
      <c r="Y36" s="271">
        <f t="shared" si="6"/>
        <v>-14.661782105369449</v>
      </c>
      <c r="Z36" s="235"/>
      <c r="AB36" s="146">
        <f>+IF(AB35&gt;$G$13+$G$14,XX,AB35+1)</f>
        <v>2027</v>
      </c>
      <c r="AC36" s="117"/>
      <c r="AD36" s="151">
        <f t="shared" si="2"/>
        <v>47820</v>
      </c>
      <c r="AF36" s="154">
        <f t="shared" si="12"/>
        <v>112.32467700943329</v>
      </c>
      <c r="AH36" s="154">
        <f t="shared" si="13"/>
        <v>23.532753933184839</v>
      </c>
      <c r="AJ36" s="154">
        <f t="shared" si="14"/>
        <v>2.7069179450276115</v>
      </c>
      <c r="AL36" s="153">
        <f t="shared" si="15"/>
        <v>1165.3779339777943</v>
      </c>
      <c r="AN36" s="154">
        <f>INDEX('(2.2)_Forward_Price_Curve'!$L:$L,MATCH($AB36,'(2.2)_Forward_Price_Curve'!$C:$C,0),1)</f>
        <v>3.9925249999999992</v>
      </c>
      <c r="AP36" s="154">
        <f t="shared" si="19"/>
        <v>25.955001061760328</v>
      </c>
      <c r="AR36" s="154">
        <f t="shared" si="16"/>
        <v>2.7942320781568784</v>
      </c>
      <c r="AS36" s="154"/>
      <c r="AT36" s="153">
        <f t="shared" si="3"/>
        <v>1510.355491851823</v>
      </c>
      <c r="AV36" s="153">
        <f t="shared" si="4"/>
        <v>1374.7883287508409</v>
      </c>
      <c r="AW36" s="273"/>
      <c r="AX36" s="155">
        <f t="shared" si="7"/>
        <v>2885.1438206026642</v>
      </c>
      <c r="AZ36" s="146">
        <f>+IF(AZ35&gt;$G$13+$G$14,XX,AZ35+1)</f>
        <v>2027</v>
      </c>
      <c r="BA36" s="117"/>
      <c r="BB36" s="154">
        <f t="shared" si="17"/>
        <v>71.856002803220775</v>
      </c>
      <c r="BD36" s="154">
        <f t="shared" si="18"/>
        <v>8.0952021810666874</v>
      </c>
      <c r="BF36" s="153">
        <f t="shared" si="8"/>
        <v>-344.97755787402861</v>
      </c>
      <c r="BH36" s="157"/>
    </row>
    <row r="37" spans="2:60" ht="12">
      <c r="B37" s="2"/>
      <c r="C37">
        <f>+IF(C36&gt;$G$13+$G$14,XX,C36+1)</f>
        <v>2028</v>
      </c>
      <c r="E37" s="169">
        <f>'(2.2)_Forward_Price_Curve'!T42</f>
        <v>2.1999999999999999E-2</v>
      </c>
      <c r="G37" s="18">
        <v>47640</v>
      </c>
      <c r="I37" s="28">
        <f t="shared" si="9"/>
        <v>0</v>
      </c>
      <c r="K37" s="28">
        <f t="shared" si="10"/>
        <v>44.644851417567764</v>
      </c>
      <c r="M37" s="28">
        <f t="shared" si="11"/>
        <v>0</v>
      </c>
      <c r="O37" s="270">
        <f>'(2.2)_Forward_Price_Curve'!AD42</f>
        <v>1.0498288329991143</v>
      </c>
      <c r="Q37" s="28"/>
      <c r="S37" s="18">
        <f t="shared" si="5"/>
        <v>2176.8945671370057</v>
      </c>
      <c r="U37" s="18">
        <f t="shared" si="0"/>
        <v>2897.0452244021239</v>
      </c>
      <c r="W37" s="18">
        <f t="shared" si="1"/>
        <v>-720.1506572651183</v>
      </c>
      <c r="Y37" s="271">
        <f t="shared" si="6"/>
        <v>-15.116512537051182</v>
      </c>
      <c r="Z37" s="235"/>
      <c r="AB37" s="146">
        <f>+IF(AB36&gt;$G$13+$G$14,XX,AB36+1)</f>
        <v>2028</v>
      </c>
      <c r="AC37" s="117"/>
      <c r="AD37" s="151">
        <f t="shared" si="2"/>
        <v>47640</v>
      </c>
      <c r="AF37" s="154">
        <f t="shared" si="12"/>
        <v>114.79581990364082</v>
      </c>
      <c r="AH37" s="154">
        <f t="shared" si="13"/>
        <v>24.050474519714907</v>
      </c>
      <c r="AJ37" s="154">
        <f t="shared" si="14"/>
        <v>2.7664701398182192</v>
      </c>
      <c r="AL37" s="153">
        <f t="shared" si="15"/>
        <v>1190.5182839001388</v>
      </c>
      <c r="AN37" s="154">
        <f>INDEX('(2.2)_Forward_Price_Curve'!$L:$L,MATCH($AB37,'(2.2)_Forward_Price_Curve'!$C:$C,0),1)</f>
        <v>3.9325250000000005</v>
      </c>
      <c r="AP37" s="154">
        <f t="shared" si="19"/>
        <v>25.564947132553726</v>
      </c>
      <c r="AR37" s="154">
        <f t="shared" si="16"/>
        <v>2.8557051838763297</v>
      </c>
      <c r="AS37" s="154"/>
      <c r="AT37" s="153">
        <f t="shared" si="3"/>
        <v>1543.0853480473961</v>
      </c>
      <c r="AV37" s="153">
        <f t="shared" si="4"/>
        <v>1353.9598763547278</v>
      </c>
      <c r="AW37" s="273"/>
      <c r="AX37" s="155">
        <f t="shared" si="7"/>
        <v>2897.0452244021239</v>
      </c>
      <c r="AZ37" s="146">
        <f>+IF(AZ36&gt;$G$13+$G$14,XX,AZ36+1)</f>
        <v>2028</v>
      </c>
      <c r="BA37" s="117"/>
      <c r="BB37" s="154">
        <f t="shared" si="17"/>
        <v>73.436834864891637</v>
      </c>
      <c r="BD37" s="154">
        <f t="shared" si="18"/>
        <v>8.2732966290501544</v>
      </c>
      <c r="BF37" s="153">
        <f t="shared" si="8"/>
        <v>-352.56706414725721</v>
      </c>
      <c r="BH37" s="157"/>
    </row>
    <row r="38" spans="2:60" ht="12">
      <c r="B38" s="2"/>
      <c r="C38">
        <f>+IF(C37&gt;$G$13+$G$14,XX,C37+1)</f>
        <v>2029</v>
      </c>
      <c r="E38" s="169">
        <f>'(2.2)_Forward_Price_Curve'!T43</f>
        <v>2.1999999999999999E-2</v>
      </c>
      <c r="G38" s="18">
        <v>47340</v>
      </c>
      <c r="I38" s="28">
        <f t="shared" si="9"/>
        <v>0</v>
      </c>
      <c r="K38" s="28">
        <f t="shared" si="10"/>
        <v>44.644851417567764</v>
      </c>
      <c r="M38" s="28">
        <f t="shared" si="11"/>
        <v>0</v>
      </c>
      <c r="O38" s="270">
        <f>'(2.2)_Forward_Price_Curve'!AD43</f>
        <v>1.0737281421117022</v>
      </c>
      <c r="Q38" s="28"/>
      <c r="S38" s="18">
        <f t="shared" si="5"/>
        <v>2164.3175563552259</v>
      </c>
      <c r="U38" s="18">
        <f t="shared" si="0"/>
        <v>3022.7697768570906</v>
      </c>
      <c r="W38" s="18">
        <f t="shared" si="1"/>
        <v>-858.45222050186476</v>
      </c>
      <c r="Y38" s="271">
        <f t="shared" si="6"/>
        <v>-18.133760466875049</v>
      </c>
      <c r="Z38" s="235"/>
      <c r="AB38" s="146">
        <f>+IF(AB37&gt;$G$13+$G$14,XX,AB37+1)</f>
        <v>2029</v>
      </c>
      <c r="AC38" s="117"/>
      <c r="AD38" s="151">
        <f t="shared" si="2"/>
        <v>47340</v>
      </c>
      <c r="AF38" s="154">
        <f t="shared" si="12"/>
        <v>117.32132794152092</v>
      </c>
      <c r="AH38" s="154">
        <f t="shared" si="13"/>
        <v>24.579584959148637</v>
      </c>
      <c r="AJ38" s="154">
        <f t="shared" si="14"/>
        <v>2.8273324828942199</v>
      </c>
      <c r="AL38" s="153">
        <f t="shared" si="15"/>
        <v>1215.8614864010735</v>
      </c>
      <c r="AN38" s="154">
        <f>INDEX('(2.2)_Forward_Price_Curve'!$L:$L,MATCH($AB38,'(2.2)_Forward_Price_Curve'!$C:$C,0),1)</f>
        <v>4.2515375000000004</v>
      </c>
      <c r="AP38" s="154">
        <f t="shared" si="19"/>
        <v>27.638815117404125</v>
      </c>
      <c r="AR38" s="154">
        <f t="shared" si="16"/>
        <v>2.918530697921609</v>
      </c>
      <c r="AS38" s="154"/>
      <c r="AT38" s="153">
        <f t="shared" si="3"/>
        <v>1576.1850259595703</v>
      </c>
      <c r="AV38" s="153">
        <f t="shared" si="4"/>
        <v>1446.5847508975203</v>
      </c>
      <c r="AW38" s="273"/>
      <c r="AX38" s="155">
        <f t="shared" si="7"/>
        <v>3022.7697768570906</v>
      </c>
      <c r="AZ38" s="146">
        <f>+IF(AZ37&gt;$G$13+$G$14,XX,AZ37+1)</f>
        <v>2029</v>
      </c>
      <c r="BA38" s="117"/>
      <c r="BB38" s="154">
        <f t="shared" si="17"/>
        <v>75.052445231919251</v>
      </c>
      <c r="BD38" s="154">
        <f t="shared" si="18"/>
        <v>8.4553091548892585</v>
      </c>
      <c r="BF38" s="153">
        <f t="shared" si="8"/>
        <v>-360.32353955849692</v>
      </c>
      <c r="BH38" s="157"/>
    </row>
    <row r="39" spans="2:60" ht="12">
      <c r="B39" s="2"/>
      <c r="C39">
        <f>+IF(C38&gt;$G$13+$G$14,XX,C38+1)</f>
        <v>2030</v>
      </c>
      <c r="E39" s="169">
        <f>'(2.2)_Forward_Price_Curve'!T44</f>
        <v>2.1999999999999999E-2</v>
      </c>
      <c r="G39" s="18">
        <v>47110</v>
      </c>
      <c r="I39" s="28">
        <f t="shared" si="9"/>
        <v>0</v>
      </c>
      <c r="K39" s="28">
        <f t="shared" si="10"/>
        <v>44.644851417567764</v>
      </c>
      <c r="M39" s="28">
        <f t="shared" si="11"/>
        <v>0</v>
      </c>
      <c r="O39" s="270">
        <f>'(2.2)_Forward_Price_Curve'!AD44</f>
        <v>1.0977895859175892</v>
      </c>
      <c r="Q39" s="28"/>
      <c r="S39" s="18">
        <f t="shared" si="5"/>
        <v>2154.9358176741948</v>
      </c>
      <c r="U39" s="18">
        <f t="shared" si="0"/>
        <v>3223.8136824948324</v>
      </c>
      <c r="W39" s="18">
        <f t="shared" si="1"/>
        <v>-1068.8778648206376</v>
      </c>
      <c r="Y39" s="271">
        <f t="shared" si="6"/>
        <v>-22.688980361295638</v>
      </c>
      <c r="Z39" s="235"/>
      <c r="AB39" s="146">
        <f>+IF(AB38&gt;$G$13+$G$14,XX,AB38+1)</f>
        <v>2030</v>
      </c>
      <c r="AC39" s="117"/>
      <c r="AD39" s="151">
        <f t="shared" si="2"/>
        <v>47110</v>
      </c>
      <c r="AF39" s="154">
        <f t="shared" si="12"/>
        <v>119.90239715623439</v>
      </c>
      <c r="AH39" s="154">
        <f t="shared" si="13"/>
        <v>25.120335828249907</v>
      </c>
      <c r="AJ39" s="154">
        <f t="shared" si="14"/>
        <v>2.8895337975178927</v>
      </c>
      <c r="AL39" s="153">
        <f t="shared" si="15"/>
        <v>1241.945846328468</v>
      </c>
      <c r="AN39" s="154">
        <f>INDEX('(2.2)_Forward_Price_Curve'!$L:$L,MATCH($AB39,'(2.2)_Forward_Price_Curve'!$C:$C,0),1)</f>
        <v>4.8100083333333341</v>
      </c>
      <c r="AP39" s="154">
        <f t="shared" si="19"/>
        <v>31.26937749888673</v>
      </c>
      <c r="AR39" s="154">
        <f t="shared" si="16"/>
        <v>2.9827383732758843</v>
      </c>
      <c r="AS39" s="154"/>
      <c r="AT39" s="153">
        <f t="shared" si="3"/>
        <v>1610.1965037572518</v>
      </c>
      <c r="AV39" s="153">
        <f t="shared" si="4"/>
        <v>1613.6171787375808</v>
      </c>
      <c r="AW39" s="273"/>
      <c r="AX39" s="155">
        <f t="shared" si="7"/>
        <v>3223.8136824948324</v>
      </c>
      <c r="AZ39" s="146">
        <f>+IF(AZ38&gt;$G$13+$G$14,XX,AZ38+1)</f>
        <v>2030</v>
      </c>
      <c r="BA39" s="117"/>
      <c r="BB39" s="154">
        <f t="shared" si="17"/>
        <v>76.703599027021482</v>
      </c>
      <c r="BD39" s="154">
        <f t="shared" si="18"/>
        <v>8.6413259562968232</v>
      </c>
      <c r="BF39" s="153">
        <f t="shared" si="8"/>
        <v>-368.25065742878388</v>
      </c>
      <c r="BH39" s="157"/>
    </row>
    <row r="40" spans="2:60" ht="12">
      <c r="B40" s="2"/>
      <c r="C40">
        <f>+IF(C39&gt;$G$13+$G$14,XX,C39+1)</f>
        <v>2031</v>
      </c>
      <c r="E40" s="169">
        <f>'(2.2)_Forward_Price_Curve'!T45</f>
        <v>2.1999999999999999E-2</v>
      </c>
      <c r="G40" s="18">
        <v>46870</v>
      </c>
      <c r="I40" s="28">
        <f t="shared" si="9"/>
        <v>0</v>
      </c>
      <c r="K40" s="28">
        <f t="shared" si="10"/>
        <v>44.644851417567764</v>
      </c>
      <c r="M40" s="28">
        <f t="shared" si="11"/>
        <v>0</v>
      </c>
      <c r="O40" s="270">
        <f>'(2.2)_Forward_Price_Curve'!AD45</f>
        <v>1.1218057776996744</v>
      </c>
      <c r="Q40" s="28"/>
      <c r="S40" s="18">
        <f t="shared" si="5"/>
        <v>2145.0832227421852</v>
      </c>
      <c r="U40" s="18">
        <f t="shared" si="0"/>
        <v>3348.1566066210798</v>
      </c>
      <c r="W40" s="18">
        <f t="shared" si="1"/>
        <v>-1203.0733838788947</v>
      </c>
      <c r="Y40" s="271">
        <f t="shared" si="6"/>
        <v>-25.668303475120432</v>
      </c>
      <c r="Z40" s="235"/>
      <c r="AB40" s="146">
        <f>+IF(AB39&gt;$G$13+$G$14,XX,AB39+1)</f>
        <v>2031</v>
      </c>
      <c r="AC40" s="117"/>
      <c r="AD40" s="151">
        <f t="shared" si="2"/>
        <v>46870</v>
      </c>
      <c r="AF40" s="154">
        <f t="shared" si="12"/>
        <v>122.54024989367154</v>
      </c>
      <c r="AH40" s="154">
        <f t="shared" si="13"/>
        <v>25.672983216471405</v>
      </c>
      <c r="AJ40" s="154">
        <f t="shared" si="14"/>
        <v>2.9531035410632867</v>
      </c>
      <c r="AL40" s="153">
        <f t="shared" si="15"/>
        <v>1268.5599100978393</v>
      </c>
      <c r="AN40" s="154">
        <f>INDEX('(2.2)_Forward_Price_Curve'!$L:$L,MATCH($AB40,'(2.2)_Forward_Price_Curve'!$C:$C,0),1)</f>
        <v>5.1210458333333335</v>
      </c>
      <c r="AP40" s="154">
        <f t="shared" si="19"/>
        <v>33.291400815646746</v>
      </c>
      <c r="AR40" s="154">
        <f t="shared" si="16"/>
        <v>3.048358617487954</v>
      </c>
      <c r="AS40" s="154"/>
      <c r="AT40" s="153">
        <f t="shared" si="3"/>
        <v>1644.9120819900563</v>
      </c>
      <c r="AV40" s="153">
        <f t="shared" si="4"/>
        <v>1703.2445246310233</v>
      </c>
      <c r="AW40" s="273"/>
      <c r="AX40" s="155">
        <f t="shared" si="7"/>
        <v>3348.1566066210798</v>
      </c>
      <c r="AZ40" s="146">
        <f>+IF(AZ39&gt;$G$13+$G$14,XX,AZ39+1)</f>
        <v>2031</v>
      </c>
      <c r="BA40" s="117"/>
      <c r="BB40" s="154">
        <f t="shared" si="17"/>
        <v>78.391078205615955</v>
      </c>
      <c r="BD40" s="154">
        <f t="shared" si="18"/>
        <v>8.8314351273353537</v>
      </c>
      <c r="BF40" s="153">
        <f t="shared" si="8"/>
        <v>-376.35217189221714</v>
      </c>
      <c r="BH40" s="157"/>
    </row>
    <row r="41" spans="2:60" ht="12">
      <c r="B41" s="2"/>
      <c r="C41">
        <f>+IF(C40&gt;$G$13+$G$14,XX,C40+1)</f>
        <v>2032</v>
      </c>
      <c r="E41" s="169">
        <f>'(2.2)_Forward_Price_Curve'!T46</f>
        <v>2.1000000000000001E-2</v>
      </c>
      <c r="G41" s="18">
        <v>46690</v>
      </c>
      <c r="I41" s="28">
        <f t="shared" si="9"/>
        <v>0</v>
      </c>
      <c r="K41" s="28">
        <f t="shared" si="10"/>
        <v>44.644851417567764</v>
      </c>
      <c r="M41" s="28">
        <f t="shared" si="11"/>
        <v>0</v>
      </c>
      <c r="O41" s="270">
        <f>'(2.2)_Forward_Price_Curve'!AD46</f>
        <v>1.1460041088775619</v>
      </c>
      <c r="Q41" s="28"/>
      <c r="S41" s="18">
        <f t="shared" si="5"/>
        <v>2137.9750445297323</v>
      </c>
      <c r="U41" s="18">
        <f t="shared" si="0"/>
        <v>3470.302793210069</v>
      </c>
      <c r="W41" s="18">
        <f t="shared" si="1"/>
        <v>-1332.3277486803368</v>
      </c>
      <c r="Y41" s="271">
        <f t="shared" si="6"/>
        <v>-28.53561252260306</v>
      </c>
      <c r="Z41" s="235"/>
      <c r="AB41" s="146">
        <f>+IF(AB40&gt;$G$13+$G$14,XX,AB40+1)</f>
        <v>2032</v>
      </c>
      <c r="AC41" s="117"/>
      <c r="AD41" s="151">
        <f t="shared" si="2"/>
        <v>46690</v>
      </c>
      <c r="AF41" s="154">
        <f t="shared" si="12"/>
        <v>125.11359514143864</v>
      </c>
      <c r="AH41" s="154">
        <f t="shared" si="13"/>
        <v>26.212115864017303</v>
      </c>
      <c r="AJ41" s="154">
        <f t="shared" si="14"/>
        <v>3.0151187154256154</v>
      </c>
      <c r="AL41" s="153">
        <f t="shared" si="15"/>
        <v>1294.6569468411169</v>
      </c>
      <c r="AN41" s="154">
        <f>INDEX('(2.2)_Forward_Price_Curve'!$L:$L,MATCH($AB41,'(2.2)_Forward_Price_Curve'!$C:$C,0),1)</f>
        <v>5.4231541666666665</v>
      </c>
      <c r="AP41" s="154">
        <f t="shared" si="19"/>
        <v>35.255376523358855</v>
      </c>
      <c r="AR41" s="154">
        <f t="shared" si="16"/>
        <v>3.1123741484552006</v>
      </c>
      <c r="AS41" s="154"/>
      <c r="AT41" s="153">
        <f t="shared" si="3"/>
        <v>1678.9125143430706</v>
      </c>
      <c r="AV41" s="153">
        <f t="shared" si="4"/>
        <v>1791.3902788669984</v>
      </c>
      <c r="AW41" s="273"/>
      <c r="AX41" s="155">
        <f t="shared" si="7"/>
        <v>3470.302793210069</v>
      </c>
      <c r="AZ41" s="146">
        <f>+IF(AZ40&gt;$G$13+$G$14,XX,AZ40+1)</f>
        <v>2032</v>
      </c>
      <c r="BA41" s="117"/>
      <c r="BB41" s="154">
        <f t="shared" si="17"/>
        <v>80.037290847933889</v>
      </c>
      <c r="BD41" s="154">
        <f t="shared" si="18"/>
        <v>9.0168952650093956</v>
      </c>
      <c r="BF41" s="153">
        <f t="shared" si="8"/>
        <v>-384.25556750195369</v>
      </c>
      <c r="BH41" s="157"/>
    </row>
    <row r="42" spans="2:60" ht="12">
      <c r="B42" s="2"/>
      <c r="C42">
        <f>+IF(C41&gt;$G$13+$G$14,XX,C41+1)</f>
        <v>2033</v>
      </c>
      <c r="E42" s="169">
        <f>'(2.2)_Forward_Price_Curve'!T47</f>
        <v>2.1000000000000001E-2</v>
      </c>
      <c r="G42" s="18">
        <v>46400</v>
      </c>
      <c r="I42" s="28">
        <f t="shared" si="9"/>
        <v>0</v>
      </c>
      <c r="K42" s="28">
        <f t="shared" si="10"/>
        <v>44.644851417567764</v>
      </c>
      <c r="M42" s="28">
        <f t="shared" si="11"/>
        <v>0</v>
      </c>
      <c r="O42" s="270">
        <f>'(2.2)_Forward_Price_Curve'!AD47</f>
        <v>1.1705802944541936</v>
      </c>
      <c r="Q42" s="28"/>
      <c r="S42" s="18">
        <f t="shared" si="5"/>
        <v>2125.8360314378187</v>
      </c>
      <c r="U42" s="18">
        <f t="shared" si="0"/>
        <v>3592.2326418050829</v>
      </c>
      <c r="W42" s="18">
        <f t="shared" si="1"/>
        <v>-1466.3966103672642</v>
      </c>
      <c r="Y42" s="271">
        <f t="shared" si="6"/>
        <v>-31.603375223432415</v>
      </c>
      <c r="Z42" s="235"/>
      <c r="AB42" s="146">
        <f>+IF(AB41&gt;$G$13+$G$14,XX,AB41+1)</f>
        <v>2033</v>
      </c>
      <c r="AC42" s="117"/>
      <c r="AD42" s="151">
        <f t="shared" si="2"/>
        <v>46400</v>
      </c>
      <c r="AF42" s="154">
        <f t="shared" si="12"/>
        <v>127.74098063940883</v>
      </c>
      <c r="AH42" s="154">
        <f t="shared" si="13"/>
        <v>26.762570297161663</v>
      </c>
      <c r="AJ42" s="154">
        <f t="shared" si="14"/>
        <v>3.0784362084495531</v>
      </c>
      <c r="AL42" s="153">
        <f t="shared" si="15"/>
        <v>1320.9519962243301</v>
      </c>
      <c r="AN42" s="154">
        <f>INDEX('(2.2)_Forward_Price_Curve'!$L:$L,MATCH($AB42,'(2.2)_Forward_Price_Curve'!$C:$C,0),1)</f>
        <v>5.7402833333333332</v>
      </c>
      <c r="AP42" s="154">
        <f t="shared" si="19"/>
        <v>37.317001148764703</v>
      </c>
      <c r="AR42" s="154">
        <f t="shared" si="16"/>
        <v>3.1777340055727596</v>
      </c>
      <c r="AS42" s="154"/>
      <c r="AT42" s="153">
        <f t="shared" si="3"/>
        <v>1713.2769306438247</v>
      </c>
      <c r="AV42" s="153">
        <f t="shared" si="4"/>
        <v>1878.9557111612583</v>
      </c>
      <c r="AW42" s="273"/>
      <c r="AX42" s="155">
        <f t="shared" si="7"/>
        <v>3592.2326418050829</v>
      </c>
      <c r="AZ42" s="146">
        <f>+IF(AZ41&gt;$G$13+$G$14,XX,AZ41+1)</f>
        <v>2033</v>
      </c>
      <c r="BA42" s="117"/>
      <c r="BB42" s="154">
        <f t="shared" si="17"/>
        <v>81.718073955740493</v>
      </c>
      <c r="BD42" s="154">
        <f t="shared" si="18"/>
        <v>9.2062500655745918</v>
      </c>
      <c r="BF42" s="153">
        <f t="shared" si="8"/>
        <v>-392.3249344194947</v>
      </c>
      <c r="BH42" s="157"/>
    </row>
    <row r="43" spans="2:60" ht="12">
      <c r="B43" s="2"/>
      <c r="C43">
        <f>+IF(C42&gt;$G$13+$G$14,XX,C42+1)</f>
        <v>2034</v>
      </c>
      <c r="E43" s="169">
        <f>'(2.2)_Forward_Price_Curve'!T48</f>
        <v>2.1000000000000001E-2</v>
      </c>
      <c r="G43" s="18">
        <v>46170</v>
      </c>
      <c r="I43" s="28">
        <f t="shared" si="9"/>
        <v>0</v>
      </c>
      <c r="K43" s="28">
        <f t="shared" si="10"/>
        <v>44.644851417567764</v>
      </c>
      <c r="M43" s="28">
        <f t="shared" si="11"/>
        <v>0</v>
      </c>
      <c r="O43" s="270">
        <f>'(2.2)_Forward_Price_Curve'!AD48</f>
        <v>1.1951742037401478</v>
      </c>
      <c r="Q43" s="28"/>
      <c r="S43" s="18">
        <f t="shared" si="5"/>
        <v>2116.4339829357864</v>
      </c>
      <c r="U43" s="18">
        <f t="shared" si="0"/>
        <v>3713.8647461573787</v>
      </c>
      <c r="W43" s="18">
        <f t="shared" si="1"/>
        <v>-1597.4307632215923</v>
      </c>
      <c r="Y43" s="271">
        <f t="shared" si="6"/>
        <v>-34.598890258210794</v>
      </c>
      <c r="Z43" s="235"/>
      <c r="AB43" s="146">
        <f>+IF(AB42&gt;$G$13+$G$14,XX,AB42+1)</f>
        <v>2034</v>
      </c>
      <c r="AC43" s="117"/>
      <c r="AD43" s="151">
        <f t="shared" si="2"/>
        <v>46170</v>
      </c>
      <c r="AF43" s="154">
        <f t="shared" si="12"/>
        <v>130.42354123283641</v>
      </c>
      <c r="AH43" s="154">
        <f t="shared" si="13"/>
        <v>27.324584273402056</v>
      </c>
      <c r="AJ43" s="154">
        <f t="shared" si="14"/>
        <v>3.1430833688269932</v>
      </c>
      <c r="AL43" s="153">
        <f t="shared" si="15"/>
        <v>1347.9690789702108</v>
      </c>
      <c r="AN43" s="154">
        <f>INDEX('(2.2)_Forward_Price_Curve'!$L:$L,MATCH($AB43,'(2.2)_Forward_Price_Curve'!$C:$C,0),1)</f>
        <v>6.0488291666666667</v>
      </c>
      <c r="AP43" s="154">
        <f t="shared" si="19"/>
        <v>39.322826392631285</v>
      </c>
      <c r="AR43" s="154">
        <f t="shared" si="16"/>
        <v>3.2444664196897874</v>
      </c>
      <c r="AS43" s="154"/>
      <c r="AT43" s="153">
        <f t="shared" si="3"/>
        <v>1748.5328370125148</v>
      </c>
      <c r="AV43" s="153">
        <f t="shared" si="4"/>
        <v>1965.3319091448639</v>
      </c>
      <c r="AW43" s="273"/>
      <c r="AX43" s="155">
        <f t="shared" si="7"/>
        <v>3713.8647461573787</v>
      </c>
      <c r="AZ43" s="146">
        <f>+IF(AZ42&gt;$G$13+$G$14,XX,AZ42+1)</f>
        <v>2034</v>
      </c>
      <c r="BA43" s="117"/>
      <c r="BB43" s="154">
        <f t="shared" si="17"/>
        <v>83.434153508811036</v>
      </c>
      <c r="BD43" s="154">
        <f t="shared" si="18"/>
        <v>9.3995813169516573</v>
      </c>
      <c r="BF43" s="153">
        <f t="shared" si="8"/>
        <v>-400.56375804230402</v>
      </c>
      <c r="BH43" s="157"/>
    </row>
    <row r="44" spans="2:60" ht="12">
      <c r="B44" s="2"/>
      <c r="C44">
        <f>+IF(C43&gt;$G$13+$G$14,XX,C43+1)</f>
        <v>2035</v>
      </c>
      <c r="E44" s="169">
        <f>'(2.2)_Forward_Price_Curve'!T49</f>
        <v>2.1000000000000001E-2</v>
      </c>
      <c r="G44" s="18">
        <v>45940</v>
      </c>
      <c r="I44" s="28">
        <f t="shared" si="9"/>
        <v>0</v>
      </c>
      <c r="K44" s="28">
        <f t="shared" si="10"/>
        <v>44.644851417567764</v>
      </c>
      <c r="M44" s="28">
        <f t="shared" si="11"/>
        <v>0</v>
      </c>
      <c r="O44" s="270">
        <f>'(2.2)_Forward_Price_Curve'!AD49</f>
        <v>1.2202670165885168</v>
      </c>
      <c r="Q44" s="28"/>
      <c r="S44" s="18">
        <f t="shared" si="5"/>
        <v>2107.0435408651397</v>
      </c>
      <c r="U44" s="18">
        <f t="shared" si="0"/>
        <v>3647.948026461102</v>
      </c>
      <c r="W44" s="18">
        <f t="shared" si="1"/>
        <v>-1540.9044855959623</v>
      </c>
      <c r="Y44" s="271">
        <f t="shared" si="6"/>
        <v>-33.5416736089674</v>
      </c>
      <c r="Z44" s="235"/>
      <c r="AB44" s="146">
        <f>+IF(AB43&gt;$G$13+$G$14,XX,AB43+1)</f>
        <v>2035</v>
      </c>
      <c r="AC44" s="117"/>
      <c r="AD44" s="151">
        <f t="shared" si="2"/>
        <v>45940</v>
      </c>
      <c r="AF44" s="154">
        <f t="shared" si="12"/>
        <v>133.16243559872598</v>
      </c>
      <c r="AH44" s="154">
        <f t="shared" si="13"/>
        <v>27.898400543143499</v>
      </c>
      <c r="AJ44" s="154">
        <f t="shared" si="14"/>
        <v>3.20908811957236</v>
      </c>
      <c r="AL44" s="153">
        <f t="shared" si="15"/>
        <v>1375.5383393610837</v>
      </c>
      <c r="AN44" s="154">
        <f>INDEX('(2.2)_Forward_Price_Curve'!$L:$L,MATCH($AB44,'(2.2)_Forward_Price_Curve'!$C:$C,0),1)</f>
        <v>5.7299374999999992</v>
      </c>
      <c r="AP44" s="154">
        <f t="shared" si="19"/>
        <v>37.24974393305498</v>
      </c>
      <c r="AR44" s="154">
        <f t="shared" si="16"/>
        <v>3.3126002145032727</v>
      </c>
      <c r="AS44" s="154"/>
      <c r="AT44" s="153">
        <f t="shared" si="3"/>
        <v>1784.5139363222761</v>
      </c>
      <c r="AV44" s="153">
        <f t="shared" si="4"/>
        <v>1863.4340901388261</v>
      </c>
      <c r="AW44" s="273"/>
      <c r="AX44" s="155">
        <f t="shared" si="7"/>
        <v>3647.948026461102</v>
      </c>
      <c r="AZ44" s="146">
        <f>+IF(AZ43&gt;$G$13+$G$14,XX,AZ43+1)</f>
        <v>2035</v>
      </c>
      <c r="BA44" s="117"/>
      <c r="BB44" s="154">
        <f t="shared" si="17"/>
        <v>85.186270732496055</v>
      </c>
      <c r="BD44" s="154">
        <f t="shared" si="18"/>
        <v>9.5969725246076418</v>
      </c>
      <c r="BF44" s="153">
        <f t="shared" si="8"/>
        <v>-408.97559696119231</v>
      </c>
      <c r="BH44" s="157"/>
    </row>
    <row r="45" spans="2:60" ht="12">
      <c r="B45" s="2"/>
      <c r="C45">
        <f>+IF(C44&gt;$G$13+$G$14,XX,C44+1)</f>
        <v>2036</v>
      </c>
      <c r="E45" s="169">
        <f>'(2.2)_Forward_Price_Curve'!T50</f>
        <v>2.1000000000000001E-2</v>
      </c>
      <c r="G45" s="18">
        <v>45760</v>
      </c>
      <c r="I45" s="28">
        <f t="shared" si="9"/>
        <v>0</v>
      </c>
      <c r="K45" s="28">
        <f t="shared" si="10"/>
        <v>44.644851417567764</v>
      </c>
      <c r="M45" s="28">
        <f t="shared" si="11"/>
        <v>0</v>
      </c>
      <c r="O45" s="270">
        <f>'(2.2)_Forward_Price_Curve'!AD50</f>
        <v>1.2456969570142082</v>
      </c>
      <c r="Q45" s="28"/>
      <c r="S45" s="18">
        <f t="shared" si="5"/>
        <v>2099.9514936208711</v>
      </c>
      <c r="U45" s="18">
        <f t="shared" si="0"/>
        <v>3694.9731299251762</v>
      </c>
      <c r="W45" s="18">
        <f t="shared" si="1"/>
        <v>-1595.021636304305</v>
      </c>
      <c r="Y45" s="271">
        <f t="shared" si="6"/>
        <v>-34.856242052104562</v>
      </c>
      <c r="Z45" s="235"/>
      <c r="AB45" s="146">
        <f>+IF(AB44&gt;$G$13+$G$14,XX,AB44+1)</f>
        <v>2036</v>
      </c>
      <c r="AC45" s="117"/>
      <c r="AD45" s="151">
        <f t="shared" si="2"/>
        <v>45760</v>
      </c>
      <c r="AF45" s="154">
        <f t="shared" si="12"/>
        <v>135.9588467462992</v>
      </c>
      <c r="AH45" s="154">
        <f t="shared" si="13"/>
        <v>28.484266954549511</v>
      </c>
      <c r="AJ45" s="154">
        <f t="shared" si="14"/>
        <v>3.2764789700833794</v>
      </c>
      <c r="AL45" s="153">
        <f t="shared" si="15"/>
        <v>1403.8348782730509</v>
      </c>
      <c r="AN45" s="154">
        <f>INDEX('(2.2)_Forward_Price_Curve'!$L:$L,MATCH($AB45,'(2.2)_Forward_Price_Curve'!$C:$C,0),1)</f>
        <v>5.7778666666666672</v>
      </c>
      <c r="AP45" s="154">
        <f t="shared" si="19"/>
        <v>37.561326596087184</v>
      </c>
      <c r="AR45" s="154">
        <f t="shared" si="16"/>
        <v>3.3821648190078411</v>
      </c>
      <c r="AS45" s="154"/>
      <c r="AT45" s="153">
        <f t="shared" si="3"/>
        <v>1821.3989627704282</v>
      </c>
      <c r="AV45" s="153">
        <f t="shared" si="4"/>
        <v>1873.5741671547482</v>
      </c>
      <c r="AW45" s="273"/>
      <c r="AX45" s="155">
        <f t="shared" si="7"/>
        <v>3694.9731299251762</v>
      </c>
      <c r="AZ45" s="146">
        <f>+IF(AZ44&gt;$G$13+$G$14,XX,AZ44+1)</f>
        <v>2036</v>
      </c>
      <c r="BA45" s="117"/>
      <c r="BB45" s="154">
        <f t="shared" si="17"/>
        <v>86.975182417878472</v>
      </c>
      <c r="BD45" s="154">
        <f t="shared" si="18"/>
        <v>9.7985089476244021</v>
      </c>
      <c r="BF45" s="153">
        <f t="shared" si="8"/>
        <v>-417.56408449737739</v>
      </c>
      <c r="BH45" s="157"/>
    </row>
    <row r="46" spans="2:60" ht="12">
      <c r="B46" s="2"/>
      <c r="C46">
        <f>+IF(C45&gt;$G$13+$G$14,XX,C45+1)</f>
        <v>2037</v>
      </c>
      <c r="E46" s="169">
        <f>'(2.2)_Forward_Price_Curve'!T51</f>
        <v>2.1000000000000001E-2</v>
      </c>
      <c r="G46" s="18">
        <v>45480</v>
      </c>
      <c r="I46" s="28">
        <f t="shared" si="9"/>
        <v>0</v>
      </c>
      <c r="K46" s="28">
        <f t="shared" si="10"/>
        <v>44.644851417567764</v>
      </c>
      <c r="M46" s="28">
        <f t="shared" si="11"/>
        <v>0</v>
      </c>
      <c r="O46" s="270">
        <f>'(2.2)_Forward_Price_Curve'!AD51</f>
        <v>1.2716748240280993</v>
      </c>
      <c r="Q46" s="28"/>
      <c r="S46" s="18">
        <f t="shared" si="5"/>
        <v>2088.2836134677796</v>
      </c>
      <c r="U46" s="18">
        <f t="shared" si="0"/>
        <v>3824.6973155416154</v>
      </c>
      <c r="W46" s="18">
        <f t="shared" si="1"/>
        <v>-1736.4137020738358</v>
      </c>
      <c r="Y46" s="271">
        <f t="shared" si="6"/>
        <v>-38.179720801975279</v>
      </c>
      <c r="Z46" s="235"/>
      <c r="AB46" s="146">
        <f>+IF(AB45&gt;$G$13+$G$14,XX,AB45+1)</f>
        <v>2037</v>
      </c>
      <c r="AC46" s="117"/>
      <c r="AD46" s="151">
        <f t="shared" si="2"/>
        <v>45480</v>
      </c>
      <c r="AF46" s="154">
        <f t="shared" si="12"/>
        <v>138.81398252797146</v>
      </c>
      <c r="AH46" s="154">
        <f t="shared" si="13"/>
        <v>29.082436560595049</v>
      </c>
      <c r="AJ46" s="154">
        <f t="shared" si="14"/>
        <v>3.3452850284551299</v>
      </c>
      <c r="AL46" s="153">
        <f t="shared" si="15"/>
        <v>1432.3787309088177</v>
      </c>
      <c r="AN46" s="154">
        <f>INDEX('(2.2)_Forward_Price_Curve'!$L:$L,MATCH($AB46,'(2.2)_Forward_Price_Curve'!$C:$C,0),1)</f>
        <v>6.1182749999999997</v>
      </c>
      <c r="AP46" s="154">
        <f t="shared" si="19"/>
        <v>39.774286728609511</v>
      </c>
      <c r="AR46" s="154">
        <f t="shared" si="16"/>
        <v>3.4531902802070054</v>
      </c>
      <c r="AS46" s="154"/>
      <c r="AT46" s="153">
        <f t="shared" si="3"/>
        <v>1858.71166118064</v>
      </c>
      <c r="AV46" s="153">
        <f t="shared" si="4"/>
        <v>1965.9856543609751</v>
      </c>
      <c r="AW46" s="273"/>
      <c r="AX46" s="155">
        <f t="shared" si="7"/>
        <v>3824.6973155416154</v>
      </c>
      <c r="AZ46" s="146">
        <f>+IF(AZ45&gt;$G$13+$G$14,XX,AZ45+1)</f>
        <v>2037</v>
      </c>
      <c r="BA46" s="117"/>
      <c r="BB46" s="154">
        <f t="shared" si="17"/>
        <v>88.801661248653915</v>
      </c>
      <c r="BD46" s="154">
        <f t="shared" si="18"/>
        <v>10.004277635524513</v>
      </c>
      <c r="BF46" s="153">
        <f t="shared" si="8"/>
        <v>-426.33293027182231</v>
      </c>
      <c r="BH46" s="157"/>
    </row>
    <row r="47" spans="2:60" ht="12">
      <c r="B47" s="2"/>
      <c r="C47">
        <f>+IF(C46&gt;$G$13+$G$14,XX,C46+1)</f>
        <v>2038</v>
      </c>
      <c r="E47" s="169">
        <f>'(2.2)_Forward_Price_Curve'!T52</f>
        <v>2.1000000000000001E-2</v>
      </c>
      <c r="G47" s="18">
        <v>45250</v>
      </c>
      <c r="I47" s="28">
        <f t="shared" si="9"/>
        <v>0</v>
      </c>
      <c r="K47" s="28">
        <f t="shared" si="10"/>
        <v>44.644851417567764</v>
      </c>
      <c r="M47" s="28"/>
      <c r="O47" s="270">
        <f>'(2.2)_Forward_Price_Curve'!AD52</f>
        <v>1.2982351222983386</v>
      </c>
      <c r="Q47" s="28"/>
      <c r="S47" s="18">
        <f t="shared" si="5"/>
        <v>2078.9246659289411</v>
      </c>
      <c r="U47" s="18">
        <f t="shared" si="0"/>
        <v>4001.4802599307091</v>
      </c>
      <c r="W47" s="18">
        <f t="shared" si="1"/>
        <v>-1922.555594001768</v>
      </c>
      <c r="Y47" s="271">
        <f t="shared" si="6"/>
        <v>-42.487416442028021</v>
      </c>
      <c r="Z47" s="235"/>
      <c r="AB47" s="146">
        <f>+IF(AB46&gt;$G$13+$G$14,XX,AB46+1)</f>
        <v>2038</v>
      </c>
      <c r="AC47" s="117"/>
      <c r="AD47" s="151">
        <f t="shared" si="2"/>
        <v>45250</v>
      </c>
      <c r="AF47" s="154">
        <f t="shared" si="12"/>
        <v>141.72907616105886</v>
      </c>
      <c r="AH47" s="154">
        <f t="shared" si="13"/>
        <v>29.693167728367541</v>
      </c>
      <c r="AJ47" s="154">
        <f t="shared" si="14"/>
        <v>3.4155360140526874</v>
      </c>
      <c r="AL47" s="153">
        <f t="shared" si="15"/>
        <v>1461.6731109746706</v>
      </c>
      <c r="AN47" s="154">
        <f>INDEX('(2.2)_Forward_Price_Curve'!$L:$L,MATCH($AB47,'(2.2)_Forward_Price_Curve'!$C:$C,0),1)</f>
        <v>6.6118625</v>
      </c>
      <c r="AP47" s="154">
        <f t="shared" si="19"/>
        <v>42.983049124980646</v>
      </c>
      <c r="AR47" s="154">
        <f t="shared" si="16"/>
        <v>3.5257072760913521</v>
      </c>
      <c r="AS47" s="154"/>
      <c r="AT47" s="153">
        <f t="shared" si="3"/>
        <v>1896.9590327822011</v>
      </c>
      <c r="AV47" s="153">
        <f t="shared" si="4"/>
        <v>2104.5212271485079</v>
      </c>
      <c r="AW47" s="273"/>
      <c r="AX47" s="155">
        <f t="shared" si="7"/>
        <v>4001.4802599307091</v>
      </c>
      <c r="AZ47" s="146">
        <f>+IF(AZ46&gt;$G$13+$G$14,XX,AZ46+1)</f>
        <v>2038</v>
      </c>
      <c r="BA47" s="117"/>
      <c r="BB47" s="154">
        <f t="shared" si="17"/>
        <v>90.666496134875644</v>
      </c>
      <c r="BD47" s="154">
        <f t="shared" si="18"/>
        <v>10.214367465870527</v>
      </c>
      <c r="BF47" s="153">
        <f t="shared" si="8"/>
        <v>-435.28592180753054</v>
      </c>
      <c r="BH47" s="157"/>
    </row>
    <row r="48" spans="2:60" ht="12">
      <c r="B48" s="2"/>
      <c r="E48" s="169"/>
      <c r="G48" s="18"/>
      <c r="I48" s="28"/>
      <c r="K48" s="28"/>
      <c r="M48" s="28"/>
      <c r="O48" s="270"/>
      <c r="Q48" s="28"/>
      <c r="S48" s="18"/>
      <c r="U48" s="18"/>
      <c r="W48" s="18"/>
      <c r="Y48" s="271"/>
      <c r="Z48" s="235"/>
      <c r="AB48" s="146"/>
      <c r="AC48" s="117"/>
      <c r="AD48" s="151"/>
      <c r="AF48" s="154"/>
      <c r="AH48" s="154"/>
      <c r="AJ48" s="154"/>
      <c r="AL48" s="153"/>
      <c r="AN48" s="154"/>
      <c r="AP48" s="154"/>
      <c r="AR48" s="154"/>
      <c r="AS48" s="154"/>
      <c r="AT48" s="153"/>
      <c r="AV48" s="153"/>
      <c r="AW48" s="273"/>
      <c r="AX48" s="155"/>
      <c r="AZ48" s="146"/>
      <c r="BA48" s="117"/>
      <c r="BB48" s="154"/>
      <c r="BD48" s="154"/>
      <c r="BF48" s="153"/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E50" s="169"/>
      <c r="G50" s="18"/>
      <c r="I50" s="28"/>
      <c r="K50" s="28"/>
      <c r="M50" s="28"/>
      <c r="O50" s="270"/>
      <c r="Q50" s="28"/>
      <c r="S50" s="18"/>
      <c r="U50" s="18"/>
      <c r="W50" s="18"/>
      <c r="Y50" s="271"/>
      <c r="Z50" s="235"/>
      <c r="AB50" s="146"/>
      <c r="AC50" s="117"/>
      <c r="AD50" s="151"/>
      <c r="AF50" s="154"/>
      <c r="AH50" s="154"/>
      <c r="AJ50" s="154"/>
      <c r="AL50" s="153"/>
      <c r="AN50" s="154"/>
      <c r="AP50" s="154"/>
      <c r="AR50" s="154"/>
      <c r="AS50" s="154"/>
      <c r="AT50" s="153"/>
      <c r="AV50" s="153"/>
      <c r="AW50" s="273"/>
      <c r="AX50" s="155"/>
      <c r="AZ50" s="146"/>
      <c r="BA50" s="117"/>
      <c r="BB50" s="154"/>
      <c r="BD50" s="154"/>
      <c r="BF50" s="153"/>
      <c r="BH50" s="157"/>
    </row>
    <row r="51" spans="2:60" ht="12">
      <c r="B51" s="2"/>
      <c r="E51" s="169"/>
      <c r="G51" s="18"/>
      <c r="I51" s="28"/>
      <c r="K51" s="28"/>
      <c r="M51" s="28"/>
      <c r="O51" s="270"/>
      <c r="Q51" s="28"/>
      <c r="S51" s="18"/>
      <c r="U51" s="18"/>
      <c r="W51" s="18"/>
      <c r="Y51" s="271"/>
      <c r="Z51" s="235"/>
      <c r="AB51" s="146"/>
      <c r="AC51" s="117"/>
      <c r="AD51" s="151"/>
      <c r="AF51" s="154"/>
      <c r="AH51" s="154"/>
      <c r="AJ51" s="154"/>
      <c r="AL51" s="153"/>
      <c r="AN51" s="154"/>
      <c r="AP51" s="154"/>
      <c r="AR51" s="154"/>
      <c r="AS51" s="154"/>
      <c r="AT51" s="153"/>
      <c r="AV51" s="153"/>
      <c r="AW51" s="273"/>
      <c r="AX51" s="155"/>
      <c r="AZ51" s="146"/>
      <c r="BA51" s="117"/>
      <c r="BB51" s="154"/>
      <c r="BD51" s="154"/>
      <c r="BF51" s="153"/>
      <c r="BH51" s="157"/>
    </row>
    <row r="52" spans="2:60" ht="12">
      <c r="B52" s="2"/>
      <c r="E52" s="169"/>
      <c r="G52" s="18"/>
      <c r="I52" s="28"/>
      <c r="K52" s="28"/>
      <c r="M52" s="28"/>
      <c r="O52" s="270"/>
      <c r="Q52" s="28" t="s">
        <v>299</v>
      </c>
      <c r="S52" s="18"/>
      <c r="U52" s="18"/>
      <c r="W52" s="18"/>
      <c r="Y52" s="271"/>
      <c r="Z52" s="235"/>
      <c r="AB52" s="146"/>
      <c r="AC52" s="117"/>
      <c r="AD52" s="151"/>
      <c r="AF52" s="154"/>
      <c r="AH52" s="154"/>
      <c r="AJ52" s="154"/>
      <c r="AL52" s="153"/>
      <c r="AN52" s="154"/>
      <c r="AP52" s="154"/>
      <c r="AR52" s="154"/>
      <c r="AS52" s="154"/>
      <c r="AT52" s="153"/>
      <c r="AV52" s="153"/>
      <c r="AW52" s="273"/>
      <c r="AX52" s="155"/>
      <c r="AZ52" s="146"/>
      <c r="BA52" s="117"/>
      <c r="BB52" s="154"/>
      <c r="BD52" s="154"/>
      <c r="BF52" s="153"/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20-year Nominal Levelized at 6.91%</v>
      </c>
      <c r="E58" s="169"/>
      <c r="G58" s="18">
        <f>+-PMT($G$18,$G$14,NPV($G$18,G28:G56))</f>
        <v>44319.635098469007</v>
      </c>
      <c r="I58" s="28">
        <f>+-PMT($G$18,$G$14,NPV($G$18,I28:I56))</f>
        <v>0</v>
      </c>
      <c r="J58" s="28"/>
      <c r="K58" s="28">
        <f>+-PMT($G$18,$G$14,NPV($G$18,K28:K56))</f>
        <v>44.644851417567793</v>
      </c>
      <c r="M58" s="28">
        <f>+-PMT($G$18,$G$14,NPV($G$18,M28:M56))</f>
        <v>0</v>
      </c>
      <c r="O58" s="28">
        <f>+-PMT($G$18,$G$14,NPV($G$18,O28:O56))</f>
        <v>1.0166251298389934</v>
      </c>
      <c r="Q58" s="28">
        <f>+-PMT($G$18,$G$14,NPV($G$18,Q28:Q56))</f>
        <v>0</v>
      </c>
      <c r="S58" s="18">
        <f>+-PMT($G$18,$G$14,NPV($G$18,S28:S56))</f>
        <v>2024.1456388655315</v>
      </c>
      <c r="U58" s="18">
        <f>+-PMT($G$18,$G$14,NPV($G$18,U28:U56))</f>
        <v>2722.7840655659088</v>
      </c>
      <c r="W58" s="18">
        <f>+-PMT($G$18,$G$14,NPV($G$18,W28:W56))</f>
        <v>-698.63842670037661</v>
      </c>
      <c r="Y58" s="271">
        <f>+-PMT($G$18,$G$14,NPV($G$18,Y28:Y56))</f>
        <v>-23.877816875748543</v>
      </c>
      <c r="Z58" s="235"/>
      <c r="AB58" s="2"/>
      <c r="AD58" s="151">
        <f>+-PMT($G$18,$G$14,NPV($G$18,AD28:AD56))</f>
        <v>44319.635098469007</v>
      </c>
      <c r="AF58" s="154">
        <f>+-PMT($G$18,$G$14,NPV($G$18,AF28:AF56))</f>
        <v>111.23855642114968</v>
      </c>
      <c r="AH58" s="154">
        <f>+-PMT($G$18,$G$14,NPV($G$18,AH28:AH56))</f>
        <v>23.30520457158109</v>
      </c>
      <c r="AJ58" s="154">
        <f>+-PMT($G$18,$G$14,NPV($G$18,AJ28:AJ56))</f>
        <v>2.6807434712684581</v>
      </c>
      <c r="AL58" s="153">
        <f>+-PMT($G$18,$G$14,NPV($G$18,AL28:AL56))</f>
        <v>1145.8682824237753</v>
      </c>
      <c r="AN58" s="154">
        <f>+-PMT($G$18,$G$14,NPV($G$18,AN28:AN56))</f>
        <v>3.7522917437315124</v>
      </c>
      <c r="AP58" s="154">
        <f>+-PMT($G$18,$G$14,NPV($G$18,AP28:AP56))</f>
        <v>24.393268969533302</v>
      </c>
      <c r="AR58" s="154">
        <f>+-PMT($G$18,$G$14,NPV($G$18,AR28:AR56))</f>
        <v>2.7672133226230979</v>
      </c>
      <c r="AS58" s="154"/>
      <c r="AT58" s="153">
        <f>+-PMT($G$18,$G$14,NPV($G$18,AT28:AT56))</f>
        <v>1487.5100886350481</v>
      </c>
      <c r="AV58" s="153">
        <f>+-PMT($G$18,$G$14,NPV($G$18,AV28:AV56))</f>
        <v>1235.27397693086</v>
      </c>
      <c r="AW58" s="273"/>
      <c r="AX58" s="155">
        <f>+-PMT($G$18,$G$14,NPV($G$18,AX28:AX56))</f>
        <v>2722.7840655659088</v>
      </c>
      <c r="AZ58" s="2"/>
      <c r="BB58" s="154">
        <f>+-PMT($G$18,$G$14,NPV($G$18,BB28:BB56))</f>
        <v>71.161193023978882</v>
      </c>
      <c r="BD58" s="154">
        <f>+-PMT($G$18,$G$14,NPV($G$18,BD28:BD56))</f>
        <v>8.0169258308534879</v>
      </c>
      <c r="BF58" s="153">
        <f>+-PMT($G$18,$G$14,NPV($G$18,BF28:BF56))</f>
        <v>-341.64180621127235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508ED-AA35-467F-866D-C7206B0A8BBF}">
  <sheetPr codeName="Sheet18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311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313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17.600000000000001</v>
      </c>
      <c r="H11" s="252"/>
      <c r="AB11" s="122" t="s">
        <v>99</v>
      </c>
      <c r="AC11" s="123"/>
      <c r="AD11" s="123"/>
      <c r="AE11" s="123"/>
      <c r="AF11" s="281">
        <f>+G11*(G12/AJ16)</f>
        <v>6.3317400482607935</v>
      </c>
      <c r="AG11" s="127"/>
      <c r="AH11" s="123" t="s">
        <v>100</v>
      </c>
      <c r="AI11" s="124"/>
      <c r="AJ11" s="166">
        <f>'(2.1)_Proxy Resources'!N40</f>
        <v>19.215270973980179</v>
      </c>
      <c r="AK11" s="235"/>
      <c r="AZ11" s="122" t="s">
        <v>99</v>
      </c>
      <c r="BA11" s="123"/>
      <c r="BB11" s="123"/>
      <c r="BC11" s="123"/>
      <c r="BD11" s="134">
        <f>(AF11*AF13-G11*G19)</f>
        <v>-4.1754599517392075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0.251</v>
      </c>
      <c r="H12" s="252"/>
      <c r="AB12" s="122" t="s">
        <v>32</v>
      </c>
      <c r="AC12" s="123"/>
      <c r="AD12" s="123"/>
      <c r="AE12" s="123"/>
      <c r="AF12" s="131">
        <f>+AD58/8760/AF11</f>
        <v>0.66379333165875209</v>
      </c>
      <c r="AG12" s="127"/>
      <c r="AH12" s="117" t="s">
        <v>101</v>
      </c>
      <c r="AI12" s="118"/>
      <c r="AJ12" s="117">
        <v>2018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2019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Resources'!O40</f>
        <v>2.2102879231948753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20</v>
      </c>
      <c r="H14" s="252"/>
      <c r="AB14" s="122" t="s">
        <v>104</v>
      </c>
      <c r="AC14" s="123"/>
      <c r="AD14" s="123"/>
      <c r="AE14" s="123"/>
      <c r="AF14" s="134">
        <f>'(2.1)_Proxy Resources'!H40</f>
        <v>6500.8988201101647</v>
      </c>
      <c r="AG14" s="127"/>
      <c r="AH14" s="117" t="s">
        <v>148</v>
      </c>
      <c r="AI14" s="118"/>
      <c r="AJ14" s="166">
        <v>0</v>
      </c>
      <c r="AK14" s="235"/>
      <c r="AZ14" s="122" t="s">
        <v>192</v>
      </c>
      <c r="BA14" s="123"/>
      <c r="BB14" s="123"/>
      <c r="BC14" s="123"/>
      <c r="BD14" s="167">
        <f>'(2.1)_Proxy Resources'!J41</f>
        <v>843</v>
      </c>
      <c r="BE14" s="132"/>
    </row>
    <row r="15" spans="1:57" ht="12">
      <c r="A15" t="s">
        <v>283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244</v>
      </c>
      <c r="AC15" s="123"/>
      <c r="AD15" s="123"/>
      <c r="AE15" s="123"/>
      <c r="AF15" s="167">
        <f>'(2.1)_Proxy Resources'!J40</f>
        <v>1350.7921550317262</v>
      </c>
      <c r="AG15" s="127"/>
      <c r="AH15" s="117" t="s">
        <v>145</v>
      </c>
      <c r="AI15" s="118"/>
      <c r="AJ15" s="166">
        <f>'(2.1)_Proxy Resources'!P40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Resources'!K41</f>
        <v>6.9599999999999995E-2</v>
      </c>
      <c r="BE15" s="132"/>
    </row>
    <row r="16" spans="1:57" ht="12">
      <c r="A16" t="s">
        <v>283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Resources'!K39</f>
        <v>6.7898535686010855E-2</v>
      </c>
      <c r="AG16" s="127"/>
      <c r="AH16" s="117" t="s">
        <v>110</v>
      </c>
      <c r="AI16" s="124"/>
      <c r="AJ16" s="137">
        <f>'(2.1)_Proxy Resources'!D40</f>
        <v>0.6976913086021953</v>
      </c>
      <c r="AK16" s="235"/>
      <c r="AZ16" s="122" t="s">
        <v>100</v>
      </c>
      <c r="BA16" s="124"/>
      <c r="BB16" s="166">
        <f>'(2.1)_Proxy Resources'!O41</f>
        <v>6.61</v>
      </c>
      <c r="BE16" s="130"/>
    </row>
    <row r="17" spans="1:60" ht="12">
      <c r="A17" t="s">
        <v>283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2018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'(2.2)_Forward_Price_Curve'!AA9</f>
        <v>6.9099999999999995E-2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'(2.2)_Forward_Price_Curve'!L107</f>
        <v>0.59699999999999998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2019</v>
      </c>
      <c r="E28" s="169">
        <f>'(2.2)_Forward_Price_Curve'!T33</f>
        <v>1.9E-2</v>
      </c>
      <c r="G28" s="18">
        <v>6520</v>
      </c>
      <c r="I28" s="268">
        <f>$G$15*(1+E28)</f>
        <v>0</v>
      </c>
      <c r="J28" s="268"/>
      <c r="K28" s="268">
        <v>44.437609139010831</v>
      </c>
      <c r="L28" s="269"/>
      <c r="M28" s="268">
        <f>$G$17</f>
        <v>0</v>
      </c>
      <c r="O28" s="270">
        <f>'(2.2)_Forward_Price_Curve'!AD33</f>
        <v>0.85</v>
      </c>
      <c r="Q28" s="28"/>
      <c r="S28" s="18">
        <f>(I28*$G$11*1000+(K28+M28+O28+Q28)*G28)/1000</f>
        <v>295.27521158635062</v>
      </c>
      <c r="U28" s="18">
        <f t="shared" ref="U28:U47" si="0">AX28</f>
        <v>1107.0274979228868</v>
      </c>
      <c r="W28" s="18">
        <f t="shared" ref="W28:W47" si="1">S28-U28</f>
        <v>-811.75228633653614</v>
      </c>
      <c r="Y28" s="271">
        <f>+W28*1000/G28</f>
        <v>-124.50188440744419</v>
      </c>
      <c r="Z28" s="235"/>
      <c r="AB28" s="146">
        <f>$C$28</f>
        <v>2019</v>
      </c>
      <c r="AC28" s="117"/>
      <c r="AD28" s="151">
        <f t="shared" ref="AD28:AD47" si="2">G28</f>
        <v>6520</v>
      </c>
      <c r="AF28" s="152">
        <f>$AF$15*$AF$16*(1+E28)</f>
        <v>93.459428720318471</v>
      </c>
      <c r="AG28" s="272"/>
      <c r="AH28" s="152">
        <f>$AJ$11*(1+E28)</f>
        <v>19.580361122485801</v>
      </c>
      <c r="AI28" s="272"/>
      <c r="AJ28" s="152">
        <f>$AJ$13*(1+E28)</f>
        <v>2.2522833937355777</v>
      </c>
      <c r="AK28" s="272"/>
      <c r="AL28" s="153">
        <f>((AF28+AH28)*$AF$11*1000+AJ28*AD28)/1000</f>
        <v>730.4234521218234</v>
      </c>
      <c r="AN28" s="154">
        <f>INDEX('(2.2)_Forward_Price_Curve'!$L:$L,MATCH($AB28,'(2.2)_Forward_Price_Curve'!$C:$C,0),1)</f>
        <v>1.9742583333333332</v>
      </c>
      <c r="AO28" s="279"/>
      <c r="AP28" s="154">
        <f>AN28*$AF$14/1000+$AJ$14/(1+E29)</f>
        <v>12.834453669759327</v>
      </c>
      <c r="AQ28" s="272"/>
      <c r="AR28" s="152">
        <f>$AJ$15*(1+E28)</f>
        <v>2.3249328704020966</v>
      </c>
      <c r="AS28" s="152"/>
      <c r="AT28" s="153">
        <f t="shared" ref="AT28:AT47" si="3">AL28-BF28</f>
        <v>1008.1882976810343</v>
      </c>
      <c r="AU28" s="272"/>
      <c r="AV28" s="153">
        <f t="shared" ref="AV28:AV47" si="4">(AP28+AR28)*AD28/1000</f>
        <v>98.839200241852495</v>
      </c>
      <c r="AW28" s="273"/>
      <c r="AX28" s="155">
        <f>AT28+AV28</f>
        <v>1107.0274979228868</v>
      </c>
      <c r="AZ28" s="146">
        <f>$C$28</f>
        <v>2019</v>
      </c>
      <c r="BA28" s="117"/>
      <c r="BB28" s="152">
        <f>$BD$14*$BD$15*(1+E28)</f>
        <v>59.787583199999986</v>
      </c>
      <c r="BD28" s="152">
        <f>$BB$16*(1+E28)</f>
        <v>6.7355899999999993</v>
      </c>
      <c r="BE28" s="272"/>
      <c r="BF28" s="153">
        <f>(BB28+BD28)*$BD$11</f>
        <v>-277.76484555921087</v>
      </c>
      <c r="BG28" s="272"/>
      <c r="BH28" s="156"/>
    </row>
    <row r="29" spans="1:60" ht="12">
      <c r="B29" s="2"/>
      <c r="C29">
        <f>+IF(C28&gt;$G$13+$G$14,XX,C28+1)</f>
        <v>2020</v>
      </c>
      <c r="E29" s="169">
        <f>'(2.2)_Forward_Price_Curve'!T34</f>
        <v>2.5000000000000001E-2</v>
      </c>
      <c r="G29" s="18">
        <v>41180</v>
      </c>
      <c r="I29" s="28">
        <f>I28*(1+$E29)</f>
        <v>0</v>
      </c>
      <c r="K29" s="28">
        <v>46.517510066271136</v>
      </c>
      <c r="M29" s="28">
        <f>M28*(1+$E29)</f>
        <v>0</v>
      </c>
      <c r="O29" s="270">
        <f>'(2.2)_Forward_Price_Curve'!AD34</f>
        <v>0.87222518878125355</v>
      </c>
      <c r="Q29" s="28"/>
      <c r="S29" s="18">
        <f t="shared" ref="S29:S47" si="5">(I29*$G$11*1000+(K29+M29+O29+Q29)*G29)/1000</f>
        <v>1951.5092978030573</v>
      </c>
      <c r="U29" s="18">
        <f t="shared" si="0"/>
        <v>1716.1684944939436</v>
      </c>
      <c r="W29" s="18">
        <f t="shared" si="1"/>
        <v>235.34080330911365</v>
      </c>
      <c r="Y29" s="271">
        <f t="shared" ref="Y29:Y47" si="6">+W29*1000/G29</f>
        <v>5.7149296578220898</v>
      </c>
      <c r="Z29" s="235"/>
      <c r="AB29" s="146">
        <f>+IF(AB28&gt;$G$13+$G$14,XX,AB28+1)</f>
        <v>2020</v>
      </c>
      <c r="AC29" s="117"/>
      <c r="AD29" s="151">
        <f t="shared" si="2"/>
        <v>41180</v>
      </c>
      <c r="AF29" s="154">
        <f>AF28*(1+$E29)</f>
        <v>95.79591443832642</v>
      </c>
      <c r="AH29" s="154">
        <f>AH28*(1+$E29)</f>
        <v>20.069870150547946</v>
      </c>
      <c r="AJ29" s="154">
        <f>AJ28*(1+$E29)</f>
        <v>2.3085904785789668</v>
      </c>
      <c r="AL29" s="153">
        <f>((AF29+AH29)*$AF$11*1000+AJ29*AD29)/1000</f>
        <v>828.69978441241608</v>
      </c>
      <c r="AN29" s="154">
        <f>INDEX('(2.2)_Forward_Price_Curve'!$L:$L,MATCH($AB29,'(2.2)_Forward_Price_Curve'!$C:$C,0),1)</f>
        <v>1.8849916666666668</v>
      </c>
      <c r="AP29" s="154">
        <f>AN29*$AF$14/1000+$AJ$14</f>
        <v>12.254140101750828</v>
      </c>
      <c r="AR29" s="154">
        <f>AR28*(1+$E29)</f>
        <v>2.3830561921621487</v>
      </c>
      <c r="AS29" s="154"/>
      <c r="AT29" s="153">
        <f t="shared" si="3"/>
        <v>1113.4087511106072</v>
      </c>
      <c r="AV29" s="153">
        <f t="shared" si="4"/>
        <v>602.7597433833364</v>
      </c>
      <c r="AW29" s="273"/>
      <c r="AX29" s="155">
        <f t="shared" ref="AX29:AX47" si="7">AT29+AV29</f>
        <v>1716.1684944939436</v>
      </c>
      <c r="AZ29" s="146">
        <f>+IF(AZ28&gt;$G$13+$G$14,XX,AZ28+1)</f>
        <v>2020</v>
      </c>
      <c r="BA29" s="117"/>
      <c r="BB29" s="154">
        <f>BB28*(1+$E29)</f>
        <v>61.282272779999978</v>
      </c>
      <c r="BD29" s="154">
        <f>BD28*(1+$E29)</f>
        <v>6.9039797499999986</v>
      </c>
      <c r="BF29" s="153">
        <f t="shared" ref="BF29:BF47" si="8">(BB29+BD29)*$BD$11</f>
        <v>-284.70896669819109</v>
      </c>
      <c r="BH29" s="157"/>
    </row>
    <row r="30" spans="1:60" ht="12">
      <c r="B30" s="2"/>
      <c r="C30">
        <f>+IF(C29&gt;$G$13+$G$14,XX,C29+1)</f>
        <v>2021</v>
      </c>
      <c r="E30" s="169">
        <f>'(2.2)_Forward_Price_Curve'!T35</f>
        <v>2.4E-2</v>
      </c>
      <c r="G30" s="18">
        <v>40920</v>
      </c>
      <c r="I30" s="28">
        <f t="shared" ref="I30:I47" si="9">I29*(1+$E30)</f>
        <v>0</v>
      </c>
      <c r="K30" s="28">
        <v>46.517510066271157</v>
      </c>
      <c r="M30" s="28">
        <f t="shared" ref="M30:M46" si="10">M29*(1+$E30)</f>
        <v>0</v>
      </c>
      <c r="O30" s="270">
        <f>'(2.2)_Forward_Price_Curve'!AD35</f>
        <v>0.89441110644161892</v>
      </c>
      <c r="Q30" s="28"/>
      <c r="S30" s="18">
        <f t="shared" si="5"/>
        <v>1940.0958143874068</v>
      </c>
      <c r="U30" s="18">
        <f t="shared" si="0"/>
        <v>1758.283214994899</v>
      </c>
      <c r="W30" s="18">
        <f t="shared" si="1"/>
        <v>181.81259939250776</v>
      </c>
      <c r="Y30" s="271">
        <f t="shared" si="6"/>
        <v>4.4431231523095738</v>
      </c>
      <c r="Z30" s="235"/>
      <c r="AB30" s="146">
        <f>+IF(AB29&gt;$G$13+$G$14,XX,AB29+1)</f>
        <v>2021</v>
      </c>
      <c r="AC30" s="117"/>
      <c r="AD30" s="151">
        <f t="shared" si="2"/>
        <v>40920</v>
      </c>
      <c r="AF30" s="154">
        <f t="shared" ref="AF30:AF47" si="11">AF29*(1+$E30)</f>
        <v>98.095016384846261</v>
      </c>
      <c r="AH30" s="154">
        <f t="shared" ref="AH30:AH47" si="12">AH29*(1+$E30)</f>
        <v>20.551547034161096</v>
      </c>
      <c r="AJ30" s="154">
        <f t="shared" ref="AJ30:AJ47" si="13">AJ29*(1+$E30)</f>
        <v>2.3639966500648621</v>
      </c>
      <c r="AL30" s="153">
        <f t="shared" ref="AL30:AL47" si="14">((AF30+AH30)*$AF$11*1000+AJ30*AD30)/1000</f>
        <v>847.97394010929702</v>
      </c>
      <c r="AN30" s="154">
        <f>INDEX('(2.2)_Forward_Price_Curve'!$L:$L,MATCH($AB30,'(2.2)_Forward_Price_Curve'!$C:$C,0),1)</f>
        <v>1.9506749999999997</v>
      </c>
      <c r="AP30" s="154">
        <f>AN30*$AF$14/1000+$AJ$14*(1+E30)</f>
        <v>12.681140805918394</v>
      </c>
      <c r="AR30" s="154">
        <f t="shared" ref="AR30:AR47" si="15">AR29*(1+$E30)</f>
        <v>2.4402495407740403</v>
      </c>
      <c r="AS30" s="154"/>
      <c r="AT30" s="153">
        <f t="shared" si="3"/>
        <v>1139.5159220082446</v>
      </c>
      <c r="AV30" s="153">
        <f t="shared" si="4"/>
        <v>618.76729298665441</v>
      </c>
      <c r="AW30" s="273"/>
      <c r="AX30" s="155">
        <f t="shared" si="7"/>
        <v>1758.283214994899</v>
      </c>
      <c r="AZ30" s="146">
        <f>+IF(AZ29&gt;$G$13+$G$14,XX,AZ29+1)</f>
        <v>2021</v>
      </c>
      <c r="BA30" s="117"/>
      <c r="BB30" s="154">
        <f t="shared" ref="BB30:BB47" si="16">BB29*(1+$E30)</f>
        <v>62.75304732671998</v>
      </c>
      <c r="BD30" s="154">
        <f t="shared" ref="BD30:BD47" si="17">BD29*(1+$E30)</f>
        <v>7.0696752639999989</v>
      </c>
      <c r="BF30" s="153">
        <f t="shared" si="8"/>
        <v>-291.54198189894771</v>
      </c>
      <c r="BH30" s="157"/>
    </row>
    <row r="31" spans="1:60" ht="12">
      <c r="B31" s="2"/>
      <c r="C31">
        <f>+IF(C30&gt;$G$13+$G$14,XX,C30+1)</f>
        <v>2022</v>
      </c>
      <c r="E31" s="169">
        <f>'(2.2)_Forward_Price_Curve'!T36</f>
        <v>2.4E-2</v>
      </c>
      <c r="G31" s="18">
        <v>40720</v>
      </c>
      <c r="I31" s="28">
        <f t="shared" si="9"/>
        <v>0</v>
      </c>
      <c r="K31" s="28">
        <v>46.517510066271171</v>
      </c>
      <c r="M31" s="28">
        <f t="shared" si="10"/>
        <v>0</v>
      </c>
      <c r="O31" s="270">
        <f>'(2.2)_Forward_Price_Curve'!AD36</f>
        <v>0.91699200095245803</v>
      </c>
      <c r="Q31" s="28"/>
      <c r="S31" s="18">
        <f t="shared" si="5"/>
        <v>1931.5329241773461</v>
      </c>
      <c r="U31" s="18">
        <f t="shared" si="0"/>
        <v>1911.7362924785168</v>
      </c>
      <c r="W31" s="18">
        <f t="shared" si="1"/>
        <v>19.796631698829287</v>
      </c>
      <c r="Y31" s="271">
        <f t="shared" si="6"/>
        <v>0.4861648256097566</v>
      </c>
      <c r="Z31" s="235"/>
      <c r="AB31" s="146">
        <f>+IF(AB30&gt;$G$13+$G$14,XX,AB30+1)</f>
        <v>2022</v>
      </c>
      <c r="AC31" s="117"/>
      <c r="AD31" s="151">
        <f t="shared" si="2"/>
        <v>40720</v>
      </c>
      <c r="AF31" s="154">
        <f t="shared" si="11"/>
        <v>100.44929677808257</v>
      </c>
      <c r="AH31" s="154">
        <f t="shared" si="12"/>
        <v>21.044784162980964</v>
      </c>
      <c r="AJ31" s="154">
        <f t="shared" si="13"/>
        <v>2.420732569666419</v>
      </c>
      <c r="AL31" s="153">
        <f t="shared" si="14"/>
        <v>867.841168157987</v>
      </c>
      <c r="AN31" s="154">
        <f>INDEX('(2.2)_Forward_Price_Curve'!$L:$L,MATCH($AB31,'(2.2)_Forward_Price_Curve'!$C:$C,0),1)</f>
        <v>2.431295833333333</v>
      </c>
      <c r="AP31" s="154">
        <f>AN31*$AF$14/1000+$AJ$14*(1+E31)</f>
        <v>15.805608214255424</v>
      </c>
      <c r="AR31" s="154">
        <f t="shared" si="15"/>
        <v>2.4988155297526173</v>
      </c>
      <c r="AS31" s="154"/>
      <c r="AT31" s="153">
        <f t="shared" si="3"/>
        <v>1166.3801576225094</v>
      </c>
      <c r="AV31" s="153">
        <f t="shared" si="4"/>
        <v>745.35613485600743</v>
      </c>
      <c r="AW31" s="273"/>
      <c r="AX31" s="155">
        <f t="shared" si="7"/>
        <v>1911.7362924785168</v>
      </c>
      <c r="AZ31" s="146">
        <f>+IF(AZ30&gt;$G$13+$G$14,XX,AZ30+1)</f>
        <v>2022</v>
      </c>
      <c r="BA31" s="117"/>
      <c r="BB31" s="154">
        <f t="shared" si="16"/>
        <v>64.259120462561256</v>
      </c>
      <c r="BD31" s="154">
        <f t="shared" si="17"/>
        <v>7.239347470335999</v>
      </c>
      <c r="BF31" s="153">
        <f t="shared" si="8"/>
        <v>-298.53898946452244</v>
      </c>
      <c r="BH31" s="157"/>
    </row>
    <row r="32" spans="1:60" ht="12">
      <c r="B32" s="2"/>
      <c r="C32">
        <f>+IF(C31&gt;$G$13+$G$14,XX,C31+1)</f>
        <v>2023</v>
      </c>
      <c r="E32" s="169">
        <f>'(2.2)_Forward_Price_Curve'!T37</f>
        <v>2.4E-2</v>
      </c>
      <c r="G32" s="18">
        <v>40520</v>
      </c>
      <c r="I32" s="28">
        <f t="shared" si="9"/>
        <v>0</v>
      </c>
      <c r="K32" s="28">
        <v>46.517510066271143</v>
      </c>
      <c r="M32" s="28">
        <f t="shared" si="10"/>
        <v>0</v>
      </c>
      <c r="O32" s="270">
        <f>'(2.2)_Forward_Price_Curve'!AD37</f>
        <v>0.93952909305922927</v>
      </c>
      <c r="Q32" s="28"/>
      <c r="S32" s="18">
        <f t="shared" si="5"/>
        <v>1922.9592267360667</v>
      </c>
      <c r="U32" s="18">
        <f t="shared" si="0"/>
        <v>2071.266278151737</v>
      </c>
      <c r="W32" s="18">
        <f t="shared" si="1"/>
        <v>-148.30705141567023</v>
      </c>
      <c r="Y32" s="271">
        <f t="shared" si="6"/>
        <v>-3.6600950497450699</v>
      </c>
      <c r="Z32" s="235"/>
      <c r="AB32" s="146">
        <f>+IF(AB31&gt;$G$13+$G$14,XX,AB31+1)</f>
        <v>2023</v>
      </c>
      <c r="AC32" s="117"/>
      <c r="AD32" s="151">
        <f t="shared" si="2"/>
        <v>40520</v>
      </c>
      <c r="AF32" s="154">
        <f t="shared" si="11"/>
        <v>102.86007990075656</v>
      </c>
      <c r="AH32" s="154">
        <f t="shared" si="12"/>
        <v>21.549858982892509</v>
      </c>
      <c r="AJ32" s="154">
        <f t="shared" si="13"/>
        <v>2.4788301513384132</v>
      </c>
      <c r="AL32" s="153">
        <f t="shared" si="14"/>
        <v>888.17359016351099</v>
      </c>
      <c r="AN32" s="154">
        <f>INDEX('(2.2)_Forward_Price_Curve'!$L:$L,MATCH($AB32,'(2.2)_Forward_Price_Curve'!$C:$C,0),1)</f>
        <v>2.9371999999999994</v>
      </c>
      <c r="AP32" s="154">
        <f t="shared" ref="AP32:AP47" si="18">AN32*$AF$14/1000+$AJ$14*(1+E32)</f>
        <v>19.094440014427573</v>
      </c>
      <c r="AR32" s="154">
        <f t="shared" si="15"/>
        <v>2.5587871024666802</v>
      </c>
      <c r="AS32" s="154"/>
      <c r="AT32" s="153">
        <f t="shared" si="3"/>
        <v>1193.8775153751819</v>
      </c>
      <c r="AV32" s="153">
        <f t="shared" si="4"/>
        <v>877.38876277655515</v>
      </c>
      <c r="AW32" s="273"/>
      <c r="AX32" s="155">
        <f t="shared" si="7"/>
        <v>2071.266278151737</v>
      </c>
      <c r="AZ32" s="146">
        <f>+IF(AZ31&gt;$G$13+$G$14,XX,AZ31+1)</f>
        <v>2023</v>
      </c>
      <c r="BA32" s="117"/>
      <c r="BB32" s="154">
        <f t="shared" si="16"/>
        <v>65.801339353662726</v>
      </c>
      <c r="BD32" s="154">
        <f t="shared" si="17"/>
        <v>7.4130918096240634</v>
      </c>
      <c r="BF32" s="153">
        <f t="shared" si="8"/>
        <v>-305.70392521167099</v>
      </c>
      <c r="BH32" s="157"/>
    </row>
    <row r="33" spans="2:60" ht="12">
      <c r="B33" s="2"/>
      <c r="C33">
        <f>+IF(C32&gt;$G$13+$G$14,XX,C32+1)</f>
        <v>2024</v>
      </c>
      <c r="E33" s="169">
        <f>'(2.2)_Forward_Price_Curve'!T38</f>
        <v>2.3E-2</v>
      </c>
      <c r="G33" s="18">
        <v>40360</v>
      </c>
      <c r="I33" s="28">
        <f t="shared" si="9"/>
        <v>0</v>
      </c>
      <c r="K33" s="28">
        <v>46.51751006627115</v>
      </c>
      <c r="M33" s="28">
        <f t="shared" si="10"/>
        <v>0</v>
      </c>
      <c r="O33" s="270">
        <f>'(2.2)_Forward_Price_Curve'!AD38</f>
        <v>0.961379129353919</v>
      </c>
      <c r="Q33" s="28"/>
      <c r="S33" s="18">
        <f t="shared" si="5"/>
        <v>1916.2479679354281</v>
      </c>
      <c r="U33" s="18">
        <f t="shared" si="0"/>
        <v>2236.3850185203701</v>
      </c>
      <c r="W33" s="18">
        <f t="shared" si="1"/>
        <v>-320.13705058494202</v>
      </c>
      <c r="Y33" s="271">
        <f t="shared" si="6"/>
        <v>-7.9320379233137279</v>
      </c>
      <c r="Z33" s="235"/>
      <c r="AB33" s="146">
        <f>+IF(AB32&gt;$G$13+$G$14,XX,AB32+1)</f>
        <v>2024</v>
      </c>
      <c r="AC33" s="117"/>
      <c r="AD33" s="151">
        <f t="shared" si="2"/>
        <v>40360</v>
      </c>
      <c r="AF33" s="154">
        <f t="shared" si="11"/>
        <v>105.22586173847395</v>
      </c>
      <c r="AH33" s="154">
        <f t="shared" si="12"/>
        <v>22.045505739499035</v>
      </c>
      <c r="AJ33" s="154">
        <f t="shared" si="13"/>
        <v>2.5358432448191963</v>
      </c>
      <c r="AL33" s="153">
        <f t="shared" si="14"/>
        <v>908.19584781810056</v>
      </c>
      <c r="AN33" s="154">
        <f>INDEX('(2.2)_Forward_Price_Curve'!$L:$L,MATCH($AB33,'(2.2)_Forward_Price_Curve'!$C:$C,0),1)</f>
        <v>3.4675625000000001</v>
      </c>
      <c r="AP33" s="154">
        <f t="shared" si="18"/>
        <v>22.542272964908253</v>
      </c>
      <c r="AR33" s="154">
        <f t="shared" si="15"/>
        <v>2.6176392058234135</v>
      </c>
      <c r="AS33" s="154"/>
      <c r="AT33" s="153">
        <f t="shared" si="3"/>
        <v>1220.93096330964</v>
      </c>
      <c r="AV33" s="153">
        <f t="shared" si="4"/>
        <v>1015.4540552107301</v>
      </c>
      <c r="AW33" s="273"/>
      <c r="AX33" s="155">
        <f t="shared" si="7"/>
        <v>2236.3850185203701</v>
      </c>
      <c r="AZ33" s="146">
        <f>+IF(AZ32&gt;$G$13+$G$14,XX,AZ32+1)</f>
        <v>2024</v>
      </c>
      <c r="BA33" s="117"/>
      <c r="BB33" s="154">
        <f t="shared" si="16"/>
        <v>67.314770158796961</v>
      </c>
      <c r="BD33" s="154">
        <f t="shared" si="17"/>
        <v>7.5835929212454163</v>
      </c>
      <c r="BF33" s="153">
        <f t="shared" si="8"/>
        <v>-312.73511549153937</v>
      </c>
      <c r="BH33" s="157"/>
    </row>
    <row r="34" spans="2:60" ht="12">
      <c r="B34" s="2"/>
      <c r="C34">
        <f>+IF(C33&gt;$G$13+$G$14,XX,C33+1)</f>
        <v>2025</v>
      </c>
      <c r="E34" s="169">
        <f>'(2.2)_Forward_Price_Curve'!T39</f>
        <v>2.1999999999999999E-2</v>
      </c>
      <c r="G34" s="18">
        <v>40110</v>
      </c>
      <c r="I34" s="28">
        <f t="shared" si="9"/>
        <v>0</v>
      </c>
      <c r="K34" s="28">
        <v>46.51751006627115</v>
      </c>
      <c r="M34" s="28">
        <f t="shared" si="10"/>
        <v>0</v>
      </c>
      <c r="O34" s="270">
        <f>'(2.2)_Forward_Price_Curve'!AD39</f>
        <v>0.98282248298325492</v>
      </c>
      <c r="Q34" s="28"/>
      <c r="S34" s="18">
        <f t="shared" si="5"/>
        <v>1905.2383385505941</v>
      </c>
      <c r="U34" s="18">
        <f t="shared" si="0"/>
        <v>2351.8620469882944</v>
      </c>
      <c r="W34" s="18">
        <f t="shared" si="1"/>
        <v>-446.62370843770032</v>
      </c>
      <c r="Y34" s="271">
        <f t="shared" si="6"/>
        <v>-11.13497153920968</v>
      </c>
      <c r="Z34" s="235"/>
      <c r="AB34" s="146">
        <f>+IF(AB33&gt;$G$13+$G$14,XX,AB33+1)</f>
        <v>2025</v>
      </c>
      <c r="AC34" s="117"/>
      <c r="AD34" s="151">
        <f t="shared" si="2"/>
        <v>40110</v>
      </c>
      <c r="AF34" s="154">
        <f t="shared" si="11"/>
        <v>107.54083069672038</v>
      </c>
      <c r="AH34" s="154">
        <f t="shared" si="12"/>
        <v>22.530506865768015</v>
      </c>
      <c r="AJ34" s="154">
        <f t="shared" si="13"/>
        <v>2.5916317962052187</v>
      </c>
      <c r="AL34" s="153">
        <f t="shared" si="14"/>
        <v>927.52824852104766</v>
      </c>
      <c r="AN34" s="154">
        <f>INDEX('(2.2)_Forward_Price_Curve'!$L:$L,MATCH($AB34,'(2.2)_Forward_Price_Curve'!$C:$C,0),1)</f>
        <v>3.8251624999999998</v>
      </c>
      <c r="AP34" s="154">
        <f t="shared" si="18"/>
        <v>24.866994382979648</v>
      </c>
      <c r="AR34" s="154">
        <f t="shared" si="15"/>
        <v>2.6752272683515286</v>
      </c>
      <c r="AS34" s="154"/>
      <c r="AT34" s="153">
        <f t="shared" si="3"/>
        <v>1247.143536553401</v>
      </c>
      <c r="AV34" s="153">
        <f t="shared" si="4"/>
        <v>1104.7185104348935</v>
      </c>
      <c r="AW34" s="273"/>
      <c r="AX34" s="155">
        <f t="shared" si="7"/>
        <v>2351.8620469882944</v>
      </c>
      <c r="AZ34" s="146">
        <f>+IF(AZ33&gt;$G$13+$G$14,XX,AZ33+1)</f>
        <v>2025</v>
      </c>
      <c r="BA34" s="117"/>
      <c r="BB34" s="154">
        <f t="shared" si="16"/>
        <v>68.795695102290495</v>
      </c>
      <c r="BD34" s="154">
        <f t="shared" si="17"/>
        <v>7.7504319655128153</v>
      </c>
      <c r="BF34" s="153">
        <f t="shared" si="8"/>
        <v>-319.61528803235325</v>
      </c>
      <c r="BH34" s="157"/>
    </row>
    <row r="35" spans="2:60" ht="12">
      <c r="B35" s="2"/>
      <c r="C35">
        <f>+IF(C34&gt;$G$13+$G$14,XX,C34+1)</f>
        <v>2026</v>
      </c>
      <c r="E35" s="169">
        <f>'(2.2)_Forward_Price_Curve'!T40</f>
        <v>2.1999999999999999E-2</v>
      </c>
      <c r="G35" s="18">
        <v>39910</v>
      </c>
      <c r="I35" s="28">
        <f t="shared" si="9"/>
        <v>0</v>
      </c>
      <c r="K35" s="28">
        <v>46.51751006627115</v>
      </c>
      <c r="M35" s="28">
        <f t="shared" si="10"/>
        <v>0</v>
      </c>
      <c r="O35" s="270">
        <f>'(2.2)_Forward_Price_Curve'!AD40</f>
        <v>1.0045007081240578</v>
      </c>
      <c r="Q35" s="28"/>
      <c r="S35" s="18">
        <f t="shared" si="5"/>
        <v>1896.6034500061128</v>
      </c>
      <c r="U35" s="18">
        <f t="shared" si="0"/>
        <v>2429.9021910071078</v>
      </c>
      <c r="W35" s="18">
        <f t="shared" si="1"/>
        <v>-533.29874100099505</v>
      </c>
      <c r="Y35" s="271">
        <f t="shared" si="6"/>
        <v>-13.362534227035706</v>
      </c>
      <c r="Z35" s="235"/>
      <c r="AB35" s="146">
        <f>+IF(AB34&gt;$G$13+$G$14,XX,AB34+1)</f>
        <v>2026</v>
      </c>
      <c r="AC35" s="117"/>
      <c r="AD35" s="151">
        <f t="shared" si="2"/>
        <v>39910</v>
      </c>
      <c r="AF35" s="154">
        <f t="shared" si="11"/>
        <v>109.90672897204823</v>
      </c>
      <c r="AH35" s="154">
        <f t="shared" si="12"/>
        <v>23.02617801681491</v>
      </c>
      <c r="AJ35" s="154">
        <f t="shared" si="13"/>
        <v>2.6486476957217335</v>
      </c>
      <c r="AL35" s="153">
        <f t="shared" si="14"/>
        <v>947.40414044936608</v>
      </c>
      <c r="AN35" s="154">
        <f>INDEX('(2.2)_Forward_Price_Curve'!$L:$L,MATCH($AB35,'(2.2)_Forward_Price_Curve'!$C:$C,0),1)</f>
        <v>4.0344208333333329</v>
      </c>
      <c r="AP35" s="154">
        <f t="shared" si="18"/>
        <v>26.227361635244531</v>
      </c>
      <c r="AR35" s="154">
        <f t="shared" si="15"/>
        <v>2.7340822682552623</v>
      </c>
      <c r="AS35" s="154"/>
      <c r="AT35" s="153">
        <f t="shared" si="3"/>
        <v>1274.0509648184311</v>
      </c>
      <c r="AV35" s="153">
        <f t="shared" si="4"/>
        <v>1155.8512261886767</v>
      </c>
      <c r="AW35" s="273"/>
      <c r="AX35" s="155">
        <f t="shared" si="7"/>
        <v>2429.9021910071078</v>
      </c>
      <c r="AZ35" s="146">
        <f>+IF(AZ34&gt;$G$13+$G$14,XX,AZ34+1)</f>
        <v>2026</v>
      </c>
      <c r="BA35" s="117"/>
      <c r="BB35" s="154">
        <f t="shared" si="16"/>
        <v>70.309200394540881</v>
      </c>
      <c r="BD35" s="154">
        <f t="shared" si="17"/>
        <v>7.9209414687540978</v>
      </c>
      <c r="BF35" s="153">
        <f t="shared" si="8"/>
        <v>-326.64682436906497</v>
      </c>
      <c r="BH35" s="157"/>
    </row>
    <row r="36" spans="2:60" ht="12">
      <c r="B36" s="2"/>
      <c r="C36">
        <f>+IF(C35&gt;$G$13+$G$14,XX,C35+1)</f>
        <v>2027</v>
      </c>
      <c r="E36" s="169">
        <f>'(2.2)_Forward_Price_Curve'!T41</f>
        <v>2.1999999999999999E-2</v>
      </c>
      <c r="G36" s="18">
        <v>39710</v>
      </c>
      <c r="I36" s="28">
        <f t="shared" si="9"/>
        <v>0</v>
      </c>
      <c r="K36" s="28">
        <v>46.517510066271143</v>
      </c>
      <c r="M36" s="28">
        <f t="shared" si="10"/>
        <v>0</v>
      </c>
      <c r="O36" s="270">
        <f>'(2.2)_Forward_Price_Curve'!AD41</f>
        <v>1.026779705893067</v>
      </c>
      <c r="Q36" s="28"/>
      <c r="S36" s="18">
        <f t="shared" si="5"/>
        <v>1887.9837468526409</v>
      </c>
      <c r="U36" s="18">
        <f t="shared" si="0"/>
        <v>2443.1707504415435</v>
      </c>
      <c r="W36" s="18">
        <f t="shared" si="1"/>
        <v>-555.1870035889026</v>
      </c>
      <c r="Y36" s="271">
        <f t="shared" si="6"/>
        <v>-13.981037612412557</v>
      </c>
      <c r="Z36" s="235"/>
      <c r="AB36" s="146">
        <f>+IF(AB35&gt;$G$13+$G$14,XX,AB35+1)</f>
        <v>2027</v>
      </c>
      <c r="AC36" s="117"/>
      <c r="AD36" s="151">
        <f t="shared" si="2"/>
        <v>39710</v>
      </c>
      <c r="AF36" s="154">
        <f t="shared" si="11"/>
        <v>112.32467700943329</v>
      </c>
      <c r="AH36" s="154">
        <f t="shared" si="12"/>
        <v>23.532753933184839</v>
      </c>
      <c r="AJ36" s="154">
        <f t="shared" si="13"/>
        <v>2.7069179450276115</v>
      </c>
      <c r="AL36" s="153">
        <f t="shared" si="14"/>
        <v>967.70564795024677</v>
      </c>
      <c r="AN36" s="154">
        <f>INDEX('(2.2)_Forward_Price_Curve'!$L:$L,MATCH($AB36,'(2.2)_Forward_Price_Curve'!$C:$C,0),1)</f>
        <v>3.9925249999999992</v>
      </c>
      <c r="AP36" s="154">
        <f t="shared" si="18"/>
        <v>25.955001061760328</v>
      </c>
      <c r="AR36" s="154">
        <f t="shared" si="15"/>
        <v>2.7942320781568784</v>
      </c>
      <c r="AS36" s="154"/>
      <c r="AT36" s="153">
        <f t="shared" si="3"/>
        <v>1301.5387024554311</v>
      </c>
      <c r="AV36" s="153">
        <f t="shared" si="4"/>
        <v>1141.6320479861124</v>
      </c>
      <c r="AW36" s="273"/>
      <c r="AX36" s="155">
        <f t="shared" si="7"/>
        <v>2443.1707504415435</v>
      </c>
      <c r="AZ36" s="146">
        <f>+IF(AZ35&gt;$G$13+$G$14,XX,AZ35+1)</f>
        <v>2027</v>
      </c>
      <c r="BA36" s="117"/>
      <c r="BB36" s="154">
        <f t="shared" si="16"/>
        <v>71.856002803220775</v>
      </c>
      <c r="BD36" s="154">
        <f t="shared" si="17"/>
        <v>8.0952021810666874</v>
      </c>
      <c r="BF36" s="153">
        <f t="shared" si="8"/>
        <v>-333.83305450518441</v>
      </c>
      <c r="BH36" s="157"/>
    </row>
    <row r="37" spans="2:60" ht="12">
      <c r="B37" s="2"/>
      <c r="C37">
        <f>+IF(C36&gt;$G$13+$G$14,XX,C36+1)</f>
        <v>2028</v>
      </c>
      <c r="E37" s="169">
        <f>'(2.2)_Forward_Price_Curve'!T42</f>
        <v>2.1999999999999999E-2</v>
      </c>
      <c r="G37" s="18">
        <v>39560</v>
      </c>
      <c r="I37" s="28">
        <f t="shared" si="9"/>
        <v>0</v>
      </c>
      <c r="K37" s="28">
        <v>46.51751006627115</v>
      </c>
      <c r="M37" s="28">
        <f t="shared" si="10"/>
        <v>0</v>
      </c>
      <c r="O37" s="270">
        <f>'(2.2)_Forward_Price_Curve'!AD42</f>
        <v>1.0498288329991143</v>
      </c>
      <c r="Q37" s="28"/>
      <c r="S37" s="18">
        <f t="shared" si="5"/>
        <v>1881.7639268551316</v>
      </c>
      <c r="U37" s="18">
        <f t="shared" si="0"/>
        <v>2454.078589026451</v>
      </c>
      <c r="W37" s="18">
        <f t="shared" si="1"/>
        <v>-572.31466217131947</v>
      </c>
      <c r="Y37" s="271">
        <f t="shared" si="6"/>
        <v>-14.467003593814951</v>
      </c>
      <c r="Z37" s="235"/>
      <c r="AB37" s="146">
        <f>+IF(AB36&gt;$G$13+$G$14,XX,AB36+1)</f>
        <v>2028</v>
      </c>
      <c r="AC37" s="117"/>
      <c r="AD37" s="151">
        <f t="shared" si="2"/>
        <v>39560</v>
      </c>
      <c r="AF37" s="154">
        <f t="shared" si="11"/>
        <v>114.79581990364082</v>
      </c>
      <c r="AH37" s="154">
        <f t="shared" si="12"/>
        <v>24.050474519714907</v>
      </c>
      <c r="AJ37" s="154">
        <f t="shared" si="13"/>
        <v>2.7664701398182192</v>
      </c>
      <c r="AL37" s="153">
        <f t="shared" si="14"/>
        <v>988.58020168417943</v>
      </c>
      <c r="AN37" s="154">
        <f>INDEX('(2.2)_Forward_Price_Curve'!$L:$L,MATCH($AB37,'(2.2)_Forward_Price_Curve'!$C:$C,0),1)</f>
        <v>3.9325250000000005</v>
      </c>
      <c r="AP37" s="154">
        <f t="shared" si="18"/>
        <v>25.564947132553726</v>
      </c>
      <c r="AR37" s="154">
        <f t="shared" si="15"/>
        <v>2.8557051838763297</v>
      </c>
      <c r="AS37" s="154"/>
      <c r="AT37" s="153">
        <f t="shared" si="3"/>
        <v>1329.757583388478</v>
      </c>
      <c r="AV37" s="153">
        <f t="shared" si="4"/>
        <v>1124.321005637973</v>
      </c>
      <c r="AW37" s="273"/>
      <c r="AX37" s="155">
        <f t="shared" si="7"/>
        <v>2454.078589026451</v>
      </c>
      <c r="AZ37" s="146">
        <f>+IF(AZ36&gt;$G$13+$G$14,XX,AZ36+1)</f>
        <v>2028</v>
      </c>
      <c r="BA37" s="117"/>
      <c r="BB37" s="154">
        <f t="shared" si="16"/>
        <v>73.436834864891637</v>
      </c>
      <c r="BD37" s="154">
        <f t="shared" si="17"/>
        <v>8.2732966290501544</v>
      </c>
      <c r="BF37" s="153">
        <f t="shared" si="8"/>
        <v>-341.17738170429845</v>
      </c>
      <c r="BH37" s="157"/>
    </row>
    <row r="38" spans="2:60" ht="12">
      <c r="B38" s="2"/>
      <c r="C38">
        <f>+IF(C37&gt;$G$13+$G$14,XX,C37+1)</f>
        <v>2029</v>
      </c>
      <c r="E38" s="169">
        <f>'(2.2)_Forward_Price_Curve'!T43</f>
        <v>2.1999999999999999E-2</v>
      </c>
      <c r="G38" s="18">
        <v>39320</v>
      </c>
      <c r="I38" s="28">
        <f t="shared" si="9"/>
        <v>0</v>
      </c>
      <c r="K38" s="28">
        <v>46.51751006627115</v>
      </c>
      <c r="M38" s="28">
        <f t="shared" si="10"/>
        <v>0</v>
      </c>
      <c r="O38" s="270">
        <f>'(2.2)_Forward_Price_Curve'!AD43</f>
        <v>1.0737281421117022</v>
      </c>
      <c r="Q38" s="28"/>
      <c r="S38" s="18">
        <f t="shared" si="5"/>
        <v>1871.287486353614</v>
      </c>
      <c r="U38" s="18">
        <f t="shared" si="0"/>
        <v>2559.8485278857379</v>
      </c>
      <c r="W38" s="18">
        <f t="shared" si="1"/>
        <v>-688.56104153212391</v>
      </c>
      <c r="Y38" s="271">
        <f t="shared" si="6"/>
        <v>-17.51172536958606</v>
      </c>
      <c r="Z38" s="235"/>
      <c r="AB38" s="146">
        <f>+IF(AB37&gt;$G$13+$G$14,XX,AB37+1)</f>
        <v>2029</v>
      </c>
      <c r="AC38" s="117"/>
      <c r="AD38" s="151">
        <f t="shared" si="2"/>
        <v>39320</v>
      </c>
      <c r="AF38" s="154">
        <f t="shared" si="11"/>
        <v>117.32132794152092</v>
      </c>
      <c r="AH38" s="154">
        <f t="shared" si="12"/>
        <v>24.579584959148637</v>
      </c>
      <c r="AJ38" s="154">
        <f t="shared" si="13"/>
        <v>2.8273324828942199</v>
      </c>
      <c r="AL38" s="153">
        <f t="shared" si="14"/>
        <v>1009.650406325337</v>
      </c>
      <c r="AN38" s="154">
        <f>INDEX('(2.2)_Forward_Price_Curve'!$L:$L,MATCH($AB38,'(2.2)_Forward_Price_Curve'!$C:$C,0),1)</f>
        <v>4.2515375000000004</v>
      </c>
      <c r="AP38" s="154">
        <f t="shared" si="18"/>
        <v>27.638815117404125</v>
      </c>
      <c r="AR38" s="154">
        <f t="shared" si="15"/>
        <v>2.918530697921609</v>
      </c>
      <c r="AS38" s="154"/>
      <c r="AT38" s="153">
        <f t="shared" si="3"/>
        <v>1358.33369042713</v>
      </c>
      <c r="AV38" s="153">
        <f t="shared" si="4"/>
        <v>1201.5148374586076</v>
      </c>
      <c r="AW38" s="273"/>
      <c r="AX38" s="155">
        <f t="shared" si="7"/>
        <v>2559.8485278857379</v>
      </c>
      <c r="AZ38" s="146">
        <f>+IF(AZ37&gt;$G$13+$G$14,XX,AZ37+1)</f>
        <v>2029</v>
      </c>
      <c r="BA38" s="117"/>
      <c r="BB38" s="154">
        <f t="shared" si="16"/>
        <v>75.052445231919251</v>
      </c>
      <c r="BD38" s="154">
        <f t="shared" si="17"/>
        <v>8.4553091548892585</v>
      </c>
      <c r="BF38" s="153">
        <f t="shared" si="8"/>
        <v>-348.68328410179305</v>
      </c>
      <c r="BH38" s="157"/>
    </row>
    <row r="39" spans="2:60" ht="12">
      <c r="B39" s="2"/>
      <c r="C39">
        <f>+IF(C38&gt;$G$13+$G$14,XX,C38+1)</f>
        <v>2030</v>
      </c>
      <c r="E39" s="169">
        <f>'(2.2)_Forward_Price_Curve'!T44</f>
        <v>2.1999999999999999E-2</v>
      </c>
      <c r="G39" s="18">
        <v>39120</v>
      </c>
      <c r="I39" s="28">
        <f t="shared" si="9"/>
        <v>0</v>
      </c>
      <c r="K39" s="28">
        <v>46.51751006627115</v>
      </c>
      <c r="M39" s="28">
        <f t="shared" si="10"/>
        <v>0</v>
      </c>
      <c r="O39" s="270">
        <f>'(2.2)_Forward_Price_Curve'!AD44</f>
        <v>1.0977895859175892</v>
      </c>
      <c r="Q39" s="28"/>
      <c r="S39" s="18">
        <f t="shared" si="5"/>
        <v>1862.7105223936235</v>
      </c>
      <c r="U39" s="18">
        <f t="shared" si="0"/>
        <v>2727.5818977760246</v>
      </c>
      <c r="W39" s="18">
        <f t="shared" si="1"/>
        <v>-864.87137538240108</v>
      </c>
      <c r="Y39" s="271">
        <f t="shared" si="6"/>
        <v>-22.108163992392665</v>
      </c>
      <c r="Z39" s="235"/>
      <c r="AB39" s="146">
        <f>+IF(AB38&gt;$G$13+$G$14,XX,AB38+1)</f>
        <v>2030</v>
      </c>
      <c r="AC39" s="117"/>
      <c r="AD39" s="151">
        <f t="shared" si="2"/>
        <v>39120</v>
      </c>
      <c r="AF39" s="154">
        <f t="shared" si="11"/>
        <v>119.90239715623439</v>
      </c>
      <c r="AH39" s="154">
        <f t="shared" si="12"/>
        <v>25.120335828249907</v>
      </c>
      <c r="AJ39" s="154">
        <f t="shared" si="13"/>
        <v>2.8895337975178927</v>
      </c>
      <c r="AL39" s="153">
        <f t="shared" si="14"/>
        <v>1031.2848085049907</v>
      </c>
      <c r="AN39" s="154">
        <f>INDEX('(2.2)_Forward_Price_Curve'!$L:$L,MATCH($AB39,'(2.2)_Forward_Price_Curve'!$C:$C,0),1)</f>
        <v>4.8100083333333341</v>
      </c>
      <c r="AP39" s="154">
        <f t="shared" si="18"/>
        <v>31.26937749888673</v>
      </c>
      <c r="AR39" s="154">
        <f t="shared" si="15"/>
        <v>2.9827383732758843</v>
      </c>
      <c r="AS39" s="154"/>
      <c r="AT39" s="153">
        <f t="shared" si="3"/>
        <v>1387.6391248570233</v>
      </c>
      <c r="AV39" s="153">
        <f t="shared" si="4"/>
        <v>1339.9427729190013</v>
      </c>
      <c r="AW39" s="273"/>
      <c r="AX39" s="155">
        <f t="shared" si="7"/>
        <v>2727.5818977760246</v>
      </c>
      <c r="AZ39" s="146">
        <f>+IF(AZ38&gt;$G$13+$G$14,XX,AZ38+1)</f>
        <v>2030</v>
      </c>
      <c r="BA39" s="117"/>
      <c r="BB39" s="154">
        <f t="shared" si="16"/>
        <v>76.703599027021482</v>
      </c>
      <c r="BD39" s="154">
        <f t="shared" si="17"/>
        <v>8.6413259562968232</v>
      </c>
      <c r="BF39" s="153">
        <f t="shared" si="8"/>
        <v>-356.35431635203253</v>
      </c>
      <c r="BH39" s="157"/>
    </row>
    <row r="40" spans="2:60" ht="12">
      <c r="B40" s="2"/>
      <c r="C40">
        <f>+IF(C39&gt;$G$13+$G$14,XX,C39+1)</f>
        <v>2031</v>
      </c>
      <c r="E40" s="169">
        <f>'(2.2)_Forward_Price_Curve'!T45</f>
        <v>2.1999999999999999E-2</v>
      </c>
      <c r="G40" s="18">
        <v>38920</v>
      </c>
      <c r="I40" s="28">
        <f t="shared" si="9"/>
        <v>0</v>
      </c>
      <c r="K40" s="28">
        <v>46.517510066271157</v>
      </c>
      <c r="M40" s="28">
        <f t="shared" si="10"/>
        <v>0</v>
      </c>
      <c r="O40" s="270">
        <f>'(2.2)_Forward_Price_Curve'!AD45</f>
        <v>1.1218057776996744</v>
      </c>
      <c r="Q40" s="28"/>
      <c r="S40" s="18">
        <f t="shared" si="5"/>
        <v>1854.1221726473448</v>
      </c>
      <c r="U40" s="18">
        <f t="shared" si="0"/>
        <v>2831.9200020332678</v>
      </c>
      <c r="W40" s="18">
        <f t="shared" si="1"/>
        <v>-977.79782938592302</v>
      </c>
      <c r="Y40" s="271">
        <f t="shared" si="6"/>
        <v>-25.123274136328956</v>
      </c>
      <c r="Z40" s="235"/>
      <c r="AB40" s="146">
        <f>+IF(AB39&gt;$G$13+$G$14,XX,AB39+1)</f>
        <v>2031</v>
      </c>
      <c r="AC40" s="117"/>
      <c r="AD40" s="151">
        <f t="shared" si="2"/>
        <v>38920</v>
      </c>
      <c r="AF40" s="154">
        <f t="shared" si="11"/>
        <v>122.54024989367154</v>
      </c>
      <c r="AH40" s="154">
        <f t="shared" si="12"/>
        <v>25.672983216471405</v>
      </c>
      <c r="AJ40" s="154">
        <f t="shared" si="13"/>
        <v>2.9531035410632867</v>
      </c>
      <c r="AL40" s="153">
        <f t="shared" si="14"/>
        <v>1053.3824535838878</v>
      </c>
      <c r="AN40" s="154">
        <f>INDEX('(2.2)_Forward_Price_Curve'!$L:$L,MATCH($AB40,'(2.2)_Forward_Price_Curve'!$C:$C,0),1)</f>
        <v>5.1210458333333335</v>
      </c>
      <c r="AP40" s="154">
        <f t="shared" si="18"/>
        <v>33.291400815646746</v>
      </c>
      <c r="AR40" s="154">
        <f t="shared" si="15"/>
        <v>3.048358617487954</v>
      </c>
      <c r="AS40" s="154"/>
      <c r="AT40" s="153">
        <f t="shared" si="3"/>
        <v>1417.5765648956651</v>
      </c>
      <c r="AV40" s="153">
        <f t="shared" si="4"/>
        <v>1414.3434371376027</v>
      </c>
      <c r="AW40" s="273"/>
      <c r="AX40" s="155">
        <f t="shared" si="7"/>
        <v>2831.9200020332678</v>
      </c>
      <c r="AZ40" s="146">
        <f>+IF(AZ39&gt;$G$13+$G$14,XX,AZ39+1)</f>
        <v>2031</v>
      </c>
      <c r="BA40" s="117"/>
      <c r="BB40" s="154">
        <f t="shared" si="16"/>
        <v>78.391078205615955</v>
      </c>
      <c r="BD40" s="154">
        <f t="shared" si="17"/>
        <v>8.8314351273353537</v>
      </c>
      <c r="BF40" s="153">
        <f t="shared" si="8"/>
        <v>-364.19411131177725</v>
      </c>
      <c r="BH40" s="157"/>
    </row>
    <row r="41" spans="2:60" ht="12">
      <c r="B41" s="2"/>
      <c r="C41">
        <f>+IF(C40&gt;$G$13+$G$14,XX,C40+1)</f>
        <v>2032</v>
      </c>
      <c r="E41" s="169">
        <f>'(2.2)_Forward_Price_Curve'!T46</f>
        <v>2.1000000000000001E-2</v>
      </c>
      <c r="G41" s="18">
        <v>38780</v>
      </c>
      <c r="I41" s="28">
        <f t="shared" si="9"/>
        <v>0</v>
      </c>
      <c r="K41" s="28">
        <v>46.51751006627115</v>
      </c>
      <c r="M41" s="28">
        <f t="shared" si="10"/>
        <v>0</v>
      </c>
      <c r="O41" s="270">
        <f>'(2.2)_Forward_Price_Curve'!AD46</f>
        <v>1.1460041088775619</v>
      </c>
      <c r="Q41" s="28"/>
      <c r="S41" s="18">
        <f t="shared" si="5"/>
        <v>1848.3910797122671</v>
      </c>
      <c r="U41" s="18">
        <f t="shared" si="0"/>
        <v>2934.8249271912637</v>
      </c>
      <c r="W41" s="18">
        <f t="shared" si="1"/>
        <v>-1086.4338474789965</v>
      </c>
      <c r="Y41" s="271">
        <f t="shared" si="6"/>
        <v>-28.015313240819921</v>
      </c>
      <c r="Z41" s="235"/>
      <c r="AB41" s="146">
        <f>+IF(AB40&gt;$G$13+$G$14,XX,AB40+1)</f>
        <v>2032</v>
      </c>
      <c r="AC41" s="117"/>
      <c r="AD41" s="151">
        <f t="shared" si="2"/>
        <v>38780</v>
      </c>
      <c r="AF41" s="154">
        <f t="shared" si="11"/>
        <v>125.11359514143864</v>
      </c>
      <c r="AH41" s="154">
        <f t="shared" si="12"/>
        <v>26.212115864017303</v>
      </c>
      <c r="AJ41" s="154">
        <f t="shared" si="13"/>
        <v>3.0151187154256154</v>
      </c>
      <c r="AL41" s="153">
        <f t="shared" si="14"/>
        <v>1075.0813684889897</v>
      </c>
      <c r="AN41" s="154">
        <f>INDEX('(2.2)_Forward_Price_Curve'!$L:$L,MATCH($AB41,'(2.2)_Forward_Price_Curve'!$C:$C,0),1)</f>
        <v>5.4231541666666665</v>
      </c>
      <c r="AP41" s="154">
        <f t="shared" si="18"/>
        <v>35.255376523358855</v>
      </c>
      <c r="AR41" s="154">
        <f t="shared" si="15"/>
        <v>3.1123741484552006</v>
      </c>
      <c r="AS41" s="154"/>
      <c r="AT41" s="153">
        <f t="shared" si="3"/>
        <v>1446.9235561383143</v>
      </c>
      <c r="AV41" s="153">
        <f t="shared" si="4"/>
        <v>1487.9013710529491</v>
      </c>
      <c r="AW41" s="273"/>
      <c r="AX41" s="155">
        <f t="shared" si="7"/>
        <v>2934.8249271912637</v>
      </c>
      <c r="AZ41" s="146">
        <f>+IF(AZ40&gt;$G$13+$G$14,XX,AZ40+1)</f>
        <v>2032</v>
      </c>
      <c r="BA41" s="117"/>
      <c r="BB41" s="154">
        <f t="shared" si="16"/>
        <v>80.037290847933889</v>
      </c>
      <c r="BD41" s="154">
        <f t="shared" si="17"/>
        <v>9.0168952650093956</v>
      </c>
      <c r="BF41" s="153">
        <f t="shared" si="8"/>
        <v>-371.84218764932456</v>
      </c>
      <c r="BH41" s="157"/>
    </row>
    <row r="42" spans="2:60" ht="12">
      <c r="B42" s="2"/>
      <c r="C42">
        <f>+IF(C41&gt;$G$13+$G$14,XX,C41+1)</f>
        <v>2033</v>
      </c>
      <c r="E42" s="169">
        <f>'(2.2)_Forward_Price_Curve'!T47</f>
        <v>2.1000000000000001E-2</v>
      </c>
      <c r="G42" s="18">
        <v>38540</v>
      </c>
      <c r="I42" s="28">
        <f t="shared" si="9"/>
        <v>0</v>
      </c>
      <c r="K42" s="28">
        <v>46.51751006627115</v>
      </c>
      <c r="M42" s="28">
        <f t="shared" si="10"/>
        <v>0</v>
      </c>
      <c r="O42" s="270">
        <f>'(2.2)_Forward_Price_Curve'!AD47</f>
        <v>1.1705802944541936</v>
      </c>
      <c r="Q42" s="28"/>
      <c r="S42" s="18">
        <f t="shared" si="5"/>
        <v>1837.8990025023545</v>
      </c>
      <c r="U42" s="18">
        <f t="shared" si="0"/>
        <v>3037.2372189753569</v>
      </c>
      <c r="W42" s="18">
        <f t="shared" si="1"/>
        <v>-1199.3382164730024</v>
      </c>
      <c r="Y42" s="271">
        <f t="shared" si="6"/>
        <v>-31.11931023541781</v>
      </c>
      <c r="Z42" s="235"/>
      <c r="AB42" s="146">
        <f>+IF(AB41&gt;$G$13+$G$14,XX,AB41+1)</f>
        <v>2033</v>
      </c>
      <c r="AC42" s="117"/>
      <c r="AD42" s="151">
        <f t="shared" si="2"/>
        <v>38540</v>
      </c>
      <c r="AF42" s="154">
        <f t="shared" si="11"/>
        <v>127.74098063940883</v>
      </c>
      <c r="AH42" s="154">
        <f t="shared" si="12"/>
        <v>26.762570297161663</v>
      </c>
      <c r="AJ42" s="154">
        <f t="shared" si="13"/>
        <v>3.0784362084495531</v>
      </c>
      <c r="AL42" s="153">
        <f t="shared" si="14"/>
        <v>1096.9192525372305</v>
      </c>
      <c r="AN42" s="154">
        <f>INDEX('(2.2)_Forward_Price_Curve'!$L:$L,MATCH($AB42,'(2.2)_Forward_Price_Curve'!$C:$C,0),1)</f>
        <v>5.7402833333333332</v>
      </c>
      <c r="AP42" s="154">
        <f t="shared" si="18"/>
        <v>37.317001148764703</v>
      </c>
      <c r="AR42" s="154">
        <f t="shared" si="15"/>
        <v>3.1777340055727596</v>
      </c>
      <c r="AS42" s="154"/>
      <c r="AT42" s="153">
        <f t="shared" si="3"/>
        <v>1476.5701261271909</v>
      </c>
      <c r="AV42" s="153">
        <f t="shared" si="4"/>
        <v>1560.6670928481658</v>
      </c>
      <c r="AW42" s="273"/>
      <c r="AX42" s="155">
        <f t="shared" si="7"/>
        <v>3037.2372189753569</v>
      </c>
      <c r="AZ42" s="146">
        <f>+IF(AZ41&gt;$G$13+$G$14,XX,AZ41+1)</f>
        <v>2033</v>
      </c>
      <c r="BA42" s="117"/>
      <c r="BB42" s="154">
        <f t="shared" si="16"/>
        <v>81.718073955740493</v>
      </c>
      <c r="BD42" s="154">
        <f t="shared" si="17"/>
        <v>9.2062500655745918</v>
      </c>
      <c r="BF42" s="153">
        <f t="shared" si="8"/>
        <v>-379.65087358996038</v>
      </c>
      <c r="BH42" s="157"/>
    </row>
    <row r="43" spans="2:60" ht="12">
      <c r="B43" s="2"/>
      <c r="C43">
        <f>+IF(C42&gt;$G$13+$G$14,XX,C42+1)</f>
        <v>2034</v>
      </c>
      <c r="E43" s="169">
        <f>'(2.2)_Forward_Price_Curve'!T48</f>
        <v>2.1000000000000001E-2</v>
      </c>
      <c r="G43" s="18">
        <v>38340</v>
      </c>
      <c r="I43" s="28">
        <f t="shared" si="9"/>
        <v>0</v>
      </c>
      <c r="K43" s="28">
        <v>46.517510066271143</v>
      </c>
      <c r="M43" s="28">
        <f t="shared" si="10"/>
        <v>0</v>
      </c>
      <c r="O43" s="270">
        <f>'(2.2)_Forward_Price_Curve'!AD48</f>
        <v>1.1951742037401478</v>
      </c>
      <c r="Q43" s="28"/>
      <c r="S43" s="18">
        <f t="shared" si="5"/>
        <v>1829.3043149122327</v>
      </c>
      <c r="U43" s="18">
        <f t="shared" si="0"/>
        <v>3138.9794885264864</v>
      </c>
      <c r="W43" s="18">
        <f t="shared" si="1"/>
        <v>-1309.6751736142537</v>
      </c>
      <c r="Y43" s="271">
        <f t="shared" si="6"/>
        <v>-34.159498529323258</v>
      </c>
      <c r="Z43" s="235"/>
      <c r="AB43" s="146">
        <f>+IF(AB42&gt;$G$13+$G$14,XX,AB42+1)</f>
        <v>2034</v>
      </c>
      <c r="AC43" s="117"/>
      <c r="AD43" s="151">
        <f t="shared" si="2"/>
        <v>38340</v>
      </c>
      <c r="AF43" s="154">
        <f t="shared" si="11"/>
        <v>130.42354123283641</v>
      </c>
      <c r="AH43" s="154">
        <f t="shared" si="12"/>
        <v>27.324584273402056</v>
      </c>
      <c r="AJ43" s="154">
        <f t="shared" si="13"/>
        <v>3.1430833688269932</v>
      </c>
      <c r="AL43" s="153">
        <f t="shared" si="14"/>
        <v>1119.3259401667469</v>
      </c>
      <c r="AN43" s="154">
        <f>INDEX('(2.2)_Forward_Price_Curve'!$L:$L,MATCH($AB43,'(2.2)_Forward_Price_Curve'!$C:$C,0),1)</f>
        <v>6.0488291666666667</v>
      </c>
      <c r="AP43" s="154">
        <f t="shared" si="18"/>
        <v>39.322826392631285</v>
      </c>
      <c r="AR43" s="154">
        <f t="shared" si="15"/>
        <v>3.2444664196897874</v>
      </c>
      <c r="AS43" s="154"/>
      <c r="AT43" s="153">
        <f t="shared" si="3"/>
        <v>1506.9494821020965</v>
      </c>
      <c r="AV43" s="153">
        <f t="shared" si="4"/>
        <v>1632.0300064243897</v>
      </c>
      <c r="AW43" s="273"/>
      <c r="AX43" s="155">
        <f t="shared" si="7"/>
        <v>3138.9794885264864</v>
      </c>
      <c r="AZ43" s="146">
        <f>+IF(AZ42&gt;$G$13+$G$14,XX,AZ42+1)</f>
        <v>2034</v>
      </c>
      <c r="BA43" s="117"/>
      <c r="BB43" s="154">
        <f t="shared" si="16"/>
        <v>83.434153508811036</v>
      </c>
      <c r="BD43" s="154">
        <f t="shared" si="17"/>
        <v>9.3995813169516573</v>
      </c>
      <c r="BF43" s="153">
        <f t="shared" si="8"/>
        <v>-387.62354193534946</v>
      </c>
      <c r="BH43" s="157"/>
    </row>
    <row r="44" spans="2:60" ht="12">
      <c r="B44" s="2"/>
      <c r="C44">
        <f>+IF(C43&gt;$G$13+$G$14,XX,C43+1)</f>
        <v>2035</v>
      </c>
      <c r="E44" s="169">
        <f>'(2.2)_Forward_Price_Curve'!T49</f>
        <v>2.1000000000000001E-2</v>
      </c>
      <c r="G44" s="18">
        <v>38150</v>
      </c>
      <c r="I44" s="28">
        <f t="shared" si="9"/>
        <v>0</v>
      </c>
      <c r="K44" s="28">
        <v>46.517510066271143</v>
      </c>
      <c r="M44" s="28">
        <f t="shared" si="10"/>
        <v>0</v>
      </c>
      <c r="O44" s="270">
        <f>'(2.2)_Forward_Price_Curve'!AD49</f>
        <v>1.2202670165885168</v>
      </c>
      <c r="Q44" s="28"/>
      <c r="S44" s="18">
        <f t="shared" si="5"/>
        <v>1821.1961957110962</v>
      </c>
      <c r="U44" s="18">
        <f t="shared" si="0"/>
        <v>3085.4391237128689</v>
      </c>
      <c r="W44" s="18">
        <f t="shared" si="1"/>
        <v>-1264.2429280017727</v>
      </c>
      <c r="Y44" s="271">
        <f t="shared" si="6"/>
        <v>-33.138739921409503</v>
      </c>
      <c r="Z44" s="235"/>
      <c r="AB44" s="146">
        <f>+IF(AB43&gt;$G$13+$G$14,XX,AB43+1)</f>
        <v>2035</v>
      </c>
      <c r="AC44" s="117"/>
      <c r="AD44" s="151">
        <f t="shared" si="2"/>
        <v>38150</v>
      </c>
      <c r="AF44" s="154">
        <f t="shared" si="11"/>
        <v>133.16243559872598</v>
      </c>
      <c r="AH44" s="154">
        <f t="shared" si="12"/>
        <v>27.898400543143499</v>
      </c>
      <c r="AJ44" s="154">
        <f t="shared" si="13"/>
        <v>3.20908811957236</v>
      </c>
      <c r="AL44" s="153">
        <f t="shared" si="14"/>
        <v>1142.2220581675299</v>
      </c>
      <c r="AN44" s="154">
        <f>INDEX('(2.2)_Forward_Price_Curve'!$L:$L,MATCH($AB44,'(2.2)_Forward_Price_Curve'!$C:$C,0),1)</f>
        <v>5.7299374999999992</v>
      </c>
      <c r="AP44" s="154">
        <f t="shared" si="18"/>
        <v>37.24974393305498</v>
      </c>
      <c r="AR44" s="154">
        <f t="shared" si="15"/>
        <v>3.3126002145032727</v>
      </c>
      <c r="AS44" s="154"/>
      <c r="AT44" s="153">
        <f t="shared" si="3"/>
        <v>1537.9856944835217</v>
      </c>
      <c r="AV44" s="153">
        <f t="shared" si="4"/>
        <v>1547.4534292293472</v>
      </c>
      <c r="AW44" s="273"/>
      <c r="AX44" s="155">
        <f t="shared" si="7"/>
        <v>3085.4391237128689</v>
      </c>
      <c r="AZ44" s="146">
        <f>+IF(AZ43&gt;$G$13+$G$14,XX,AZ43+1)</f>
        <v>2035</v>
      </c>
      <c r="BA44" s="117"/>
      <c r="BB44" s="154">
        <f t="shared" si="16"/>
        <v>85.186270732496055</v>
      </c>
      <c r="BD44" s="154">
        <f t="shared" si="17"/>
        <v>9.5969725246076418</v>
      </c>
      <c r="BF44" s="153">
        <f t="shared" si="8"/>
        <v>-395.76363631599173</v>
      </c>
      <c r="BH44" s="157"/>
    </row>
    <row r="45" spans="2:60" ht="12">
      <c r="B45" s="2"/>
      <c r="C45">
        <f>+IF(C44&gt;$G$13+$G$14,XX,C44+1)</f>
        <v>2036</v>
      </c>
      <c r="E45" s="169">
        <f>'(2.2)_Forward_Price_Curve'!T50</f>
        <v>2.1000000000000001E-2</v>
      </c>
      <c r="G45" s="18">
        <v>38010</v>
      </c>
      <c r="I45" s="28">
        <f t="shared" si="9"/>
        <v>0</v>
      </c>
      <c r="K45" s="28">
        <v>46.51751006627115</v>
      </c>
      <c r="M45" s="28">
        <f t="shared" si="10"/>
        <v>0</v>
      </c>
      <c r="O45" s="270">
        <f>'(2.2)_Forward_Price_Curve'!AD50</f>
        <v>1.2456969570142082</v>
      </c>
      <c r="Q45" s="28"/>
      <c r="S45" s="18">
        <f t="shared" si="5"/>
        <v>1815.4794989550765</v>
      </c>
      <c r="U45" s="18">
        <f t="shared" si="0"/>
        <v>3126.0867956996258</v>
      </c>
      <c r="W45" s="18">
        <f t="shared" si="1"/>
        <v>-1310.6072967445493</v>
      </c>
      <c r="Y45" s="271">
        <f t="shared" si="6"/>
        <v>-34.480591863839763</v>
      </c>
      <c r="Z45" s="235"/>
      <c r="AB45" s="146">
        <f>+IF(AB44&gt;$G$13+$G$14,XX,AB44+1)</f>
        <v>2036</v>
      </c>
      <c r="AC45" s="117"/>
      <c r="AD45" s="151">
        <f t="shared" si="2"/>
        <v>38010</v>
      </c>
      <c r="AF45" s="154">
        <f t="shared" si="11"/>
        <v>135.9588467462992</v>
      </c>
      <c r="AH45" s="154">
        <f t="shared" si="12"/>
        <v>28.484266954549511</v>
      </c>
      <c r="AJ45" s="154">
        <f t="shared" si="13"/>
        <v>3.2764789700833794</v>
      </c>
      <c r="AL45" s="153">
        <f t="shared" si="14"/>
        <v>1165.7500143332363</v>
      </c>
      <c r="AN45" s="154">
        <f>INDEX('(2.2)_Forward_Price_Curve'!$L:$L,MATCH($AB45,'(2.2)_Forward_Price_Curve'!$C:$C,0),1)</f>
        <v>5.7778666666666672</v>
      </c>
      <c r="AP45" s="154">
        <f t="shared" si="18"/>
        <v>37.561326596087184</v>
      </c>
      <c r="AR45" s="154">
        <f t="shared" si="15"/>
        <v>3.3821648190078411</v>
      </c>
      <c r="AS45" s="154"/>
      <c r="AT45" s="153">
        <f t="shared" si="3"/>
        <v>1569.8246870118639</v>
      </c>
      <c r="AV45" s="153">
        <f t="shared" si="4"/>
        <v>1556.2621086877618</v>
      </c>
      <c r="AW45" s="273"/>
      <c r="AX45" s="155">
        <f t="shared" si="7"/>
        <v>3126.0867956996258</v>
      </c>
      <c r="AZ45" s="146">
        <f>+IF(AZ44&gt;$G$13+$G$14,XX,AZ44+1)</f>
        <v>2036</v>
      </c>
      <c r="BA45" s="117"/>
      <c r="BB45" s="154">
        <f t="shared" si="16"/>
        <v>86.975182417878472</v>
      </c>
      <c r="BD45" s="154">
        <f t="shared" si="17"/>
        <v>9.7985089476244021</v>
      </c>
      <c r="BF45" s="153">
        <f t="shared" si="8"/>
        <v>-404.07467267862756</v>
      </c>
      <c r="BH45" s="157"/>
    </row>
    <row r="46" spans="2:60" ht="12">
      <c r="B46" s="2"/>
      <c r="C46">
        <f>+IF(C45&gt;$G$13+$G$14,XX,C45+1)</f>
        <v>2037</v>
      </c>
      <c r="E46" s="169">
        <f>'(2.2)_Forward_Price_Curve'!T51</f>
        <v>2.1000000000000001E-2</v>
      </c>
      <c r="G46" s="18">
        <v>37770</v>
      </c>
      <c r="I46" s="28">
        <f t="shared" si="9"/>
        <v>0</v>
      </c>
      <c r="K46" s="28">
        <v>46.517510066271143</v>
      </c>
      <c r="M46" s="28">
        <f t="shared" si="10"/>
        <v>0</v>
      </c>
      <c r="O46" s="270">
        <f>'(2.2)_Forward_Price_Curve'!AD51</f>
        <v>1.2716748240280993</v>
      </c>
      <c r="Q46" s="28"/>
      <c r="S46" s="18">
        <f t="shared" si="5"/>
        <v>1804.9975133066023</v>
      </c>
      <c r="U46" s="18">
        <f t="shared" si="0"/>
        <v>3234.6899436552835</v>
      </c>
      <c r="W46" s="18">
        <f t="shared" si="1"/>
        <v>-1429.6924303486812</v>
      </c>
      <c r="Y46" s="271">
        <f t="shared" si="6"/>
        <v>-37.852592807749041</v>
      </c>
      <c r="Z46" s="235"/>
      <c r="AB46" s="146">
        <f>+IF(AB45&gt;$G$13+$G$14,XX,AB45+1)</f>
        <v>2037</v>
      </c>
      <c r="AC46" s="117"/>
      <c r="AD46" s="151">
        <f t="shared" si="2"/>
        <v>37770</v>
      </c>
      <c r="AF46" s="154">
        <f t="shared" si="11"/>
        <v>138.81398252797146</v>
      </c>
      <c r="AH46" s="154">
        <f t="shared" si="12"/>
        <v>29.082436560595049</v>
      </c>
      <c r="AJ46" s="154">
        <f t="shared" si="13"/>
        <v>3.3452850284551299</v>
      </c>
      <c r="AL46" s="153">
        <f t="shared" si="14"/>
        <v>1189.427896227405</v>
      </c>
      <c r="AN46" s="154">
        <f>INDEX('(2.2)_Forward_Price_Curve'!$L:$L,MATCH($AB46,'(2.2)_Forward_Price_Curve'!$C:$C,0),1)</f>
        <v>6.1182749999999997</v>
      </c>
      <c r="AP46" s="154">
        <f t="shared" si="18"/>
        <v>39.774286728609511</v>
      </c>
      <c r="AR46" s="154">
        <f t="shared" si="15"/>
        <v>3.4531902802070054</v>
      </c>
      <c r="AS46" s="154"/>
      <c r="AT46" s="153">
        <f t="shared" si="3"/>
        <v>1601.9881370322837</v>
      </c>
      <c r="AV46" s="153">
        <f t="shared" si="4"/>
        <v>1632.7018066229998</v>
      </c>
      <c r="AW46" s="273"/>
      <c r="AX46" s="155">
        <f t="shared" si="7"/>
        <v>3234.6899436552835</v>
      </c>
      <c r="AZ46" s="146">
        <f>+IF(AZ45&gt;$G$13+$G$14,XX,AZ45+1)</f>
        <v>2037</v>
      </c>
      <c r="BA46" s="117"/>
      <c r="BB46" s="154">
        <f t="shared" si="16"/>
        <v>88.801661248653915</v>
      </c>
      <c r="BD46" s="154">
        <f t="shared" si="17"/>
        <v>10.004277635524513</v>
      </c>
      <c r="BF46" s="153">
        <f t="shared" si="8"/>
        <v>-412.56024080487873</v>
      </c>
      <c r="BH46" s="157"/>
    </row>
    <row r="47" spans="2:60" ht="12">
      <c r="B47" s="2"/>
      <c r="C47">
        <f>+IF(C46&gt;$G$13+$G$14,XX,C46+1)</f>
        <v>2038</v>
      </c>
      <c r="E47" s="169">
        <f>'(2.2)_Forward_Price_Curve'!T52</f>
        <v>2.1000000000000001E-2</v>
      </c>
      <c r="G47" s="18">
        <v>37580</v>
      </c>
      <c r="I47" s="28">
        <f t="shared" si="9"/>
        <v>0</v>
      </c>
      <c r="K47" s="28">
        <v>46.517510066271143</v>
      </c>
      <c r="M47" s="28"/>
      <c r="O47" s="270">
        <f>'(2.2)_Forward_Price_Curve'!AD52</f>
        <v>1.2982351222983386</v>
      </c>
      <c r="Q47" s="28"/>
      <c r="S47" s="18">
        <f t="shared" si="5"/>
        <v>1796.9157041864412</v>
      </c>
      <c r="U47" s="18">
        <f t="shared" si="0"/>
        <v>3382.780001619577</v>
      </c>
      <c r="W47" s="18">
        <f t="shared" si="1"/>
        <v>-1585.8642974331358</v>
      </c>
      <c r="Y47" s="271">
        <f t="shared" si="6"/>
        <v>-42.199688595879081</v>
      </c>
      <c r="Z47" s="235"/>
      <c r="AB47" s="146">
        <f>+IF(AB46&gt;$G$13+$G$14,XX,AB46+1)</f>
        <v>2038</v>
      </c>
      <c r="AC47" s="117"/>
      <c r="AD47" s="151">
        <f t="shared" si="2"/>
        <v>37580</v>
      </c>
      <c r="AF47" s="154">
        <f t="shared" si="11"/>
        <v>141.72907616105886</v>
      </c>
      <c r="AH47" s="154">
        <f t="shared" si="12"/>
        <v>29.693167728367541</v>
      </c>
      <c r="AJ47" s="154">
        <f t="shared" si="13"/>
        <v>3.4155360140526874</v>
      </c>
      <c r="AL47" s="153">
        <f t="shared" si="14"/>
        <v>1213.7569302055103</v>
      </c>
      <c r="AN47" s="154">
        <f>INDEX('(2.2)_Forward_Price_Curve'!$L:$L,MATCH($AB47,'(2.2)_Forward_Price_Curve'!$C:$C,0),1)</f>
        <v>6.6118625</v>
      </c>
      <c r="AP47" s="154">
        <f t="shared" si="18"/>
        <v>42.983049124980646</v>
      </c>
      <c r="AR47" s="154">
        <f t="shared" si="15"/>
        <v>3.5257072760913521</v>
      </c>
      <c r="AS47" s="154"/>
      <c r="AT47" s="153">
        <f t="shared" si="3"/>
        <v>1634.9809360672916</v>
      </c>
      <c r="AV47" s="153">
        <f t="shared" si="4"/>
        <v>1747.7990655522856</v>
      </c>
      <c r="AW47" s="273"/>
      <c r="AX47" s="155">
        <f t="shared" si="7"/>
        <v>3382.780001619577</v>
      </c>
      <c r="AZ47" s="146">
        <f>+IF(AZ46&gt;$G$13+$G$14,XX,AZ46+1)</f>
        <v>2038</v>
      </c>
      <c r="BA47" s="117"/>
      <c r="BB47" s="154">
        <f t="shared" si="16"/>
        <v>90.666496134875644</v>
      </c>
      <c r="BD47" s="154">
        <f t="shared" si="17"/>
        <v>10.214367465870527</v>
      </c>
      <c r="BF47" s="153">
        <f t="shared" si="8"/>
        <v>-421.22400586178117</v>
      </c>
      <c r="BH47" s="157"/>
    </row>
    <row r="48" spans="2:60" ht="12">
      <c r="B48" s="2"/>
      <c r="E48" s="169"/>
      <c r="G48" s="18"/>
      <c r="I48" s="28"/>
      <c r="K48" s="28"/>
      <c r="M48" s="28"/>
      <c r="O48" s="270"/>
      <c r="Q48" s="28"/>
      <c r="S48" s="18"/>
      <c r="U48" s="18"/>
      <c r="W48" s="18"/>
      <c r="Y48" s="271"/>
      <c r="Z48" s="235"/>
      <c r="AB48" s="146"/>
      <c r="AC48" s="117"/>
      <c r="AD48" s="151"/>
      <c r="AF48" s="154"/>
      <c r="AH48" s="154"/>
      <c r="AJ48" s="154"/>
      <c r="AL48" s="153"/>
      <c r="AN48" s="154"/>
      <c r="AP48" s="154"/>
      <c r="AR48" s="154"/>
      <c r="AS48" s="154"/>
      <c r="AT48" s="153"/>
      <c r="AV48" s="153"/>
      <c r="AW48" s="273"/>
      <c r="AX48" s="155"/>
      <c r="AZ48" s="146"/>
      <c r="BA48" s="117"/>
      <c r="BB48" s="154"/>
      <c r="BD48" s="154"/>
      <c r="BF48" s="153"/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E50" s="169"/>
      <c r="G50" s="18"/>
      <c r="I50" s="28"/>
      <c r="K50" s="28"/>
      <c r="M50" s="28"/>
      <c r="O50" s="270"/>
      <c r="Q50" s="28"/>
      <c r="S50" s="18"/>
      <c r="U50" s="18"/>
      <c r="W50" s="18"/>
      <c r="Y50" s="271"/>
      <c r="Z50" s="235"/>
      <c r="AB50" s="146"/>
      <c r="AC50" s="117"/>
      <c r="AD50" s="151"/>
      <c r="AF50" s="154"/>
      <c r="AH50" s="154"/>
      <c r="AJ50" s="154"/>
      <c r="AL50" s="153"/>
      <c r="AN50" s="154"/>
      <c r="AP50" s="154"/>
      <c r="AR50" s="154"/>
      <c r="AS50" s="154"/>
      <c r="AT50" s="153"/>
      <c r="AV50" s="153"/>
      <c r="AW50" s="273"/>
      <c r="AX50" s="155"/>
      <c r="AZ50" s="146"/>
      <c r="BA50" s="117"/>
      <c r="BB50" s="154"/>
      <c r="BD50" s="154"/>
      <c r="BF50" s="153"/>
      <c r="BH50" s="157"/>
    </row>
    <row r="51" spans="2:60" ht="12">
      <c r="B51" s="2"/>
      <c r="E51" s="169"/>
      <c r="G51" s="18"/>
      <c r="I51" s="28"/>
      <c r="K51" s="28"/>
      <c r="M51" s="28"/>
      <c r="O51" s="270"/>
      <c r="Q51" s="28"/>
      <c r="S51" s="18"/>
      <c r="U51" s="18"/>
      <c r="W51" s="18"/>
      <c r="Y51" s="271"/>
      <c r="Z51" s="235"/>
      <c r="AB51" s="146"/>
      <c r="AC51" s="117"/>
      <c r="AD51" s="151"/>
      <c r="AF51" s="154"/>
      <c r="AH51" s="154"/>
      <c r="AJ51" s="154"/>
      <c r="AL51" s="153"/>
      <c r="AN51" s="154"/>
      <c r="AP51" s="154"/>
      <c r="AR51" s="154"/>
      <c r="AS51" s="154"/>
      <c r="AT51" s="153"/>
      <c r="AV51" s="153"/>
      <c r="AW51" s="273"/>
      <c r="AX51" s="155"/>
      <c r="AZ51" s="146"/>
      <c r="BA51" s="117"/>
      <c r="BB51" s="154"/>
      <c r="BD51" s="154"/>
      <c r="BF51" s="153"/>
      <c r="BH51" s="157"/>
    </row>
    <row r="52" spans="2:60" ht="12">
      <c r="B52" s="2"/>
      <c r="E52" s="169"/>
      <c r="G52" s="18"/>
      <c r="I52" s="28"/>
      <c r="K52" s="28"/>
      <c r="M52" s="28"/>
      <c r="O52" s="270"/>
      <c r="Q52" s="28" t="s">
        <v>299</v>
      </c>
      <c r="S52" s="18"/>
      <c r="U52" s="18"/>
      <c r="W52" s="18"/>
      <c r="Y52" s="271"/>
      <c r="Z52" s="235"/>
      <c r="AB52" s="146"/>
      <c r="AC52" s="117"/>
      <c r="AD52" s="151"/>
      <c r="AF52" s="154"/>
      <c r="AH52" s="154"/>
      <c r="AJ52" s="154"/>
      <c r="AL52" s="153"/>
      <c r="AN52" s="154"/>
      <c r="AP52" s="154"/>
      <c r="AR52" s="154"/>
      <c r="AS52" s="154"/>
      <c r="AT52" s="153"/>
      <c r="AV52" s="153"/>
      <c r="AW52" s="273"/>
      <c r="AX52" s="155"/>
      <c r="AZ52" s="146"/>
      <c r="BA52" s="117"/>
      <c r="BB52" s="154"/>
      <c r="BD52" s="154"/>
      <c r="BF52" s="153"/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20-year Nominal Levelized at 6.91%</v>
      </c>
      <c r="E58" s="169"/>
      <c r="G58" s="18">
        <f>+-PMT($G$18,$G$14,NPV($G$18,G28:G56))</f>
        <v>36817.989359249899</v>
      </c>
      <c r="I58" s="28">
        <f>+-PMT($G$18,$G$14,NPV($G$18,I28:I56))</f>
        <v>0</v>
      </c>
      <c r="J58" s="28"/>
      <c r="K58" s="28">
        <f>+-PMT($G$18,$G$14,NPV($G$18,K28:K56))</f>
        <v>46.33515412859721</v>
      </c>
      <c r="M58" s="28">
        <f>+-PMT($G$18,$G$14,NPV($G$18,M28:M56))</f>
        <v>0</v>
      </c>
      <c r="O58" s="28">
        <f>+-PMT($G$18,$G$14,NPV($G$18,O28:O56))</f>
        <v>1.0166251298389934</v>
      </c>
      <c r="Q58" s="28">
        <f>+-PMT($G$18,$G$14,NPV($G$18,Q28:Q56))</f>
        <v>0</v>
      </c>
      <c r="S58" s="18">
        <f>+-PMT($G$18,$G$14,NPV($G$18,S28:S56))</f>
        <v>1749.2904990977061</v>
      </c>
      <c r="U58" s="18">
        <f>+-PMT($G$18,$G$14,NPV($G$18,U28:U56))</f>
        <v>2308.1861000949484</v>
      </c>
      <c r="W58" s="18">
        <f>+-PMT($G$18,$G$14,NPV($G$18,W28:W56))</f>
        <v>-558.89560099724258</v>
      </c>
      <c r="Y58" s="271">
        <f>+-PMT($G$18,$G$14,NPV($G$18,Y28:Y56))</f>
        <v>-23.525723259751</v>
      </c>
      <c r="Z58" s="235"/>
      <c r="AB58" s="2"/>
      <c r="AD58" s="151">
        <f>+-PMT($G$18,$G$14,NPV($G$18,AD28:AD56))</f>
        <v>36817.989359249899</v>
      </c>
      <c r="AF58" s="154">
        <f>+-PMT($G$18,$G$14,NPV($G$18,AF28:AF56))</f>
        <v>111.23855642114968</v>
      </c>
      <c r="AH58" s="154">
        <f>+-PMT($G$18,$G$14,NPV($G$18,AH28:AH56))</f>
        <v>23.30520457158109</v>
      </c>
      <c r="AJ58" s="154">
        <f>+-PMT($G$18,$G$14,NPV($G$18,AJ28:AJ56))</f>
        <v>2.6807434712684581</v>
      </c>
      <c r="AL58" s="153">
        <f>+-PMT($G$18,$G$14,NPV($G$18,AL28:AL56))</f>
        <v>951.53956942496654</v>
      </c>
      <c r="AN58" s="154">
        <f>+-PMT($G$18,$G$14,NPV($G$18,AN28:AN56))</f>
        <v>3.7522917437315124</v>
      </c>
      <c r="AP58" s="154">
        <f>+-PMT($G$18,$G$14,NPV($G$18,AP28:AP56))</f>
        <v>24.393268969533302</v>
      </c>
      <c r="AR58" s="154">
        <f>+-PMT($G$18,$G$14,NPV($G$18,AR28:AR56))</f>
        <v>2.7672133226230979</v>
      </c>
      <c r="AS58" s="154"/>
      <c r="AT58" s="153">
        <f>+-PMT($G$18,$G$14,NPV($G$18,AT28:AT56))</f>
        <v>1282.1446337573661</v>
      </c>
      <c r="AV58" s="153">
        <f>+-PMT($G$18,$G$14,NPV($G$18,AV28:AV56))</f>
        <v>1026.0414663375818</v>
      </c>
      <c r="AW58" s="273"/>
      <c r="AX58" s="155">
        <f>+-PMT($G$18,$G$14,NPV($G$18,AX28:AX56))</f>
        <v>2308.1861000949484</v>
      </c>
      <c r="AZ58" s="2"/>
      <c r="BB58" s="154">
        <f>+-PMT($G$18,$G$14,NPV($G$18,BB28:BB56))</f>
        <v>71.161193023978882</v>
      </c>
      <c r="BD58" s="154">
        <f>+-PMT($G$18,$G$14,NPV($G$18,BD28:BD56))</f>
        <v>8.0169258308534879</v>
      </c>
      <c r="BF58" s="153">
        <f>+-PMT($G$18,$G$14,NPV($G$18,BF28:BF56))</f>
        <v>-330.60506433239959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D4D0A-693E-40D2-A6FF-541EB751585C}">
  <sheetPr codeName="Sheet36">
    <tabColor theme="0" tint="-0.249977111117893"/>
    <pageSetUpPr fitToPage="1"/>
  </sheetPr>
  <dimension ref="A1:BL81"/>
  <sheetViews>
    <sheetView workbookViewId="0"/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231" customFormat="1">
      <c r="A1" s="231" t="s">
        <v>0</v>
      </c>
    </row>
    <row r="2" spans="1:64" s="231" customFormat="1">
      <c r="A2" s="231" t="s">
        <v>143</v>
      </c>
    </row>
    <row r="3" spans="1:64" s="231" customFormat="1">
      <c r="A3" s="231" t="s">
        <v>1</v>
      </c>
    </row>
    <row r="4" spans="1:64" s="231" customFormat="1"/>
    <row r="5" spans="1:64" s="231" customFormat="1"/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85" t="s">
        <v>96</v>
      </c>
      <c r="AO8" s="386"/>
      <c r="AP8" s="386"/>
      <c r="AQ8" s="386"/>
      <c r="AR8" s="386"/>
      <c r="AS8" s="386"/>
      <c r="AT8" s="386"/>
      <c r="AU8" s="386"/>
      <c r="AV8" s="386"/>
      <c r="AW8" s="387"/>
      <c r="AZ8" s="244" t="s">
        <v>97</v>
      </c>
      <c r="BA8" s="245"/>
      <c r="BB8" s="245"/>
      <c r="BC8" s="245"/>
      <c r="BD8" s="245"/>
      <c r="BE8" s="246"/>
      <c r="BG8" s="385" t="s">
        <v>97</v>
      </c>
      <c r="BH8" s="386"/>
      <c r="BI8" s="386"/>
      <c r="BJ8" s="386"/>
      <c r="BK8" s="386"/>
      <c r="BL8" s="38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436"/>
      <c r="AO9" s="437"/>
      <c r="AP9" s="437"/>
      <c r="AQ9" s="437"/>
      <c r="AR9" s="438"/>
      <c r="AS9" s="437"/>
      <c r="AT9" s="437"/>
      <c r="AU9" s="437"/>
      <c r="AV9" s="439"/>
      <c r="AW9" s="440"/>
      <c r="AZ9" s="116"/>
      <c r="BA9" s="117"/>
      <c r="BB9" s="117"/>
      <c r="BC9" s="117"/>
      <c r="BD9" s="118"/>
      <c r="BE9" s="121"/>
      <c r="BG9" s="436"/>
      <c r="BH9" s="437"/>
      <c r="BI9" s="437"/>
      <c r="BJ9" s="437"/>
      <c r="BK9" s="438"/>
      <c r="BL9" s="441"/>
    </row>
    <row r="10" spans="1:64" ht="12">
      <c r="B10" s="250"/>
      <c r="C10" s="231" t="s">
        <v>98</v>
      </c>
      <c r="D10" s="231"/>
      <c r="E10" s="231"/>
      <c r="F10" s="231"/>
      <c r="G10" s="251" t="s">
        <v>213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230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388" t="s">
        <v>230</v>
      </c>
      <c r="BH10" s="389"/>
      <c r="BI10" s="389"/>
      <c r="BJ10" s="389"/>
      <c r="BK10" s="390"/>
      <c r="BL10" s="398"/>
    </row>
    <row r="11" spans="1:64" ht="12">
      <c r="B11" s="250"/>
      <c r="C11" s="231" t="s">
        <v>31</v>
      </c>
      <c r="D11" s="231"/>
      <c r="E11" s="231"/>
      <c r="F11" s="231"/>
      <c r="G11" s="251">
        <v>99</v>
      </c>
      <c r="H11" s="252"/>
      <c r="I11" s="348">
        <v>99</v>
      </c>
      <c r="AB11" s="122" t="s">
        <v>99</v>
      </c>
      <c r="AC11" s="123"/>
      <c r="AD11" s="123"/>
      <c r="AE11" s="123"/>
      <c r="AF11" s="134">
        <f>+G11*(G12/AJ16)</f>
        <v>81.060205019462771</v>
      </c>
      <c r="AG11" s="127"/>
      <c r="AH11" s="123" t="s">
        <v>100</v>
      </c>
      <c r="AI11" s="124"/>
      <c r="AJ11" s="129">
        <v>7.9126910299003335</v>
      </c>
      <c r="AK11" s="235"/>
      <c r="AN11" s="444" t="s">
        <v>99</v>
      </c>
      <c r="AO11" s="445"/>
      <c r="AP11" s="445"/>
      <c r="AQ11" s="445"/>
      <c r="AR11" s="446">
        <f>+I11*(I12/AV16)</f>
        <v>58.636382729686517</v>
      </c>
      <c r="AS11" s="447"/>
      <c r="AT11" s="445" t="s">
        <v>100</v>
      </c>
      <c r="AU11" s="448"/>
      <c r="AV11" s="396">
        <f>'(2.1)_Proxy Resources'!N53</f>
        <v>19.805241420865066</v>
      </c>
      <c r="AW11" s="235"/>
      <c r="AZ11" s="122" t="s">
        <v>99</v>
      </c>
      <c r="BA11" s="123"/>
      <c r="BB11" s="123"/>
      <c r="BC11" s="123"/>
      <c r="BD11" s="134">
        <f>(AF11*AF13-G11*B19)</f>
        <v>81.060205019462771</v>
      </c>
      <c r="BE11" s="130"/>
      <c r="BG11" s="444" t="s">
        <v>99</v>
      </c>
      <c r="BH11" s="445"/>
      <c r="BI11" s="445"/>
      <c r="BJ11" s="445"/>
      <c r="BK11" s="368">
        <f>(AR11*AR13-I11*I19)</f>
        <v>42.994382729686521</v>
      </c>
      <c r="BL11" s="449"/>
    </row>
    <row r="12" spans="1:64" ht="12">
      <c r="B12" s="250"/>
      <c r="C12" s="231" t="s">
        <v>32</v>
      </c>
      <c r="D12" s="231"/>
      <c r="E12" s="231"/>
      <c r="F12" s="231"/>
      <c r="G12" s="254">
        <v>0.39867725922522457</v>
      </c>
      <c r="H12" s="252"/>
      <c r="I12" s="349">
        <v>0.41629209998963307</v>
      </c>
      <c r="AB12" s="122" t="s">
        <v>32</v>
      </c>
      <c r="AC12" s="123"/>
      <c r="AD12" s="123"/>
      <c r="AE12" s="123"/>
      <c r="AF12" s="131">
        <f>+AD53/8760/AF11</f>
        <v>0.55320061592312697</v>
      </c>
      <c r="AG12" s="127"/>
      <c r="AH12" s="117" t="s">
        <v>101</v>
      </c>
      <c r="AI12" s="118"/>
      <c r="AJ12" s="117">
        <v>2006</v>
      </c>
      <c r="AK12" s="235"/>
      <c r="AN12" s="444" t="s">
        <v>32</v>
      </c>
      <c r="AO12" s="445"/>
      <c r="AP12" s="445"/>
      <c r="AQ12" s="445"/>
      <c r="AR12" s="131">
        <f>AD70/8760/AR11</f>
        <v>0.71153014408148108</v>
      </c>
      <c r="AS12" s="447"/>
      <c r="AT12" s="437" t="s">
        <v>101</v>
      </c>
      <c r="AU12" s="438"/>
      <c r="AV12" s="450">
        <v>2016</v>
      </c>
      <c r="AW12" s="235"/>
      <c r="AZ12" s="122"/>
      <c r="BA12" s="123"/>
      <c r="BB12" s="123"/>
      <c r="BC12" s="123"/>
      <c r="BD12" s="539"/>
      <c r="BE12" s="132"/>
      <c r="BG12" s="444"/>
      <c r="BH12" s="445"/>
      <c r="BI12" s="445"/>
      <c r="BJ12" s="445"/>
      <c r="BK12" s="451"/>
      <c r="BL12" s="452"/>
    </row>
    <row r="13" spans="1:64" ht="12">
      <c r="B13" s="250"/>
      <c r="C13" s="231" t="s">
        <v>33</v>
      </c>
      <c r="D13" s="231"/>
      <c r="E13" s="231"/>
      <c r="F13" s="231"/>
      <c r="G13" s="251">
        <v>2009</v>
      </c>
      <c r="H13" s="252"/>
      <c r="I13" s="350">
        <v>2019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N13" s="444" t="s">
        <v>102</v>
      </c>
      <c r="AO13" s="445"/>
      <c r="AP13" s="445"/>
      <c r="AQ13" s="445"/>
      <c r="AR13" s="453">
        <v>1</v>
      </c>
      <c r="AS13" s="447"/>
      <c r="AT13" s="437" t="s">
        <v>103</v>
      </c>
      <c r="AU13" s="438"/>
      <c r="AV13" s="396">
        <f>'(2.1)_Proxy Resources'!O53</f>
        <v>2.02116486562735</v>
      </c>
      <c r="AW13" s="235"/>
      <c r="AZ13" s="122" t="s">
        <v>102</v>
      </c>
      <c r="BA13" s="123"/>
      <c r="BB13" s="123"/>
      <c r="BC13" s="123"/>
      <c r="BD13" s="540">
        <v>1</v>
      </c>
      <c r="BE13" s="132"/>
      <c r="BG13" s="444" t="s">
        <v>102</v>
      </c>
      <c r="BH13" s="445"/>
      <c r="BI13" s="445"/>
      <c r="BJ13" s="445"/>
      <c r="BK13" s="453">
        <v>1</v>
      </c>
      <c r="BL13" s="452"/>
    </row>
    <row r="14" spans="1:64" ht="12">
      <c r="B14" s="250"/>
      <c r="C14" s="231" t="s">
        <v>34</v>
      </c>
      <c r="D14" s="231"/>
      <c r="E14" s="231"/>
      <c r="F14" s="231"/>
      <c r="G14" s="251">
        <v>25</v>
      </c>
      <c r="H14" s="252"/>
      <c r="I14" s="351">
        <v>30</v>
      </c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N14" s="444" t="s">
        <v>104</v>
      </c>
      <c r="AO14" s="445"/>
      <c r="AP14" s="445"/>
      <c r="AQ14" s="445"/>
      <c r="AR14" s="454">
        <f>'(2.1)_Proxy Resources'!H53</f>
        <v>6414.883554173548</v>
      </c>
      <c r="AS14" s="447"/>
      <c r="AT14" s="437"/>
      <c r="AU14" s="438"/>
      <c r="AV14" s="396"/>
      <c r="AW14" s="235"/>
      <c r="AZ14" s="122" t="s">
        <v>105</v>
      </c>
      <c r="BA14" s="123"/>
      <c r="BB14" s="123"/>
      <c r="BC14" s="123"/>
      <c r="BD14" s="135">
        <v>454</v>
      </c>
      <c r="BE14" s="132"/>
      <c r="BG14" s="444" t="s">
        <v>232</v>
      </c>
      <c r="BH14" s="445"/>
      <c r="BI14" s="445"/>
      <c r="BJ14" s="445"/>
      <c r="BK14" s="397">
        <f>'(2.1)_Proxy Resources'!J54</f>
        <v>702</v>
      </c>
      <c r="BL14" s="452"/>
    </row>
    <row r="15" spans="1:64" ht="12">
      <c r="A15" t="s">
        <v>138</v>
      </c>
      <c r="B15" s="250"/>
      <c r="C15" s="231" t="s">
        <v>107</v>
      </c>
      <c r="D15" s="231"/>
      <c r="E15" s="231"/>
      <c r="F15" s="231"/>
      <c r="G15" s="255">
        <f>2077*0.081654</f>
        <v>169.595358</v>
      </c>
      <c r="H15" s="252"/>
      <c r="I15" s="382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N15" s="444" t="s">
        <v>231</v>
      </c>
      <c r="AO15" s="445"/>
      <c r="AP15" s="445"/>
      <c r="AQ15" s="445"/>
      <c r="AR15" s="397">
        <f>'(2.1)_Proxy Resources'!J53</f>
        <v>1362.6215812395926</v>
      </c>
      <c r="AS15" s="447"/>
      <c r="AT15" s="437" t="s">
        <v>141</v>
      </c>
      <c r="AU15" s="438"/>
      <c r="AV15" s="396">
        <f>'(2.1)_Proxy Resources'!P53</f>
        <v>2.2807762714164963</v>
      </c>
      <c r="AW15" s="235"/>
      <c r="AZ15" s="122" t="s">
        <v>108</v>
      </c>
      <c r="BA15" s="123"/>
      <c r="BB15" s="123"/>
      <c r="BC15" s="123"/>
      <c r="BD15" s="541">
        <f>'(2.1)_Proxy Resources'!D54</f>
        <v>0.33</v>
      </c>
      <c r="BE15" s="132"/>
      <c r="BG15" s="444" t="s">
        <v>108</v>
      </c>
      <c r="BH15" s="445"/>
      <c r="BI15" s="445"/>
      <c r="BJ15" s="445"/>
      <c r="BK15" s="455">
        <f>'(2.1)_Proxy Resources'!K54</f>
        <v>7.3700000000000002E-2</v>
      </c>
      <c r="BL15" s="452"/>
    </row>
    <row r="16" spans="1:64" ht="12">
      <c r="A16" t="s">
        <v>138</v>
      </c>
      <c r="B16" s="250"/>
      <c r="C16" s="231" t="s">
        <v>109</v>
      </c>
      <c r="D16" s="231"/>
      <c r="E16" s="231"/>
      <c r="F16" s="231"/>
      <c r="G16" s="255">
        <v>3.0226001759568999</v>
      </c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N16" s="444" t="s">
        <v>108</v>
      </c>
      <c r="AO16" s="445"/>
      <c r="AP16" s="445"/>
      <c r="AQ16" s="445"/>
      <c r="AR16" s="455">
        <f>'(2.1)_Proxy Resources'!K52</f>
        <v>7.2562879502455491E-2</v>
      </c>
      <c r="AS16" s="447"/>
      <c r="AT16" s="437" t="s">
        <v>110</v>
      </c>
      <c r="AU16" s="448"/>
      <c r="AV16" s="456">
        <f>'(2.1)_Proxy Resources'!D53</f>
        <v>0.70285573530285894</v>
      </c>
      <c r="AW16" s="235"/>
      <c r="AZ16" s="122" t="s">
        <v>100</v>
      </c>
      <c r="BA16" s="124"/>
      <c r="BB16" s="129">
        <v>5.75</v>
      </c>
      <c r="BE16" s="130"/>
      <c r="BG16" s="444" t="s">
        <v>100</v>
      </c>
      <c r="BH16" s="448"/>
      <c r="BI16" s="396">
        <f>'(2.1)_Proxy Resources'!L54</f>
        <v>15.97</v>
      </c>
      <c r="BL16" s="449"/>
    </row>
    <row r="17" spans="1:64" ht="12">
      <c r="A17" t="s">
        <v>138</v>
      </c>
      <c r="B17" s="250"/>
      <c r="C17" s="231" t="s">
        <v>111</v>
      </c>
      <c r="D17" s="231"/>
      <c r="E17" s="231"/>
      <c r="F17" s="231"/>
      <c r="G17" s="255">
        <v>0</v>
      </c>
      <c r="H17" s="252"/>
      <c r="AB17" s="2"/>
      <c r="AG17" s="127"/>
      <c r="AI17" s="127"/>
      <c r="AJ17" s="123"/>
      <c r="AK17" s="130"/>
      <c r="AN17" s="2"/>
      <c r="AS17" s="447"/>
      <c r="AU17" s="447"/>
      <c r="AV17" s="445"/>
      <c r="AW17" s="449"/>
      <c r="AZ17" s="116" t="s">
        <v>101</v>
      </c>
      <c r="BA17" s="118"/>
      <c r="BB17" s="117">
        <v>2006</v>
      </c>
      <c r="BE17" s="128"/>
      <c r="BG17" s="436" t="s">
        <v>101</v>
      </c>
      <c r="BH17" s="438"/>
      <c r="BI17" s="450">
        <v>2016</v>
      </c>
      <c r="BL17" s="457"/>
    </row>
    <row r="18" spans="1:64" ht="12">
      <c r="B18" s="250"/>
      <c r="C18" s="231" t="s">
        <v>112</v>
      </c>
      <c r="D18" s="231"/>
      <c r="E18" s="231"/>
      <c r="F18" s="231"/>
      <c r="G18" s="254">
        <v>7.3164524549999999E-2</v>
      </c>
      <c r="H18" s="252"/>
      <c r="I18" s="458">
        <f>'(2.2)_Forward_Price_Curve'!AA8</f>
        <v>6.5699999999999995E-2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459"/>
      <c r="AO18" s="460"/>
      <c r="AP18" s="460"/>
      <c r="AQ18" s="460"/>
      <c r="AR18" s="460"/>
      <c r="AS18" s="460"/>
      <c r="AT18" s="460"/>
      <c r="AU18" s="460"/>
      <c r="AV18" s="460"/>
      <c r="AW18" s="461"/>
      <c r="AZ18" s="138"/>
      <c r="BA18" s="139"/>
      <c r="BB18" s="139"/>
      <c r="BC18" s="139"/>
      <c r="BD18" s="139"/>
      <c r="BE18" s="141"/>
      <c r="BG18" s="459"/>
      <c r="BH18" s="460"/>
      <c r="BI18" s="460"/>
      <c r="BJ18" s="460"/>
      <c r="BK18" s="460"/>
      <c r="BL18" s="462"/>
    </row>
    <row r="19" spans="1:64" ht="12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s="458">
        <f>'(2.2)_Forward_Price_Curve'!L103</f>
        <v>0.158</v>
      </c>
    </row>
    <row r="20" spans="1:64">
      <c r="B20" s="231"/>
      <c r="C20" s="231"/>
      <c r="D20" s="231"/>
      <c r="E20" s="231"/>
      <c r="F20" s="231"/>
      <c r="G20" t="s">
        <v>113</v>
      </c>
      <c r="H20" s="231"/>
    </row>
    <row r="23" spans="1:64">
      <c r="B23" s="244"/>
      <c r="C23" s="241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v>2009</v>
      </c>
      <c r="E28" s="169">
        <f>'(2.2)_Forward_Price_Curve'!V23</f>
        <v>1.7000000000000001E-2</v>
      </c>
      <c r="G28" s="18">
        <v>303510</v>
      </c>
      <c r="I28" s="268">
        <f>$G$15</f>
        <v>169.595358</v>
      </c>
      <c r="J28" s="268"/>
      <c r="K28" s="268">
        <f>$G$16</f>
        <v>3.0226001759568999</v>
      </c>
      <c r="L28" s="269"/>
      <c r="M28" s="268">
        <f>$G$17</f>
        <v>0</v>
      </c>
      <c r="O28" s="270">
        <v>5.1866999999999992</v>
      </c>
      <c r="Q28" s="28">
        <v>-33.844219890731516</v>
      </c>
      <c r="S28" s="18">
        <f t="shared" ref="S28:S34" si="0">(I28*$G$11*1000+(K28+M28+O28+Q28)*G28)/1000</f>
        <v>9009.4859593687543</v>
      </c>
      <c r="U28" s="18">
        <f t="shared" ref="U28:U34" si="1">AX28</f>
        <v>20291.435149491492</v>
      </c>
      <c r="W28" s="18">
        <f t="shared" ref="W28:W34" si="2">S28-U28</f>
        <v>-11281.949190122737</v>
      </c>
      <c r="Y28" s="271">
        <f t="shared" ref="Y28:Y34" si="3">+W28*1000/G28</f>
        <v>-37.171589700908491</v>
      </c>
      <c r="Z28" s="235"/>
      <c r="AB28" s="146">
        <f>$C$28</f>
        <v>2009</v>
      </c>
      <c r="AC28" s="117"/>
      <c r="AD28" s="151">
        <f t="shared" ref="AD28:AD68" si="4">G28</f>
        <v>303510</v>
      </c>
      <c r="AF28" s="152">
        <v>58.163412158772744</v>
      </c>
      <c r="AG28" s="272"/>
      <c r="AH28" s="152">
        <v>8.2001037061794015</v>
      </c>
      <c r="AI28" s="272"/>
      <c r="AJ28" s="152">
        <v>2.3050946065283835</v>
      </c>
      <c r="AK28" s="272"/>
      <c r="AL28" s="153">
        <f>((AF28+AH28)*$AF$11*1000+AJ28*AD28)/1000</f>
        <v>6079.0594658528216</v>
      </c>
      <c r="AN28" s="154">
        <f>INDEX('(2.2)_Forward_Price_Curve'!$I:$I,MATCH($AB28,'(2.2)_Forward_Price_Curve'!$C:$C,0),1)</f>
        <v>7.7758276535043622</v>
      </c>
      <c r="AO28" s="279"/>
      <c r="AP28" s="154">
        <f t="shared" ref="AP28:AP68" si="5">AN28*$AF$14/1000</f>
        <v>56.499329593768707</v>
      </c>
      <c r="AQ28" s="272"/>
      <c r="AR28" s="152">
        <v>2.3860545125109165</v>
      </c>
      <c r="AS28" s="152"/>
      <c r="AT28" s="153">
        <f t="shared" ref="AT28:AT68" si="6">AL28-BF28</f>
        <v>2419.1322193945639</v>
      </c>
      <c r="AU28" s="272"/>
      <c r="AV28" s="153">
        <f t="shared" ref="AV28:AV68" si="7">(AP28+AR28)*AD28/1000</f>
        <v>17872.302930096928</v>
      </c>
      <c r="AW28" s="273"/>
      <c r="AX28" s="155">
        <f t="shared" ref="AX28:AX68" si="8">AT28+AV28</f>
        <v>20291.435149491492</v>
      </c>
      <c r="AZ28" s="146">
        <f>$C$28</f>
        <v>2009</v>
      </c>
      <c r="BA28" s="117"/>
      <c r="BB28" s="152">
        <v>39.191870478599988</v>
      </c>
      <c r="BD28" s="152">
        <v>5.9588572499999986</v>
      </c>
      <c r="BE28" s="272"/>
      <c r="BF28" s="153">
        <f t="shared" ref="BF28:BF68" si="9">(BB28+BD28)*$BD$11</f>
        <v>3659.9272464582577</v>
      </c>
      <c r="BG28" s="272"/>
      <c r="BH28" s="156"/>
    </row>
    <row r="29" spans="1:64" ht="12">
      <c r="B29" s="2"/>
      <c r="C29">
        <f>+IF(C28&gt;$G$13+$G$14,XX,C28+1)</f>
        <v>2010</v>
      </c>
      <c r="E29" s="169">
        <f>'(2.2)_Forward_Price_Curve'!V24</f>
        <v>1.9E-2</v>
      </c>
      <c r="G29" s="18">
        <v>324123</v>
      </c>
      <c r="I29" s="28">
        <f t="shared" ref="I29:I37" si="10">I28*(1+$E29)</f>
        <v>172.81766980199998</v>
      </c>
      <c r="K29" s="28">
        <f t="shared" ref="K29:K37" si="11">K28*(1+$E29)</f>
        <v>3.0800295793000809</v>
      </c>
      <c r="M29" s="28">
        <f t="shared" ref="M29:M37" si="12">M28*(1+$E29)</f>
        <v>0</v>
      </c>
      <c r="O29" s="270">
        <v>5.2748738999999985</v>
      </c>
      <c r="Q29" s="28">
        <v>-35.45584940933778</v>
      </c>
      <c r="S29" s="18">
        <f t="shared" si="0"/>
        <v>8324.9094127163862</v>
      </c>
      <c r="U29" s="18">
        <f t="shared" si="1"/>
        <v>20911.600282219599</v>
      </c>
      <c r="W29" s="18">
        <f t="shared" si="2"/>
        <v>-12586.690869503213</v>
      </c>
      <c r="Y29" s="271">
        <f t="shared" si="3"/>
        <v>-38.83306914197145</v>
      </c>
      <c r="Z29" s="235"/>
      <c r="AB29" s="146">
        <f>+IF(AB28&gt;$G$13+$G$14,XX,AB28+1)</f>
        <v>2010</v>
      </c>
      <c r="AC29" s="117"/>
      <c r="AD29" s="151">
        <f t="shared" si="4"/>
        <v>324123</v>
      </c>
      <c r="AF29" s="154">
        <f t="shared" ref="AF29:AF37" si="13">AF28*(1+$E29)</f>
        <v>59.268516989789418</v>
      </c>
      <c r="AH29" s="154">
        <f t="shared" ref="AH29:AH37" si="14">AH28*(1+$E29)</f>
        <v>8.3559056765968087</v>
      </c>
      <c r="AJ29" s="154">
        <f t="shared" ref="AJ29:AJ37" si="15">AJ28*(1+$E29)</f>
        <v>2.3488914040524227</v>
      </c>
      <c r="AL29" s="153">
        <f t="shared" ref="AL29:AL66" si="16">((AF29+AH29)*$AF$11*1000+AJ29*AD29)/1000</f>
        <v>6242.9792942157555</v>
      </c>
      <c r="AN29" s="154">
        <f>INDEX('(2.2)_Forward_Price_Curve'!$I:$I,MATCH($AB29,'(2.2)_Forward_Price_Curve'!$C:$C,0),1)</f>
        <v>7.4774457529777205</v>
      </c>
      <c r="AP29" s="154">
        <f t="shared" si="5"/>
        <v>54.331280339864243</v>
      </c>
      <c r="AR29" s="154">
        <f>AR28*(1+$E29)</f>
        <v>2.4313895482486236</v>
      </c>
      <c r="AS29" s="154"/>
      <c r="AT29" s="153">
        <f t="shared" si="6"/>
        <v>2513.5134300747914</v>
      </c>
      <c r="AV29" s="153">
        <f t="shared" si="7"/>
        <v>18398.086852144806</v>
      </c>
      <c r="AW29" s="273"/>
      <c r="AX29" s="155">
        <f t="shared" si="8"/>
        <v>20911.600282219599</v>
      </c>
      <c r="AZ29" s="146">
        <f>+IF(AZ28&gt;$G$13+$G$14,XX,AZ28+1)</f>
        <v>2010</v>
      </c>
      <c r="BA29" s="117"/>
      <c r="BB29" s="154">
        <f t="shared" ref="BB29:BB68" si="17">BB28*(1+$E29)</f>
        <v>39.936516017693386</v>
      </c>
      <c r="BD29" s="154">
        <f t="shared" ref="BD29:BD68" si="18">BD28*(1+$E29)</f>
        <v>6.0720755377499982</v>
      </c>
      <c r="BF29" s="153">
        <f t="shared" si="9"/>
        <v>3729.4658641409642</v>
      </c>
      <c r="BH29" s="157"/>
    </row>
    <row r="30" spans="1:64" ht="12">
      <c r="B30" s="2"/>
      <c r="C30">
        <f>+IF(C29&gt;$G$13+$G$14,XX,C29+1)</f>
        <v>2011</v>
      </c>
      <c r="E30" s="169">
        <f>'(2.2)_Forward_Price_Curve'!V25</f>
        <v>1.9E-2</v>
      </c>
      <c r="G30" s="18">
        <v>381679</v>
      </c>
      <c r="I30" s="28">
        <f t="shared" si="10"/>
        <v>176.10120552823795</v>
      </c>
      <c r="K30" s="28">
        <f t="shared" si="11"/>
        <v>3.1385501413067822</v>
      </c>
      <c r="M30" s="28">
        <f t="shared" si="12"/>
        <v>0</v>
      </c>
      <c r="O30" s="270">
        <v>5.3750965040999983</v>
      </c>
      <c r="Q30" s="28">
        <v>-35.45584940933778</v>
      </c>
      <c r="S30" s="18">
        <f t="shared" si="0"/>
        <v>7150.7463385611363</v>
      </c>
      <c r="U30" s="18">
        <f t="shared" si="1"/>
        <v>23285.496362615435</v>
      </c>
      <c r="W30" s="18">
        <f t="shared" si="2"/>
        <v>-16134.750024054298</v>
      </c>
      <c r="Y30" s="271">
        <f t="shared" si="3"/>
        <v>-42.273088181572206</v>
      </c>
      <c r="Z30" s="235"/>
      <c r="AB30" s="146">
        <f>+IF(AB29&gt;$G$13+$G$14,XX,AB29+1)</f>
        <v>2011</v>
      </c>
      <c r="AC30" s="117"/>
      <c r="AD30" s="151">
        <f t="shared" si="4"/>
        <v>381679</v>
      </c>
      <c r="AF30" s="154">
        <f t="shared" si="13"/>
        <v>60.394618812595411</v>
      </c>
      <c r="AH30" s="154">
        <f t="shared" si="14"/>
        <v>8.5146678844521482</v>
      </c>
      <c r="AJ30" s="154">
        <f t="shared" si="15"/>
        <v>2.3935203407294185</v>
      </c>
      <c r="AL30" s="153">
        <f t="shared" si="16"/>
        <v>6499.3573575368773</v>
      </c>
      <c r="AN30" s="154">
        <f>INDEX('(2.2)_Forward_Price_Curve'!$I:$I,MATCH($AB30,'(2.2)_Forward_Price_Curve'!$C:$C,0),1)</f>
        <v>7.0821436233211914</v>
      </c>
      <c r="AP30" s="154">
        <f t="shared" si="5"/>
        <v>51.459006633731178</v>
      </c>
      <c r="AR30" s="154">
        <f t="shared" ref="AR30:AR41" si="19">AR29*(1+$E30)</f>
        <v>2.4775859496653472</v>
      </c>
      <c r="AS30" s="154"/>
      <c r="AT30" s="153">
        <f t="shared" si="6"/>
        <v>2699.0316419772348</v>
      </c>
      <c r="AV30" s="153">
        <f t="shared" si="7"/>
        <v>20586.4647206382</v>
      </c>
      <c r="AW30" s="273"/>
      <c r="AX30" s="155">
        <f t="shared" si="8"/>
        <v>23285.496362615435</v>
      </c>
      <c r="AZ30" s="146">
        <f>+IF(AZ29&gt;$G$13+$G$14,XX,AZ29+1)</f>
        <v>2011</v>
      </c>
      <c r="BA30" s="117"/>
      <c r="BB30" s="154">
        <f t="shared" si="17"/>
        <v>40.695309822029557</v>
      </c>
      <c r="BD30" s="154">
        <f t="shared" si="18"/>
        <v>6.1874449729672474</v>
      </c>
      <c r="BF30" s="153">
        <f t="shared" si="9"/>
        <v>3800.3257155596425</v>
      </c>
      <c r="BH30" s="157"/>
    </row>
    <row r="31" spans="1:64" ht="12">
      <c r="B31" s="2"/>
      <c r="C31">
        <f>+IF(C30&gt;$G$13+$G$14,XX,C30+1)</f>
        <v>2012</v>
      </c>
      <c r="E31" s="169">
        <f>'(2.2)_Forward_Price_Curve'!V26</f>
        <v>0.02</v>
      </c>
      <c r="G31" s="18">
        <v>342192</v>
      </c>
      <c r="I31" s="28">
        <f t="shared" si="10"/>
        <v>179.62322963880271</v>
      </c>
      <c r="K31" s="28">
        <f t="shared" si="11"/>
        <v>3.2013211441329181</v>
      </c>
      <c r="M31" s="28">
        <f t="shared" si="12"/>
        <v>0</v>
      </c>
      <c r="O31" s="270">
        <v>5.4772233376778976</v>
      </c>
      <c r="Q31" s="28">
        <v>-35.45584940933778</v>
      </c>
      <c r="S31" s="18">
        <f t="shared" si="0"/>
        <v>8619.7202064811645</v>
      </c>
      <c r="U31" s="18">
        <f t="shared" si="1"/>
        <v>20186.224763822931</v>
      </c>
      <c r="W31" s="18">
        <f t="shared" si="2"/>
        <v>-11566.504557341766</v>
      </c>
      <c r="Y31" s="271">
        <f t="shared" si="3"/>
        <v>-33.801212644777685</v>
      </c>
      <c r="Z31" s="235"/>
      <c r="AB31" s="146">
        <f>+IF(AB30&gt;$G$13+$G$14,XX,AB30+1)</f>
        <v>2012</v>
      </c>
      <c r="AC31" s="117"/>
      <c r="AD31" s="151">
        <f t="shared" si="4"/>
        <v>342192</v>
      </c>
      <c r="AF31" s="154">
        <f t="shared" si="13"/>
        <v>61.602511188847323</v>
      </c>
      <c r="AH31" s="154">
        <f t="shared" si="14"/>
        <v>8.6849612421411919</v>
      </c>
      <c r="AJ31" s="154">
        <f t="shared" si="15"/>
        <v>2.4413907475440069</v>
      </c>
      <c r="AL31" s="153">
        <f t="shared" si="16"/>
        <v>6532.9413082393457</v>
      </c>
      <c r="AN31" s="154">
        <f>INDEX('(2.2)_Forward_Price_Curve'!$I:$I,MATCH($AB31,'(2.2)_Forward_Price_Curve'!$C:$C,0),1)</f>
        <v>6.7024699037828679</v>
      </c>
      <c r="AP31" s="154">
        <f t="shared" si="5"/>
        <v>48.700289288881038</v>
      </c>
      <c r="AR31" s="154">
        <f t="shared" si="19"/>
        <v>2.527137668658654</v>
      </c>
      <c r="AS31" s="154"/>
      <c r="AT31" s="153">
        <f t="shared" si="6"/>
        <v>2656.6090783685104</v>
      </c>
      <c r="AV31" s="153">
        <f t="shared" si="7"/>
        <v>17529.615685454421</v>
      </c>
      <c r="AW31" s="273"/>
      <c r="AX31" s="155">
        <f t="shared" si="8"/>
        <v>20186.224763822931</v>
      </c>
      <c r="AZ31" s="146">
        <f>+IF(AZ30&gt;$G$13+$G$14,XX,AZ30+1)</f>
        <v>2012</v>
      </c>
      <c r="BA31" s="117"/>
      <c r="BB31" s="154">
        <f t="shared" si="17"/>
        <v>41.509216018470148</v>
      </c>
      <c r="BD31" s="154">
        <f t="shared" si="18"/>
        <v>6.3111938724265926</v>
      </c>
      <c r="BF31" s="153">
        <f t="shared" si="9"/>
        <v>3876.3322298708354</v>
      </c>
      <c r="BH31" s="157"/>
    </row>
    <row r="32" spans="1:64" ht="12">
      <c r="B32" s="2"/>
      <c r="C32">
        <f>+IF(C31&gt;$G$13+$G$14,XX,C31+1)</f>
        <v>2013</v>
      </c>
      <c r="E32" s="169">
        <f>'(2.2)_Forward_Price_Curve'!V27</f>
        <v>1.9E-2</v>
      </c>
      <c r="G32" s="18">
        <v>346319</v>
      </c>
      <c r="I32" s="28">
        <f t="shared" si="10"/>
        <v>183.03607100193994</v>
      </c>
      <c r="K32" s="28">
        <f t="shared" si="11"/>
        <v>3.2621462458714432</v>
      </c>
      <c r="M32" s="28">
        <f t="shared" si="12"/>
        <v>0</v>
      </c>
      <c r="O32" s="270">
        <v>5.5867678044314557</v>
      </c>
      <c r="Q32" s="28">
        <v>-37.067478927944045</v>
      </c>
      <c r="S32" s="18">
        <f t="shared" si="0"/>
        <v>8347.9458593322524</v>
      </c>
      <c r="U32" s="18">
        <f t="shared" si="1"/>
        <v>20467.525470886601</v>
      </c>
      <c r="W32" s="18">
        <f t="shared" si="2"/>
        <v>-12119.579611554349</v>
      </c>
      <c r="Y32" s="271">
        <f t="shared" si="3"/>
        <v>-34.995422173066878</v>
      </c>
      <c r="Z32" s="235"/>
      <c r="AB32" s="146">
        <f>+IF(AB31&gt;$G$13+$G$14,XX,AB31+1)</f>
        <v>2013</v>
      </c>
      <c r="AC32" s="117"/>
      <c r="AD32" s="151">
        <f t="shared" si="4"/>
        <v>346319</v>
      </c>
      <c r="AF32" s="154">
        <f t="shared" si="13"/>
        <v>62.772958901435416</v>
      </c>
      <c r="AH32" s="154">
        <f t="shared" si="14"/>
        <v>8.8499755057418739</v>
      </c>
      <c r="AJ32" s="154">
        <f t="shared" si="15"/>
        <v>2.4877771717473429</v>
      </c>
      <c r="AL32" s="153">
        <f t="shared" si="16"/>
        <v>6667.3342494836934</v>
      </c>
      <c r="AN32" s="154">
        <f>INDEX('(2.2)_Forward_Price_Curve'!$I:$I,MATCH($AB32,'(2.2)_Forward_Price_Curve'!$C:$C,0),1)</f>
        <v>6.6994948806584134</v>
      </c>
      <c r="AP32" s="154">
        <f t="shared" si="5"/>
        <v>48.678672707399592</v>
      </c>
      <c r="AR32" s="154">
        <f t="shared" si="19"/>
        <v>2.5751532843631684</v>
      </c>
      <c r="AS32" s="154"/>
      <c r="AT32" s="153">
        <f t="shared" si="6"/>
        <v>2717.3517072453128</v>
      </c>
      <c r="AV32" s="153">
        <f t="shared" si="7"/>
        <v>17750.173763641287</v>
      </c>
      <c r="AW32" s="273"/>
      <c r="AX32" s="155">
        <f t="shared" si="8"/>
        <v>20467.525470886601</v>
      </c>
      <c r="AZ32" s="146">
        <f>+IF(AZ31&gt;$G$13+$G$14,XX,AZ31+1)</f>
        <v>2013</v>
      </c>
      <c r="BA32" s="117"/>
      <c r="BB32" s="154">
        <f t="shared" si="17"/>
        <v>42.297891122821078</v>
      </c>
      <c r="BD32" s="154">
        <f t="shared" si="18"/>
        <v>6.431106556002697</v>
      </c>
      <c r="BF32" s="153">
        <f t="shared" si="9"/>
        <v>3949.9825422383806</v>
      </c>
      <c r="BH32" s="157"/>
    </row>
    <row r="33" spans="2:60" ht="12">
      <c r="B33" s="2"/>
      <c r="C33">
        <f>+IF(C32&gt;$G$13+$G$14,XX,C32+1)</f>
        <v>2014</v>
      </c>
      <c r="E33" s="169">
        <f>'(2.2)_Forward_Price_Curve'!V28</f>
        <v>1.7999999999999999E-2</v>
      </c>
      <c r="G33" s="18">
        <v>349598</v>
      </c>
      <c r="I33" s="28">
        <f t="shared" si="10"/>
        <v>186.33072027997486</v>
      </c>
      <c r="K33" s="28">
        <f t="shared" si="11"/>
        <v>3.3208648782971291</v>
      </c>
      <c r="M33" s="28">
        <f t="shared" si="12"/>
        <v>0</v>
      </c>
      <c r="O33" s="270">
        <v>5.6929163927156532</v>
      </c>
      <c r="Q33" s="28">
        <v>-37.067478927944045</v>
      </c>
      <c r="S33" s="18">
        <f t="shared" si="0"/>
        <v>8639.2247142496581</v>
      </c>
      <c r="U33" s="18">
        <f t="shared" si="1"/>
        <v>21253.912995425824</v>
      </c>
      <c r="W33" s="18">
        <f t="shared" si="2"/>
        <v>-12614.688281176166</v>
      </c>
      <c r="Y33" s="271">
        <f t="shared" si="3"/>
        <v>-36.08341089244265</v>
      </c>
      <c r="Z33" s="235"/>
      <c r="AB33" s="146">
        <f>+IF(AB32&gt;$G$13+$G$14,XX,AB32+1)</f>
        <v>2014</v>
      </c>
      <c r="AC33" s="117"/>
      <c r="AD33" s="151">
        <f t="shared" si="4"/>
        <v>349598</v>
      </c>
      <c r="AF33" s="154">
        <f t="shared" si="13"/>
        <v>63.902872161661257</v>
      </c>
      <c r="AH33" s="154">
        <f t="shared" si="14"/>
        <v>9.0092750648452284</v>
      </c>
      <c r="AJ33" s="154">
        <f t="shared" si="15"/>
        <v>2.5325571608387953</v>
      </c>
      <c r="AL33" s="153">
        <f t="shared" si="16"/>
        <v>6795.6505209047909</v>
      </c>
      <c r="AN33" s="154">
        <f>INDEX('(2.2)_Forward_Price_Curve'!$I:$I,MATCH($AB33,'(2.2)_Forward_Price_Curve'!$C:$C,0),1)</f>
        <v>6.9140085811973453</v>
      </c>
      <c r="AP33" s="154">
        <f t="shared" si="5"/>
        <v>50.2373338312307</v>
      </c>
      <c r="AR33" s="154">
        <f t="shared" si="19"/>
        <v>2.6215060434817055</v>
      </c>
      <c r="AS33" s="154"/>
      <c r="AT33" s="153">
        <f t="shared" si="6"/>
        <v>2774.5682929061195</v>
      </c>
      <c r="AV33" s="153">
        <f t="shared" si="7"/>
        <v>18479.344702519706</v>
      </c>
      <c r="AW33" s="273"/>
      <c r="AX33" s="155">
        <f t="shared" si="8"/>
        <v>21253.912995425824</v>
      </c>
      <c r="AZ33" s="146">
        <f>+IF(AZ32&gt;$G$13+$G$14,XX,AZ32+1)</f>
        <v>2014</v>
      </c>
      <c r="BA33" s="117"/>
      <c r="BB33" s="154">
        <f t="shared" si="17"/>
        <v>43.059253163031855</v>
      </c>
      <c r="BD33" s="154">
        <f t="shared" si="18"/>
        <v>6.5468664740107458</v>
      </c>
      <c r="BF33" s="153">
        <f t="shared" si="9"/>
        <v>4021.0822279986714</v>
      </c>
      <c r="BH33" s="157"/>
    </row>
    <row r="34" spans="2:60" ht="12">
      <c r="B34" s="2"/>
      <c r="C34">
        <f>+IF(C33&gt;$G$13+$G$14,XX,C33+1)</f>
        <v>2015</v>
      </c>
      <c r="E34" s="169">
        <f>'(2.2)_Forward_Price_Curve'!V29</f>
        <v>1.7999999999999999E-2</v>
      </c>
      <c r="G34" s="18">
        <v>349596</v>
      </c>
      <c r="I34" s="28">
        <f t="shared" si="10"/>
        <v>189.68467324501441</v>
      </c>
      <c r="K34" s="28">
        <f t="shared" si="11"/>
        <v>3.3806404461064776</v>
      </c>
      <c r="M34" s="28">
        <f t="shared" si="12"/>
        <v>0</v>
      </c>
      <c r="O34" s="270">
        <v>5.7953888877845348</v>
      </c>
      <c r="Q34" s="28">
        <v>-37.067478927944045</v>
      </c>
      <c r="S34" s="18">
        <f t="shared" si="0"/>
        <v>9028.0434389738621</v>
      </c>
      <c r="U34" s="18">
        <f t="shared" si="1"/>
        <v>22342.387199846737</v>
      </c>
      <c r="W34" s="18">
        <f t="shared" si="2"/>
        <v>-13314.343760872875</v>
      </c>
      <c r="Y34" s="271">
        <f t="shared" si="3"/>
        <v>-38.084943079648724</v>
      </c>
      <c r="Z34" s="235"/>
      <c r="AB34" s="146">
        <f>+IF(AB33&gt;$G$13+$G$14,XX,AB33+1)</f>
        <v>2015</v>
      </c>
      <c r="AC34" s="117"/>
      <c r="AD34" s="151">
        <f t="shared" si="4"/>
        <v>349596</v>
      </c>
      <c r="AF34" s="154">
        <f t="shared" si="13"/>
        <v>65.053123860571162</v>
      </c>
      <c r="AH34" s="154">
        <f t="shared" si="14"/>
        <v>9.1714420160124419</v>
      </c>
      <c r="AJ34" s="154">
        <f t="shared" si="15"/>
        <v>2.5781431897338938</v>
      </c>
      <c r="AL34" s="153">
        <f t="shared" si="16"/>
        <v>6917.9670739946978</v>
      </c>
      <c r="AN34" s="154">
        <f>INDEX('(2.2)_Forward_Price_Curve'!$I:$I,MATCH($AB34,'(2.2)_Forward_Price_Curve'!$C:$C,0),1)</f>
        <v>7.3164011858738007</v>
      </c>
      <c r="AP34" s="154">
        <f t="shared" si="5"/>
        <v>53.161127080102943</v>
      </c>
      <c r="AR34" s="154">
        <f t="shared" si="19"/>
        <v>2.6686931522643764</v>
      </c>
      <c r="AS34" s="154"/>
      <c r="AT34" s="153">
        <f t="shared" si="6"/>
        <v>2824.5053658920501</v>
      </c>
      <c r="AV34" s="153">
        <f t="shared" si="7"/>
        <v>19517.881833954685</v>
      </c>
      <c r="AW34" s="273"/>
      <c r="AX34" s="155">
        <f t="shared" si="8"/>
        <v>22342.387199846737</v>
      </c>
      <c r="AZ34" s="146">
        <f>+IF(AZ33&gt;$G$13+$G$14,XX,AZ33+1)</f>
        <v>2015</v>
      </c>
      <c r="BA34" s="117"/>
      <c r="BB34" s="154">
        <f t="shared" si="17"/>
        <v>43.83431971996643</v>
      </c>
      <c r="BD34" s="154">
        <f t="shared" si="18"/>
        <v>6.664710070542939</v>
      </c>
      <c r="BF34" s="153">
        <f t="shared" si="9"/>
        <v>4093.4617081026477</v>
      </c>
      <c r="BH34" s="157"/>
    </row>
    <row r="35" spans="2:60" ht="12">
      <c r="B35" s="2"/>
      <c r="C35">
        <f>+IF(C34&gt;$G$13+$G$14,XX,C34+1)</f>
        <v>2016</v>
      </c>
      <c r="E35" s="169">
        <f>'(2.2)_Forward_Price_Curve'!V30</f>
        <v>1.7999999999999999E-2</v>
      </c>
      <c r="G35" s="18">
        <v>350687</v>
      </c>
      <c r="I35" s="28">
        <f t="shared" si="10"/>
        <v>193.09899736342467</v>
      </c>
      <c r="K35" s="28">
        <f t="shared" si="11"/>
        <v>3.4414919741363943</v>
      </c>
      <c r="M35" s="28">
        <f t="shared" si="12"/>
        <v>0</v>
      </c>
      <c r="O35" s="270">
        <v>5.8997058877646564</v>
      </c>
      <c r="Q35" s="28">
        <v>-37.067478927944045</v>
      </c>
      <c r="S35" s="18">
        <f t="shared" ref="S35:S68" si="20">(I35*$G$11*1000+(K35+M35+O35+Q35)*G35)/1000</f>
        <v>9393.5544107716269</v>
      </c>
      <c r="U35" s="18">
        <f t="shared" ref="U35:U68" si="21">AX35</f>
        <v>24014.891448962313</v>
      </c>
      <c r="W35" s="18">
        <f t="shared" ref="W35:W68" si="22">S35-U35</f>
        <v>-14621.337038190686</v>
      </c>
      <c r="Y35" s="271">
        <f t="shared" ref="Y35:Y68" si="23">+W35*1000/G35</f>
        <v>-41.693410471989793</v>
      </c>
      <c r="Z35" s="235"/>
      <c r="AB35" s="146">
        <f>+IF(AB34&gt;$G$13+$G$14,XX,AB34+1)</f>
        <v>2016</v>
      </c>
      <c r="AC35" s="117"/>
      <c r="AD35" s="151">
        <f t="shared" si="4"/>
        <v>350687</v>
      </c>
      <c r="AF35" s="154">
        <f t="shared" si="13"/>
        <v>66.224080090061449</v>
      </c>
      <c r="AH35" s="154">
        <f t="shared" si="14"/>
        <v>9.3365279723006669</v>
      </c>
      <c r="AJ35" s="154">
        <f t="shared" si="15"/>
        <v>2.6245497671491038</v>
      </c>
      <c r="AL35" s="153">
        <f t="shared" si="16"/>
        <v>7045.3538651225626</v>
      </c>
      <c r="AN35" s="154">
        <f>INDEX('(2.2)_Forward_Price_Curve'!$I:$I,MATCH($AB35,'(2.2)_Forward_Price_Curve'!$C:$C,0),1)</f>
        <v>7.9211828417083421</v>
      </c>
      <c r="AP35" s="154">
        <f t="shared" si="5"/>
        <v>57.555483491778489</v>
      </c>
      <c r="AR35" s="154">
        <f t="shared" si="19"/>
        <v>2.716729629005135</v>
      </c>
      <c r="AS35" s="154"/>
      <c r="AT35" s="153">
        <f t="shared" si="6"/>
        <v>2878.2098462740678</v>
      </c>
      <c r="AV35" s="153">
        <f t="shared" si="7"/>
        <v>21136.681602688244</v>
      </c>
      <c r="AW35" s="273"/>
      <c r="AX35" s="155">
        <f t="shared" si="8"/>
        <v>24014.891448962313</v>
      </c>
      <c r="AZ35" s="146">
        <f>+IF(AZ34&gt;$G$13+$G$14,XX,AZ34+1)</f>
        <v>2016</v>
      </c>
      <c r="BA35" s="117"/>
      <c r="BB35" s="154">
        <f t="shared" si="17"/>
        <v>44.623337474925826</v>
      </c>
      <c r="BD35" s="154">
        <f t="shared" si="18"/>
        <v>6.7846748518127118</v>
      </c>
      <c r="BF35" s="153">
        <f t="shared" si="9"/>
        <v>4167.1440188484949</v>
      </c>
      <c r="BH35" s="157"/>
    </row>
    <row r="36" spans="2:60" ht="12">
      <c r="B36" s="2"/>
      <c r="C36">
        <f>+IF(C35&gt;$G$13+$G$14,XX,C35+1)</f>
        <v>2017</v>
      </c>
      <c r="E36" s="169">
        <f>'(2.2)_Forward_Price_Curve'!V31</f>
        <v>1.7999999999999999E-2</v>
      </c>
      <c r="G36" s="18">
        <v>349596</v>
      </c>
      <c r="I36" s="28">
        <f t="shared" si="10"/>
        <v>196.57477931596631</v>
      </c>
      <c r="K36" s="28">
        <f t="shared" si="11"/>
        <v>3.5034388296708494</v>
      </c>
      <c r="M36" s="28">
        <f t="shared" si="12"/>
        <v>0</v>
      </c>
      <c r="O36" s="270">
        <v>6.0059005937444203</v>
      </c>
      <c r="Q36" s="28">
        <v>-38.679108446550309</v>
      </c>
      <c r="S36" s="18">
        <f t="shared" si="20"/>
        <v>9263.2685808687493</v>
      </c>
      <c r="U36" s="18">
        <f t="shared" si="21"/>
        <v>25604.182727109888</v>
      </c>
      <c r="W36" s="18">
        <f t="shared" si="22"/>
        <v>-16340.914146241139</v>
      </c>
      <c r="Y36" s="271">
        <f t="shared" si="23"/>
        <v>-46.742280078265026</v>
      </c>
      <c r="Z36" s="235"/>
      <c r="AB36" s="146">
        <f>+IF(AB35&gt;$G$13+$G$14,XX,AB35+1)</f>
        <v>2017</v>
      </c>
      <c r="AC36" s="117"/>
      <c r="AD36" s="151">
        <f t="shared" si="4"/>
        <v>349596</v>
      </c>
      <c r="AF36" s="154">
        <f t="shared" si="13"/>
        <v>67.416113531682555</v>
      </c>
      <c r="AH36" s="154">
        <f t="shared" si="14"/>
        <v>9.5045854758020791</v>
      </c>
      <c r="AJ36" s="154">
        <f t="shared" si="15"/>
        <v>2.6717916629577876</v>
      </c>
      <c r="AL36" s="153">
        <f t="shared" si="16"/>
        <v>7169.2553099904817</v>
      </c>
      <c r="AN36" s="154">
        <f>INDEX('(2.2)_Forward_Price_Curve'!$I:$I,MATCH($AB36,'(2.2)_Forward_Price_Curve'!$C:$C,0),1)</f>
        <v>8.5467545643478058</v>
      </c>
      <c r="AP36" s="154">
        <f t="shared" si="5"/>
        <v>62.100900972324112</v>
      </c>
      <c r="AR36" s="154">
        <f t="shared" si="19"/>
        <v>2.7656307623272274</v>
      </c>
      <c r="AS36" s="154"/>
      <c r="AT36" s="153">
        <f t="shared" si="6"/>
        <v>2927.1026988027133</v>
      </c>
      <c r="AV36" s="153">
        <f t="shared" si="7"/>
        <v>22677.080028307173</v>
      </c>
      <c r="AW36" s="273"/>
      <c r="AX36" s="155">
        <f t="shared" si="8"/>
        <v>25604.182727109888</v>
      </c>
      <c r="AZ36" s="146">
        <f>+IF(AZ35&gt;$G$13+$G$14,XX,AZ35+1)</f>
        <v>2017</v>
      </c>
      <c r="BA36" s="117"/>
      <c r="BB36" s="154">
        <f t="shared" si="17"/>
        <v>45.426557549474495</v>
      </c>
      <c r="BD36" s="154">
        <f t="shared" si="18"/>
        <v>6.9067989991453409</v>
      </c>
      <c r="BF36" s="153">
        <f t="shared" si="9"/>
        <v>4242.1526111877683</v>
      </c>
      <c r="BH36" s="157"/>
    </row>
    <row r="37" spans="2:60" ht="12">
      <c r="B37" s="2"/>
      <c r="C37">
        <f>+IF(C36&gt;$G$13+$G$14,XX,C36+1)</f>
        <v>2018</v>
      </c>
      <c r="E37" s="169">
        <f>'(2.2)_Forward_Price_Curve'!V32</f>
        <v>1.7999999999999999E-2</v>
      </c>
      <c r="G37" s="18">
        <v>349596</v>
      </c>
      <c r="I37" s="28">
        <f t="shared" si="10"/>
        <v>200.11312534365371</v>
      </c>
      <c r="K37" s="28">
        <f t="shared" si="11"/>
        <v>3.5665007286049248</v>
      </c>
      <c r="M37" s="28">
        <f t="shared" si="12"/>
        <v>0</v>
      </c>
      <c r="O37" s="270">
        <v>6.1140068044318197</v>
      </c>
      <c r="Q37" s="28">
        <v>-31.824751700635172</v>
      </c>
      <c r="S37" s="18">
        <f t="shared" si="20"/>
        <v>12069.660225005977</v>
      </c>
      <c r="U37" s="18">
        <f t="shared" si="21"/>
        <v>27097.771775812824</v>
      </c>
      <c r="W37" s="18">
        <f t="shared" si="22"/>
        <v>-15028.111550806847</v>
      </c>
      <c r="Y37" s="271">
        <f t="shared" si="23"/>
        <v>-42.987080947170007</v>
      </c>
      <c r="Z37" s="235"/>
      <c r="AB37" s="146">
        <f>+IF(AB36&gt;$G$13+$G$14,XX,AB36+1)</f>
        <v>2018</v>
      </c>
      <c r="AC37" s="117"/>
      <c r="AD37" s="151">
        <f t="shared" si="4"/>
        <v>349596</v>
      </c>
      <c r="AF37" s="154">
        <f t="shared" si="13"/>
        <v>68.629603575252844</v>
      </c>
      <c r="AH37" s="154">
        <f t="shared" si="14"/>
        <v>9.6756680143665168</v>
      </c>
      <c r="AJ37" s="154">
        <f t="shared" si="15"/>
        <v>2.7198839128910279</v>
      </c>
      <c r="AL37" s="153">
        <f t="shared" si="16"/>
        <v>7298.3019055703107</v>
      </c>
      <c r="AN37" s="154">
        <f>INDEX('(2.2)_Forward_Price_Curve'!$I:$I,MATCH($AB37,'(2.2)_Forward_Price_Curve'!$C:$C,0),1)</f>
        <v>9.1071488375904099</v>
      </c>
      <c r="AP37" s="154">
        <f t="shared" si="5"/>
        <v>66.172737715275218</v>
      </c>
      <c r="AR37" s="154">
        <f t="shared" si="19"/>
        <v>2.8154121160491177</v>
      </c>
      <c r="AS37" s="154"/>
      <c r="AT37" s="153">
        <f t="shared" si="6"/>
        <v>2979.7905473811625</v>
      </c>
      <c r="AV37" s="153">
        <f t="shared" si="7"/>
        <v>24117.981228431661</v>
      </c>
      <c r="AW37" s="273"/>
      <c r="AX37" s="155">
        <f t="shared" si="8"/>
        <v>27097.771775812824</v>
      </c>
      <c r="AZ37" s="146">
        <f>+IF(AZ36&gt;$G$13+$G$14,XX,AZ36+1)</f>
        <v>2018</v>
      </c>
      <c r="BA37" s="117"/>
      <c r="BB37" s="154">
        <f t="shared" si="17"/>
        <v>46.24423558536504</v>
      </c>
      <c r="BD37" s="154">
        <f t="shared" si="18"/>
        <v>7.0311213811299575</v>
      </c>
      <c r="BF37" s="153">
        <f t="shared" si="9"/>
        <v>4318.5113581891483</v>
      </c>
      <c r="BH37" s="157"/>
    </row>
    <row r="38" spans="2:60" ht="12">
      <c r="B38" s="2"/>
      <c r="C38" s="353">
        <f>+IF(C37&gt;$G$13+$G$14,XX,C37+1)</f>
        <v>2019</v>
      </c>
      <c r="E38" s="355">
        <v>1.7999999999999999E-2</v>
      </c>
      <c r="G38" s="357">
        <v>368070.78481012658</v>
      </c>
      <c r="I38" s="538">
        <v>238.27266463045132</v>
      </c>
      <c r="K38" s="464">
        <v>14.390175303445638</v>
      </c>
      <c r="M38" s="28">
        <f t="shared" ref="M38:M68" si="24">M37*(1+$E38)</f>
        <v>0</v>
      </c>
      <c r="O38" s="464">
        <v>6.2240589269115922</v>
      </c>
      <c r="Q38" s="464">
        <v>-22.222056156447483</v>
      </c>
      <c r="S38" s="18">
        <f t="shared" si="20"/>
        <v>22997.201520243711</v>
      </c>
      <c r="U38" s="18">
        <f t="shared" si="21"/>
        <v>32826.708371178363</v>
      </c>
      <c r="W38" s="18">
        <f t="shared" si="22"/>
        <v>-9829.5068509346529</v>
      </c>
      <c r="Y38" s="271">
        <f t="shared" si="23"/>
        <v>-26.705479643012996</v>
      </c>
      <c r="Z38" s="235"/>
      <c r="AB38" s="377">
        <f>+IF(AB37&gt;$G$13+$G$14,XX,AB37+1)</f>
        <v>2019</v>
      </c>
      <c r="AC38" s="117"/>
      <c r="AD38" s="151">
        <f t="shared" si="4"/>
        <v>368070.78481012658</v>
      </c>
      <c r="AF38" s="399">
        <f>AR15*AR16</f>
        <v>98.875745606933918</v>
      </c>
      <c r="AH38" s="399">
        <f>AV11</f>
        <v>19.805241420865066</v>
      </c>
      <c r="AJ38" s="399">
        <f>AV13</f>
        <v>2.02116486562735</v>
      </c>
      <c r="AL38" s="153">
        <f t="shared" si="16"/>
        <v>10364.236878707699</v>
      </c>
      <c r="AN38" s="399">
        <f>INDEX('(2.2)_Forward_Price_Curve'!$I:$I,MATCH($AB38,'(2.2)_Forward_Price_Curve'!$C:$C,0),1)</f>
        <v>9.7289597532905745</v>
      </c>
      <c r="AP38" s="154">
        <f t="shared" si="5"/>
        <v>70.69082909237946</v>
      </c>
      <c r="AR38" s="399">
        <f>AV15</f>
        <v>2.2807762714164963</v>
      </c>
      <c r="AS38" s="154"/>
      <c r="AT38" s="153">
        <f t="shared" si="6"/>
        <v>5967.992316071146</v>
      </c>
      <c r="AV38" s="153">
        <f t="shared" si="7"/>
        <v>26858.716055107219</v>
      </c>
      <c r="AW38" s="273"/>
      <c r="AX38" s="155">
        <f t="shared" si="8"/>
        <v>32826.708371178363</v>
      </c>
      <c r="AZ38" s="383">
        <f>+IF(AZ37&gt;$G$13+$G$14,XX,AZ37+1)</f>
        <v>2019</v>
      </c>
      <c r="BA38" s="117"/>
      <c r="BB38" s="399">
        <f t="shared" si="17"/>
        <v>47.076631825901615</v>
      </c>
      <c r="BD38" s="399">
        <f t="shared" si="18"/>
        <v>7.1576815659902966</v>
      </c>
      <c r="BF38" s="153">
        <f t="shared" si="9"/>
        <v>4396.2445626365534</v>
      </c>
      <c r="BH38" s="157"/>
    </row>
    <row r="39" spans="2:60" ht="12">
      <c r="B39" s="2"/>
      <c r="C39" s="354">
        <f>+IF(C38&gt;$I$13+$I$14,XX,C38+1)</f>
        <v>2020</v>
      </c>
      <c r="E39" s="356">
        <f>'(2.2)_Forward_Price_Curve'!S33</f>
        <v>2.3E-2</v>
      </c>
      <c r="G39" s="470">
        <v>392836.78481012664</v>
      </c>
      <c r="I39" s="360">
        <v>281.49229111056701</v>
      </c>
      <c r="K39" s="471">
        <v>16.979618102602799</v>
      </c>
      <c r="M39" s="28">
        <f t="shared" si="24"/>
        <v>0</v>
      </c>
      <c r="O39" s="471">
        <v>0.63</v>
      </c>
      <c r="Q39" s="471">
        <v>-33.150783021494966</v>
      </c>
      <c r="S39" s="18">
        <f t="shared" si="20"/>
        <v>21762.5955610046</v>
      </c>
      <c r="U39" s="18">
        <f t="shared" si="21"/>
        <v>14763.892076010816</v>
      </c>
      <c r="W39" s="18">
        <f t="shared" si="22"/>
        <v>6998.7034849937845</v>
      </c>
      <c r="Y39" s="271">
        <f t="shared" si="23"/>
        <v>17.815804821782489</v>
      </c>
      <c r="Z39" s="235"/>
      <c r="AB39" s="378">
        <f>+IF(AB38&gt;$I$13+$I$14,XX,AB38+1)</f>
        <v>2020</v>
      </c>
      <c r="AC39" s="117"/>
      <c r="AD39" s="151">
        <f t="shared" si="4"/>
        <v>392836.78481012664</v>
      </c>
      <c r="AF39" s="154">
        <f t="shared" ref="AF39:AF68" si="25">AF38*(1+$E39)</f>
        <v>101.14988775589339</v>
      </c>
      <c r="AH39" s="154">
        <f t="shared" ref="AH39:AH68" si="26">AH38*(1+$E39)</f>
        <v>20.260761973544962</v>
      </c>
      <c r="AJ39" s="154">
        <f t="shared" ref="AJ39:AJ68" si="27">AJ38*(1+$E39)</f>
        <v>2.0676516575367789</v>
      </c>
      <c r="AL39" s="153">
        <f t="shared" si="16"/>
        <v>10653.821787868532</v>
      </c>
      <c r="AN39" s="154">
        <f>INDEX('(2.2)_Forward_Price_Curve'!$K:$K,MATCH($AB39,'(2.2)_Forward_Price_Curve'!$C:$C,0),1)</f>
        <v>2.6944208333333339</v>
      </c>
      <c r="AP39" s="154">
        <f t="shared" si="5"/>
        <v>19.577719248729689</v>
      </c>
      <c r="AR39" s="154">
        <f>AR38*(1+$E39)</f>
        <v>2.3332341256590756</v>
      </c>
      <c r="AS39" s="154"/>
      <c r="AT39" s="153">
        <f t="shared" si="6"/>
        <v>6156.4636002913376</v>
      </c>
      <c r="AV39" s="153">
        <f t="shared" si="7"/>
        <v>8607.4284757194782</v>
      </c>
      <c r="AW39" s="273"/>
      <c r="AX39" s="155">
        <f t="shared" si="8"/>
        <v>14763.892076010816</v>
      </c>
      <c r="AZ39" s="384">
        <f>+IF(AZ38&gt;$I$13+$I$14,XX,AZ38+1)</f>
        <v>2020</v>
      </c>
      <c r="BA39" s="117"/>
      <c r="BB39" s="154">
        <f t="shared" si="17"/>
        <v>48.159394357897348</v>
      </c>
      <c r="BD39" s="154">
        <f t="shared" si="18"/>
        <v>7.3223082420080727</v>
      </c>
      <c r="BF39" s="153">
        <f t="shared" si="9"/>
        <v>4497.3581875771943</v>
      </c>
      <c r="BH39" s="157"/>
    </row>
    <row r="40" spans="2:60" ht="12">
      <c r="B40" s="2"/>
      <c r="C40" s="354">
        <f>+IF(C39&gt;$I$13+$I$14,XX,C39+1)</f>
        <v>2021</v>
      </c>
      <c r="E40" s="356">
        <f>'(2.2)_Forward_Price_Curve'!S34</f>
        <v>2.5999999999999999E-2</v>
      </c>
      <c r="G40" s="470">
        <v>392820.78481012658</v>
      </c>
      <c r="I40" s="360">
        <v>288.26659496340233</v>
      </c>
      <c r="K40" s="471">
        <v>17.339623120297329</v>
      </c>
      <c r="M40" s="28">
        <f t="shared" si="24"/>
        <v>0</v>
      </c>
      <c r="O40" s="471">
        <v>0.6399999999999999</v>
      </c>
      <c r="Q40" s="471">
        <v>-34.476814342354764</v>
      </c>
      <c r="S40" s="18">
        <f t="shared" si="20"/>
        <v>22057.953298365501</v>
      </c>
      <c r="U40" s="18">
        <f t="shared" si="21"/>
        <v>15467.853370949226</v>
      </c>
      <c r="W40" s="18">
        <f t="shared" si="22"/>
        <v>6590.099927416275</v>
      </c>
      <c r="Y40" s="271">
        <f t="shared" si="23"/>
        <v>16.776352429013293</v>
      </c>
      <c r="Z40" s="235"/>
      <c r="AB40" s="378">
        <f>+IF(AB39&gt;$I$13+$I$14,XX,AB39+1)</f>
        <v>2021</v>
      </c>
      <c r="AC40" s="117"/>
      <c r="AD40" s="151">
        <f t="shared" si="4"/>
        <v>392820.78481012658</v>
      </c>
      <c r="AF40" s="154">
        <f t="shared" si="25"/>
        <v>103.77978483754661</v>
      </c>
      <c r="AH40" s="154">
        <f t="shared" si="26"/>
        <v>20.787541784857133</v>
      </c>
      <c r="AJ40" s="154">
        <f t="shared" si="27"/>
        <v>2.1214106006327351</v>
      </c>
      <c r="AL40" s="153">
        <f t="shared" si="16"/>
        <v>10930.787211783505</v>
      </c>
      <c r="AN40" s="154">
        <f>INDEX('(2.2)_Forward_Price_Curve'!$K:$K,MATCH($AB40,'(2.2)_Forward_Price_Curve'!$C:$C,0),1)</f>
        <v>2.8767624999999999</v>
      </c>
      <c r="AP40" s="154">
        <f t="shared" si="5"/>
        <v>20.902617688194734</v>
      </c>
      <c r="AR40" s="154">
        <f t="shared" si="19"/>
        <v>2.3938982129262119</v>
      </c>
      <c r="AS40" s="154"/>
      <c r="AT40" s="153">
        <f t="shared" si="6"/>
        <v>6316.4977113293035</v>
      </c>
      <c r="AV40" s="153">
        <f t="shared" si="7"/>
        <v>9151.3556596199232</v>
      </c>
      <c r="AW40" s="273"/>
      <c r="AX40" s="155">
        <f t="shared" si="8"/>
        <v>15467.853370949226</v>
      </c>
      <c r="AZ40" s="384">
        <f>+IF(AZ39&gt;$I$13+$I$14,XX,AZ39+1)</f>
        <v>2021</v>
      </c>
      <c r="BA40" s="117"/>
      <c r="BB40" s="154">
        <f t="shared" si="17"/>
        <v>49.41153861120268</v>
      </c>
      <c r="BD40" s="154">
        <f t="shared" si="18"/>
        <v>7.512688256300283</v>
      </c>
      <c r="BF40" s="153">
        <f t="shared" si="9"/>
        <v>4614.2895004542015</v>
      </c>
      <c r="BH40" s="157"/>
    </row>
    <row r="41" spans="2:60" ht="12">
      <c r="B41" s="2"/>
      <c r="C41" s="354">
        <f>+IF(C40&gt;$I$13+$I$14,XX,C40+1)</f>
        <v>2022</v>
      </c>
      <c r="E41" s="356">
        <f>'(2.2)_Forward_Price_Curve'!S35</f>
        <v>2.4E-2</v>
      </c>
      <c r="G41" s="470">
        <v>392820.78481012658</v>
      </c>
      <c r="I41" s="360">
        <v>294.78867814634958</v>
      </c>
      <c r="K41" s="471">
        <v>17.738434452064169</v>
      </c>
      <c r="M41" s="28">
        <f t="shared" si="24"/>
        <v>0</v>
      </c>
      <c r="O41" s="471">
        <v>0.66</v>
      </c>
      <c r="Q41" s="471">
        <v>-34.476814342354764</v>
      </c>
      <c r="S41" s="18">
        <f t="shared" si="20"/>
        <v>22868.1573295093</v>
      </c>
      <c r="U41" s="18">
        <f t="shared" si="21"/>
        <v>16021.894385273317</v>
      </c>
      <c r="W41" s="18">
        <f t="shared" si="22"/>
        <v>6846.262944235983</v>
      </c>
      <c r="Y41" s="271">
        <f t="shared" si="23"/>
        <v>17.428464096025838</v>
      </c>
      <c r="Z41" s="235"/>
      <c r="AB41" s="378">
        <f>+IF(AB40&gt;$I$13+$I$14,XX,AB40+1)</f>
        <v>2022</v>
      </c>
      <c r="AC41" s="117"/>
      <c r="AD41" s="151">
        <f t="shared" si="4"/>
        <v>392820.78481012658</v>
      </c>
      <c r="AF41" s="154">
        <f t="shared" si="25"/>
        <v>106.27049967364773</v>
      </c>
      <c r="AH41" s="154">
        <f t="shared" si="26"/>
        <v>21.286442787693705</v>
      </c>
      <c r="AJ41" s="154">
        <f t="shared" si="27"/>
        <v>2.1723244550479208</v>
      </c>
      <c r="AL41" s="153">
        <f t="shared" si="16"/>
        <v>11193.126104866307</v>
      </c>
      <c r="AN41" s="154">
        <f>INDEX('(2.2)_Forward_Price_Curve'!$K:$K,MATCH($AB41,'(2.2)_Forward_Price_Curve'!$C:$C,0),1)</f>
        <v>3.0098541666666665</v>
      </c>
      <c r="AP41" s="154">
        <f t="shared" si="5"/>
        <v>21.869664577125601</v>
      </c>
      <c r="AR41" s="154">
        <f t="shared" si="19"/>
        <v>2.4513517700364411</v>
      </c>
      <c r="AS41" s="154"/>
      <c r="AT41" s="153">
        <f t="shared" si="6"/>
        <v>6468.0936564012054</v>
      </c>
      <c r="AV41" s="153">
        <f t="shared" si="7"/>
        <v>9553.800728872111</v>
      </c>
      <c r="AW41" s="273"/>
      <c r="AX41" s="155">
        <f t="shared" si="8"/>
        <v>16021.894385273317</v>
      </c>
      <c r="AZ41" s="384">
        <f>+IF(AZ40&gt;$I$13+$I$14,XX,AZ40+1)</f>
        <v>2022</v>
      </c>
      <c r="BA41" s="117"/>
      <c r="BB41" s="154">
        <f t="shared" si="17"/>
        <v>50.597415537871548</v>
      </c>
      <c r="BD41" s="154">
        <f t="shared" si="18"/>
        <v>7.6929927744514899</v>
      </c>
      <c r="BF41" s="153">
        <f t="shared" si="9"/>
        <v>4725.0324484651019</v>
      </c>
      <c r="BH41" s="157"/>
    </row>
    <row r="42" spans="2:60" ht="12">
      <c r="B42" s="2"/>
      <c r="C42" s="354">
        <f>+IF(C41&gt;$I$13+$I$14,XX,C41+1)</f>
        <v>2023</v>
      </c>
      <c r="E42" s="356">
        <f>'(2.2)_Forward_Price_Curve'!S36</f>
        <v>2.3E-2</v>
      </c>
      <c r="G42" s="470">
        <v>392820.78481012658</v>
      </c>
      <c r="I42" s="360">
        <v>301.24574167731419</v>
      </c>
      <c r="K42" s="471">
        <v>18.146418444461641</v>
      </c>
      <c r="M42" s="28">
        <f t="shared" si="24"/>
        <v>0</v>
      </c>
      <c r="O42" s="471">
        <v>0.67</v>
      </c>
      <c r="Q42" s="471">
        <v>-35.802845663214569</v>
      </c>
      <c r="S42" s="18">
        <f t="shared" si="20"/>
        <v>23150.706754863484</v>
      </c>
      <c r="U42" s="18">
        <f t="shared" si="21"/>
        <v>17526.441914162286</v>
      </c>
      <c r="W42" s="18">
        <f t="shared" si="22"/>
        <v>5624.2648407011984</v>
      </c>
      <c r="Y42" s="271">
        <f t="shared" si="23"/>
        <v>14.317635568646747</v>
      </c>
      <c r="Z42" s="235"/>
      <c r="AB42" s="378">
        <f>+IF(AB41&gt;$I$13+$I$14,XX,AB41+1)</f>
        <v>2023</v>
      </c>
      <c r="AC42" s="117"/>
      <c r="AD42" s="151">
        <f t="shared" si="4"/>
        <v>392820.78481012658</v>
      </c>
      <c r="AF42" s="154">
        <f t="shared" si="25"/>
        <v>108.71472116614163</v>
      </c>
      <c r="AH42" s="154">
        <f t="shared" si="26"/>
        <v>21.776030971810659</v>
      </c>
      <c r="AJ42" s="154">
        <f t="shared" si="27"/>
        <v>2.2222879175140227</v>
      </c>
      <c r="AL42" s="153">
        <f t="shared" si="16"/>
        <v>11450.568005278232</v>
      </c>
      <c r="AN42" s="154">
        <f>INDEX('(2.2)_Forward_Price_Curve'!$K:$K,MATCH($AB42,'(2.2)_Forward_Price_Curve'!$C:$C,0),1)</f>
        <v>3.4771000000000001</v>
      </c>
      <c r="AP42" s="154">
        <f t="shared" si="5"/>
        <v>25.264682768779807</v>
      </c>
      <c r="AR42" s="154">
        <f t="shared" ref="AR42:AR68" si="28">AR41*(1+$E42)</f>
        <v>2.5077328607472791</v>
      </c>
      <c r="AS42" s="154"/>
      <c r="AT42" s="153">
        <f t="shared" si="6"/>
        <v>6616.8598104984321</v>
      </c>
      <c r="AV42" s="153">
        <f t="shared" si="7"/>
        <v>10909.582103663855</v>
      </c>
      <c r="AW42" s="273"/>
      <c r="AX42" s="155">
        <f t="shared" si="8"/>
        <v>17526.441914162286</v>
      </c>
      <c r="AZ42" s="384">
        <f>+IF(AZ41&gt;$I$13+$I$14,XX,AZ41+1)</f>
        <v>2023</v>
      </c>
      <c r="BA42" s="117"/>
      <c r="BB42" s="154">
        <f t="shared" si="17"/>
        <v>51.76115609524259</v>
      </c>
      <c r="BD42" s="154">
        <f t="shared" si="18"/>
        <v>7.8699316082638733</v>
      </c>
      <c r="BF42" s="153">
        <f t="shared" si="9"/>
        <v>4833.7081947797997</v>
      </c>
      <c r="BH42" s="157"/>
    </row>
    <row r="43" spans="2:60" ht="12">
      <c r="B43" s="2"/>
      <c r="C43" s="354">
        <f>+IF(C42&gt;$I$13+$I$14,XX,C42+1)</f>
        <v>2024</v>
      </c>
      <c r="E43" s="356">
        <f>'(2.2)_Forward_Price_Curve'!S37</f>
        <v>2.3E-2</v>
      </c>
      <c r="G43" s="470">
        <v>392836.78481012664</v>
      </c>
      <c r="I43" s="360">
        <v>307.84517922422941</v>
      </c>
      <c r="K43" s="471">
        <v>18.614645756543666</v>
      </c>
      <c r="M43" s="28">
        <f t="shared" si="24"/>
        <v>0</v>
      </c>
      <c r="O43" s="471">
        <v>0.69</v>
      </c>
      <c r="Q43" s="471">
        <v>-35.802845663214569</v>
      </c>
      <c r="S43" s="18">
        <f t="shared" si="20"/>
        <v>23995.572936707384</v>
      </c>
      <c r="U43" s="18">
        <f t="shared" si="21"/>
        <v>19062.394463891247</v>
      </c>
      <c r="W43" s="18">
        <f t="shared" si="22"/>
        <v>4933.1784728161365</v>
      </c>
      <c r="Y43" s="271">
        <f t="shared" si="23"/>
        <v>12.557832320108552</v>
      </c>
      <c r="Z43" s="235"/>
      <c r="AB43" s="378">
        <f>+IF(AB42&gt;$I$13+$I$14,XX,AB42+1)</f>
        <v>2024</v>
      </c>
      <c r="AC43" s="117"/>
      <c r="AD43" s="151">
        <f t="shared" si="4"/>
        <v>392836.78481012664</v>
      </c>
      <c r="AF43" s="154">
        <f t="shared" si="25"/>
        <v>111.21515975296288</v>
      </c>
      <c r="AH43" s="154">
        <f t="shared" si="26"/>
        <v>22.276879684162303</v>
      </c>
      <c r="AJ43" s="154">
        <f t="shared" si="27"/>
        <v>2.2734005396168451</v>
      </c>
      <c r="AL43" s="153">
        <f t="shared" si="16"/>
        <v>11713.967443808266</v>
      </c>
      <c r="AN43" s="154">
        <f>INDEX('(2.2)_Forward_Price_Curve'!$K:$K,MATCH($AB43,'(2.2)_Forward_Price_Curve'!$C:$C,0),1)</f>
        <v>3.9537833333333325</v>
      </c>
      <c r="AP43" s="154">
        <f t="shared" si="5"/>
        <v>28.728274036741947</v>
      </c>
      <c r="AR43" s="154">
        <f t="shared" si="28"/>
        <v>2.5654107165444664</v>
      </c>
      <c r="AS43" s="154"/>
      <c r="AT43" s="153">
        <f t="shared" si="6"/>
        <v>6769.0839605485316</v>
      </c>
      <c r="AV43" s="153">
        <f t="shared" si="7"/>
        <v>12293.310503342716</v>
      </c>
      <c r="AW43" s="273"/>
      <c r="AX43" s="155">
        <f t="shared" si="8"/>
        <v>19062.394463891247</v>
      </c>
      <c r="AZ43" s="384">
        <f>+IF(AZ42&gt;$I$13+$I$14,XX,AZ42+1)</f>
        <v>2024</v>
      </c>
      <c r="BA43" s="117"/>
      <c r="BB43" s="154">
        <f t="shared" si="17"/>
        <v>52.951662685433163</v>
      </c>
      <c r="BD43" s="154">
        <f t="shared" si="18"/>
        <v>8.0509400352539409</v>
      </c>
      <c r="BF43" s="153">
        <f t="shared" si="9"/>
        <v>4944.883483259734</v>
      </c>
      <c r="BH43" s="157"/>
    </row>
    <row r="44" spans="2:60" ht="12">
      <c r="B44" s="2"/>
      <c r="C44" s="354">
        <f>+IF(C43&gt;$I$13+$I$14,XX,C43+1)</f>
        <v>2025</v>
      </c>
      <c r="E44" s="356">
        <f>'(2.2)_Forward_Price_Curve'!S38</f>
        <v>2.3E-2</v>
      </c>
      <c r="G44" s="470">
        <v>392820.78481012658</v>
      </c>
      <c r="I44" s="360">
        <v>314.59014875900209</v>
      </c>
      <c r="K44" s="471">
        <v>18.972189362195312</v>
      </c>
      <c r="M44" s="28">
        <f t="shared" si="24"/>
        <v>0</v>
      </c>
      <c r="O44" s="471">
        <v>0.69999999999999984</v>
      </c>
      <c r="Q44" s="471">
        <v>-37.128876984074353</v>
      </c>
      <c r="S44" s="18">
        <f t="shared" si="20"/>
        <v>24287.074995329458</v>
      </c>
      <c r="U44" s="18">
        <f t="shared" si="21"/>
        <v>19682.810406749188</v>
      </c>
      <c r="W44" s="18">
        <f t="shared" si="22"/>
        <v>4604.2645885802704</v>
      </c>
      <c r="Y44" s="271">
        <f t="shared" si="23"/>
        <v>11.721030980592797</v>
      </c>
      <c r="Z44" s="235"/>
      <c r="AB44" s="378">
        <f>+IF(AB43&gt;$I$13+$I$14,XX,AB43+1)</f>
        <v>2025</v>
      </c>
      <c r="AC44" s="117"/>
      <c r="AD44" s="151">
        <f t="shared" si="4"/>
        <v>392820.78481012658</v>
      </c>
      <c r="AF44" s="154">
        <f t="shared" si="25"/>
        <v>113.77310842728102</v>
      </c>
      <c r="AH44" s="154">
        <f t="shared" si="26"/>
        <v>22.789247916898034</v>
      </c>
      <c r="AJ44" s="154">
        <f t="shared" si="27"/>
        <v>2.3256887520280323</v>
      </c>
      <c r="AL44" s="153">
        <f t="shared" si="16"/>
        <v>11983.351483995822</v>
      </c>
      <c r="AN44" s="154">
        <f>INDEX('(2.2)_Forward_Price_Curve'!$K:$K,MATCH($AB44,'(2.2)_Forward_Price_Curve'!$C:$C,0),1)</f>
        <v>4.1086708333333339</v>
      </c>
      <c r="AP44" s="154">
        <f t="shared" si="5"/>
        <v>29.853689915591971</v>
      </c>
      <c r="AR44" s="154">
        <f t="shared" si="28"/>
        <v>2.624415163024989</v>
      </c>
      <c r="AS44" s="154"/>
      <c r="AT44" s="153">
        <f t="shared" si="6"/>
        <v>6924.7356806211146</v>
      </c>
      <c r="AV44" s="153">
        <f t="shared" si="7"/>
        <v>12758.074726128074</v>
      </c>
      <c r="AW44" s="273"/>
      <c r="AX44" s="155">
        <f t="shared" si="8"/>
        <v>19682.810406749188</v>
      </c>
      <c r="AZ44" s="384">
        <f>+IF(AZ43&gt;$I$13+$I$14,XX,AZ43+1)</f>
        <v>2025</v>
      </c>
      <c r="BA44" s="117"/>
      <c r="BB44" s="154">
        <f t="shared" si="17"/>
        <v>54.169550927198124</v>
      </c>
      <c r="BD44" s="154">
        <f t="shared" si="18"/>
        <v>8.2361116560647805</v>
      </c>
      <c r="BF44" s="153">
        <f t="shared" si="9"/>
        <v>5058.6158033747079</v>
      </c>
      <c r="BH44" s="157"/>
    </row>
    <row r="45" spans="2:60" ht="12">
      <c r="B45" s="2"/>
      <c r="C45" s="354">
        <f>+IF(C44&gt;$I$13+$I$14,XX,C44+1)</f>
        <v>2026</v>
      </c>
      <c r="E45" s="356">
        <f>'(2.2)_Forward_Price_Curve'!S39</f>
        <v>2.3E-2</v>
      </c>
      <c r="G45" s="470">
        <v>392820.78481012658</v>
      </c>
      <c r="I45" s="360">
        <v>321.48387867091418</v>
      </c>
      <c r="K45" s="471">
        <v>19.389577528163606</v>
      </c>
      <c r="M45" s="28">
        <f t="shared" si="24"/>
        <v>0</v>
      </c>
      <c r="O45" s="471">
        <v>0.72</v>
      </c>
      <c r="Q45" s="471">
        <v>-38.454908304934172</v>
      </c>
      <c r="S45" s="18">
        <f t="shared" si="20"/>
        <v>24620.476755088122</v>
      </c>
      <c r="U45" s="18">
        <f t="shared" si="21"/>
        <v>20087.934046025464</v>
      </c>
      <c r="W45" s="18">
        <f t="shared" si="22"/>
        <v>4532.5427090626581</v>
      </c>
      <c r="Y45" s="271">
        <f t="shared" si="23"/>
        <v>11.538449298841208</v>
      </c>
      <c r="Z45" s="235"/>
      <c r="AB45" s="378">
        <f>+IF(AB44&gt;$I$13+$I$14,XX,AB44+1)</f>
        <v>2026</v>
      </c>
      <c r="AC45" s="117"/>
      <c r="AD45" s="151">
        <f t="shared" si="4"/>
        <v>392820.78481012658</v>
      </c>
      <c r="AF45" s="154">
        <f t="shared" si="25"/>
        <v>116.38988992110846</v>
      </c>
      <c r="AH45" s="154">
        <f t="shared" si="26"/>
        <v>23.313400618986687</v>
      </c>
      <c r="AJ45" s="154">
        <f t="shared" si="27"/>
        <v>2.3791795933246767</v>
      </c>
      <c r="AL45" s="153">
        <f t="shared" si="16"/>
        <v>12258.968568127724</v>
      </c>
      <c r="AN45" s="154">
        <f>INDEX('(2.2)_Forward_Price_Curve'!$K:$K,MATCH($AB45,'(2.2)_Forward_Price_Curve'!$C:$C,0),1)</f>
        <v>4.1864999999999997</v>
      </c>
      <c r="AP45" s="154">
        <f t="shared" si="5"/>
        <v>30.419198300738156</v>
      </c>
      <c r="AR45" s="154">
        <f t="shared" si="28"/>
        <v>2.6847767117745636</v>
      </c>
      <c r="AS45" s="154"/>
      <c r="AT45" s="153">
        <f t="shared" si="6"/>
        <v>7084.0046012753983</v>
      </c>
      <c r="AV45" s="153">
        <f t="shared" si="7"/>
        <v>13003.929444750067</v>
      </c>
      <c r="AW45" s="273"/>
      <c r="AX45" s="155">
        <f t="shared" si="8"/>
        <v>20087.934046025464</v>
      </c>
      <c r="AZ45" s="384">
        <f>+IF(AZ44&gt;$I$13+$I$14,XX,AZ44+1)</f>
        <v>2026</v>
      </c>
      <c r="BA45" s="117"/>
      <c r="BB45" s="154">
        <f t="shared" si="17"/>
        <v>55.415450598523677</v>
      </c>
      <c r="BD45" s="154">
        <f t="shared" si="18"/>
        <v>8.4255422241542703</v>
      </c>
      <c r="BF45" s="153">
        <f t="shared" si="9"/>
        <v>5174.9639668523259</v>
      </c>
      <c r="BH45" s="157"/>
    </row>
    <row r="46" spans="2:60" ht="12">
      <c r="B46" s="2"/>
      <c r="C46" s="354">
        <f>+IF(C45&gt;$I$13+$I$14,XX,C45+1)</f>
        <v>2027</v>
      </c>
      <c r="E46" s="356">
        <f>'(2.2)_Forward_Price_Curve'!S40</f>
        <v>2.1999999999999999E-2</v>
      </c>
      <c r="G46" s="470">
        <v>392820.78481012658</v>
      </c>
      <c r="I46" s="360">
        <v>328.29527009950459</v>
      </c>
      <c r="K46" s="471">
        <v>19.816148233783206</v>
      </c>
      <c r="M46" s="28">
        <f t="shared" si="24"/>
        <v>0</v>
      </c>
      <c r="O46" s="471">
        <v>0.74</v>
      </c>
      <c r="Q46" s="471">
        <v>-38.454908304934172</v>
      </c>
      <c r="S46" s="18">
        <f t="shared" si="20"/>
        <v>25470.226761573274</v>
      </c>
      <c r="U46" s="18">
        <f t="shared" si="21"/>
        <v>21039.949149175001</v>
      </c>
      <c r="W46" s="18">
        <f t="shared" si="22"/>
        <v>4430.277612398273</v>
      </c>
      <c r="Y46" s="271">
        <f t="shared" si="23"/>
        <v>11.278114050252427</v>
      </c>
      <c r="Z46" s="235"/>
      <c r="AB46" s="378">
        <f>+IF(AB45&gt;$I$13+$I$14,XX,AB45+1)</f>
        <v>2027</v>
      </c>
      <c r="AC46" s="117"/>
      <c r="AD46" s="151">
        <f t="shared" si="4"/>
        <v>392820.78481012658</v>
      </c>
      <c r="AF46" s="154">
        <f t="shared" si="25"/>
        <v>118.95046749937285</v>
      </c>
      <c r="AH46" s="154">
        <f t="shared" si="26"/>
        <v>23.826295432604393</v>
      </c>
      <c r="AJ46" s="154">
        <f t="shared" si="27"/>
        <v>2.4315215443778198</v>
      </c>
      <c r="AL46" s="153">
        <f t="shared" si="16"/>
        <v>12528.665876626532</v>
      </c>
      <c r="AN46" s="154">
        <f>INDEX('(2.2)_Forward_Price_Curve'!$K:$K,MATCH($AB46,'(2.2)_Forward_Price_Curve'!$C:$C,0),1)</f>
        <v>4.4573125000000005</v>
      </c>
      <c r="AP46" s="154">
        <f t="shared" si="5"/>
        <v>32.386927702343002</v>
      </c>
      <c r="AR46" s="154">
        <f t="shared" si="28"/>
        <v>2.743841799433604</v>
      </c>
      <c r="AS46" s="154"/>
      <c r="AT46" s="153">
        <f t="shared" si="6"/>
        <v>7239.8527025034546</v>
      </c>
      <c r="AV46" s="153">
        <f t="shared" si="7"/>
        <v>13800.096446671545</v>
      </c>
      <c r="AW46" s="273"/>
      <c r="AX46" s="155">
        <f t="shared" si="8"/>
        <v>21039.949149175001</v>
      </c>
      <c r="AZ46" s="384">
        <f>+IF(AZ45&gt;$I$13+$I$14,XX,AZ45+1)</f>
        <v>2027</v>
      </c>
      <c r="BA46" s="117"/>
      <c r="BB46" s="154">
        <f t="shared" si="17"/>
        <v>56.634590511691201</v>
      </c>
      <c r="BD46" s="154">
        <f t="shared" si="18"/>
        <v>8.6109041530856647</v>
      </c>
      <c r="BF46" s="153">
        <f t="shared" si="9"/>
        <v>5288.8131741230773</v>
      </c>
      <c r="BH46" s="157"/>
    </row>
    <row r="47" spans="2:60" ht="12">
      <c r="B47" s="2"/>
      <c r="C47" s="354">
        <f>+IF(C46&gt;$I$13+$I$14,XX,C46+1)</f>
        <v>2028</v>
      </c>
      <c r="E47" s="356">
        <f>'(2.2)_Forward_Price_Curve'!S41</f>
        <v>2.1999999999999999E-2</v>
      </c>
      <c r="G47" s="470">
        <v>392836.78481012664</v>
      </c>
      <c r="I47" s="360">
        <v>335.25154831538282</v>
      </c>
      <c r="K47" s="471">
        <v>20.307588709981033</v>
      </c>
      <c r="M47" s="28">
        <f t="shared" si="24"/>
        <v>0</v>
      </c>
      <c r="O47" s="471">
        <v>0.75000000000000011</v>
      </c>
      <c r="Q47" s="471">
        <v>-39.78093962579397</v>
      </c>
      <c r="S47" s="18">
        <f t="shared" si="20"/>
        <v>25834.682308583204</v>
      </c>
      <c r="U47" s="18">
        <f t="shared" si="21"/>
        <v>21669.653918205106</v>
      </c>
      <c r="W47" s="18">
        <f t="shared" si="22"/>
        <v>4165.0283903780983</v>
      </c>
      <c r="Y47" s="271">
        <f t="shared" si="23"/>
        <v>10.602439871793624</v>
      </c>
      <c r="Z47" s="235"/>
      <c r="AB47" s="378">
        <f>+IF(AB46&gt;$I$13+$I$14,XX,AB46+1)</f>
        <v>2028</v>
      </c>
      <c r="AC47" s="117"/>
      <c r="AD47" s="151">
        <f t="shared" si="4"/>
        <v>392836.78481012664</v>
      </c>
      <c r="AF47" s="154">
        <f t="shared" si="25"/>
        <v>121.56737778435905</v>
      </c>
      <c r="AH47" s="154">
        <f t="shared" si="26"/>
        <v>24.350473932121691</v>
      </c>
      <c r="AJ47" s="154">
        <f t="shared" si="27"/>
        <v>2.4850150183541317</v>
      </c>
      <c r="AL47" s="153">
        <f t="shared" si="16"/>
        <v>12804.336286152613</v>
      </c>
      <c r="AN47" s="154">
        <f>INDEX('(2.2)_Forward_Price_Curve'!$K:$K,MATCH($AB47,'(2.2)_Forward_Price_Curve'!$C:$C,0),1)</f>
        <v>4.6136041666666676</v>
      </c>
      <c r="AP47" s="154">
        <f t="shared" si="5"/>
        <v>33.522546286144795</v>
      </c>
      <c r="AR47" s="154">
        <f t="shared" si="28"/>
        <v>2.8042063190211435</v>
      </c>
      <c r="AS47" s="154"/>
      <c r="AT47" s="153">
        <f t="shared" si="6"/>
        <v>7399.1692221988278</v>
      </c>
      <c r="AV47" s="153">
        <f t="shared" si="7"/>
        <v>14270.484696006277</v>
      </c>
      <c r="AW47" s="273"/>
      <c r="AX47" s="155">
        <f t="shared" si="8"/>
        <v>21669.653918205106</v>
      </c>
      <c r="AZ47" s="384">
        <f>+IF(AZ46&gt;$I$13+$I$14,XX,AZ46+1)</f>
        <v>2028</v>
      </c>
      <c r="BA47" s="117"/>
      <c r="BB47" s="154">
        <f t="shared" si="17"/>
        <v>57.880551502948407</v>
      </c>
      <c r="BD47" s="154">
        <f t="shared" si="18"/>
        <v>8.8003440444535492</v>
      </c>
      <c r="BF47" s="153">
        <f t="shared" si="9"/>
        <v>5405.1670639537851</v>
      </c>
      <c r="BH47" s="157"/>
    </row>
    <row r="48" spans="2:60" ht="12">
      <c r="B48" s="2"/>
      <c r="C48" s="354">
        <f>+IF(C47&gt;$I$13+$I$14,XX,C47+1)</f>
        <v>2029</v>
      </c>
      <c r="E48" s="356">
        <f>'(2.2)_Forward_Price_Curve'!S42</f>
        <v>2.1999999999999999E-2</v>
      </c>
      <c r="G48" s="470">
        <v>392820.78481012658</v>
      </c>
      <c r="I48" s="360">
        <v>342.35580651521042</v>
      </c>
      <c r="K48" s="471">
        <v>20.677397668319887</v>
      </c>
      <c r="M48" s="28">
        <f t="shared" si="24"/>
        <v>0</v>
      </c>
      <c r="O48" s="471">
        <v>0.76999999999999991</v>
      </c>
      <c r="Q48" s="471">
        <v>-39.78093962579397</v>
      </c>
      <c r="S48" s="18">
        <f t="shared" si="20"/>
        <v>26691.428504921481</v>
      </c>
      <c r="U48" s="18">
        <f t="shared" si="21"/>
        <v>22257.247590260806</v>
      </c>
      <c r="W48" s="18">
        <f t="shared" si="22"/>
        <v>4434.1809146606756</v>
      </c>
      <c r="Y48" s="271">
        <f t="shared" si="23"/>
        <v>11.288050648348397</v>
      </c>
      <c r="Z48" s="235"/>
      <c r="AB48" s="378">
        <f>+IF(AB47&gt;$I$13+$I$14,XX,AB47+1)</f>
        <v>2029</v>
      </c>
      <c r="AC48" s="117"/>
      <c r="AD48" s="151">
        <f t="shared" si="4"/>
        <v>392820.78481012658</v>
      </c>
      <c r="AF48" s="154">
        <f t="shared" si="25"/>
        <v>124.24186009561495</v>
      </c>
      <c r="AH48" s="154">
        <f t="shared" si="26"/>
        <v>24.88618435862837</v>
      </c>
      <c r="AJ48" s="154">
        <f t="shared" si="27"/>
        <v>2.5396853487579225</v>
      </c>
      <c r="AL48" s="153">
        <f t="shared" si="16"/>
        <v>13085.991049482389</v>
      </c>
      <c r="AN48" s="154">
        <f>INDEX('(2.2)_Forward_Price_Curve'!$K:$K,MATCH($AB48,'(2.2)_Forward_Price_Curve'!$C:$C,0),1)</f>
        <v>4.7541666666666673</v>
      </c>
      <c r="AP48" s="154">
        <f t="shared" si="5"/>
        <v>34.543876409433338</v>
      </c>
      <c r="AR48" s="154">
        <f t="shared" si="28"/>
        <v>2.8658988580396088</v>
      </c>
      <c r="AS48" s="154"/>
      <c r="AT48" s="153">
        <f t="shared" si="6"/>
        <v>7561.9103101216197</v>
      </c>
      <c r="AV48" s="153">
        <f t="shared" si="7"/>
        <v>14695.337280139185</v>
      </c>
      <c r="AW48" s="273"/>
      <c r="AX48" s="155">
        <f t="shared" si="8"/>
        <v>22257.247590260806</v>
      </c>
      <c r="AZ48" s="384">
        <f>+IF(AZ47&gt;$I$13+$I$14,XX,AZ47+1)</f>
        <v>2029</v>
      </c>
      <c r="BA48" s="117"/>
      <c r="BB48" s="154">
        <f t="shared" si="17"/>
        <v>59.153923636013275</v>
      </c>
      <c r="BD48" s="154">
        <f t="shared" si="18"/>
        <v>8.9939516134315269</v>
      </c>
      <c r="BF48" s="153">
        <f t="shared" si="9"/>
        <v>5524.0807393607693</v>
      </c>
      <c r="BH48" s="157"/>
    </row>
    <row r="49" spans="2:60" ht="12">
      <c r="B49" s="2"/>
      <c r="C49" s="354">
        <f>+IF(C48&gt;$I$13+$I$14,XX,C48+1)</f>
        <v>2030</v>
      </c>
      <c r="E49" s="356">
        <f>'(2.2)_Forward_Price_Curve'!S43</f>
        <v>2.1999999999999999E-2</v>
      </c>
      <c r="G49" s="470">
        <v>392820.78481012658</v>
      </c>
      <c r="I49" s="360">
        <v>349.61120415403514</v>
      </c>
      <c r="K49" s="471">
        <v>21.132300417022932</v>
      </c>
      <c r="M49" s="28">
        <f t="shared" si="24"/>
        <v>0</v>
      </c>
      <c r="O49" s="471">
        <v>0.78</v>
      </c>
      <c r="Q49" s="471">
        <v>0</v>
      </c>
      <c r="S49" s="18">
        <f t="shared" si="20"/>
        <v>43219.116258059694</v>
      </c>
      <c r="U49" s="18">
        <f t="shared" si="21"/>
        <v>23299.976314717802</v>
      </c>
      <c r="W49" s="18">
        <f t="shared" si="22"/>
        <v>19919.139943341892</v>
      </c>
      <c r="Y49" s="271">
        <f t="shared" si="23"/>
        <v>50.70795821807134</v>
      </c>
      <c r="Z49" s="235"/>
      <c r="AB49" s="378">
        <f>+IF(AB48&gt;$I$13+$I$14,XX,AB48+1)</f>
        <v>2030</v>
      </c>
      <c r="AC49" s="117"/>
      <c r="AD49" s="151">
        <f t="shared" si="4"/>
        <v>392820.78481012658</v>
      </c>
      <c r="AF49" s="154">
        <f t="shared" si="25"/>
        <v>126.97518101771848</v>
      </c>
      <c r="AH49" s="154">
        <f t="shared" si="26"/>
        <v>25.433680414518193</v>
      </c>
      <c r="AJ49" s="154">
        <f t="shared" si="27"/>
        <v>2.5955584264305966</v>
      </c>
      <c r="AL49" s="153">
        <f t="shared" si="16"/>
        <v>13373.882852571</v>
      </c>
      <c r="AN49" s="154">
        <f>INDEX('(2.2)_Forward_Price_Curve'!$K:$K,MATCH($AB49,'(2.2)_Forward_Price_Curve'!$C:$C,0),1)</f>
        <v>5.052529166666667</v>
      </c>
      <c r="AP49" s="154">
        <f t="shared" si="5"/>
        <v>36.711784698697393</v>
      </c>
      <c r="AR49" s="154">
        <f t="shared" si="28"/>
        <v>2.9289486329164802</v>
      </c>
      <c r="AS49" s="154"/>
      <c r="AT49" s="153">
        <f t="shared" si="6"/>
        <v>7728.2723369442938</v>
      </c>
      <c r="AV49" s="153">
        <f t="shared" si="7"/>
        <v>15571.703977773506</v>
      </c>
      <c r="AW49" s="273"/>
      <c r="AX49" s="155">
        <f t="shared" si="8"/>
        <v>23299.976314717802</v>
      </c>
      <c r="AZ49" s="384">
        <f>+IF(AZ48&gt;$I$13+$I$14,XX,AZ48+1)</f>
        <v>2030</v>
      </c>
      <c r="BA49" s="117"/>
      <c r="BB49" s="154">
        <f t="shared" si="17"/>
        <v>60.455309956005571</v>
      </c>
      <c r="BD49" s="154">
        <f t="shared" si="18"/>
        <v>9.1918185489270208</v>
      </c>
      <c r="BF49" s="153">
        <f t="shared" si="9"/>
        <v>5645.6105156267058</v>
      </c>
      <c r="BH49" s="157"/>
    </row>
    <row r="50" spans="2:60" ht="12">
      <c r="B50" s="2"/>
      <c r="C50" s="354">
        <f>+IF(C49&gt;$I$13+$I$14,XX,C49+1)</f>
        <v>2031</v>
      </c>
      <c r="E50" s="356">
        <f>'(2.2)_Forward_Price_Curve'!S44</f>
        <v>2.1999999999999999E-2</v>
      </c>
      <c r="G50" s="470">
        <v>392820.78481012658</v>
      </c>
      <c r="I50" s="360">
        <v>357.02096836892827</v>
      </c>
      <c r="K50" s="471">
        <v>21.597211026197435</v>
      </c>
      <c r="M50" s="28">
        <f t="shared" si="24"/>
        <v>0</v>
      </c>
      <c r="O50" s="471">
        <v>0.8</v>
      </c>
      <c r="Q50" s="471">
        <v>0</v>
      </c>
      <c r="S50" s="18">
        <f t="shared" si="20"/>
        <v>44143.165881392793</v>
      </c>
      <c r="U50" s="18">
        <f t="shared" si="21"/>
        <v>23887.340889027852</v>
      </c>
      <c r="W50" s="18">
        <f t="shared" si="22"/>
        <v>20255.824992364942</v>
      </c>
      <c r="Y50" s="271">
        <f t="shared" si="23"/>
        <v>51.56505402878765</v>
      </c>
      <c r="Z50" s="235"/>
      <c r="AB50" s="378">
        <f>+IF(AB49&gt;$I$13+$I$14,XX,AB49+1)</f>
        <v>2031</v>
      </c>
      <c r="AC50" s="117"/>
      <c r="AD50" s="151">
        <f t="shared" si="4"/>
        <v>392820.78481012658</v>
      </c>
      <c r="AF50" s="154">
        <f t="shared" si="25"/>
        <v>129.7686350001083</v>
      </c>
      <c r="AH50" s="154">
        <f t="shared" si="26"/>
        <v>25.993221383637593</v>
      </c>
      <c r="AJ50" s="154">
        <f t="shared" si="27"/>
        <v>2.6526607118120697</v>
      </c>
      <c r="AL50" s="153">
        <f t="shared" si="16"/>
        <v>13668.108275327568</v>
      </c>
      <c r="AN50" s="154">
        <f>INDEX('(2.2)_Forward_Price_Curve'!$K:$K,MATCH($AB50,'(2.2)_Forward_Price_Curve'!$C:$C,0),1)</f>
        <v>5.1898791666666666</v>
      </c>
      <c r="AP50" s="154">
        <f t="shared" si="5"/>
        <v>37.709772728461253</v>
      </c>
      <c r="AR50" s="154">
        <f t="shared" si="28"/>
        <v>2.9933855028406429</v>
      </c>
      <c r="AS50" s="154"/>
      <c r="AT50" s="153">
        <f t="shared" si="6"/>
        <v>7898.2943283570739</v>
      </c>
      <c r="AV50" s="153">
        <f t="shared" si="7"/>
        <v>15989.046560670777</v>
      </c>
      <c r="AW50" s="273"/>
      <c r="AX50" s="155">
        <f t="shared" si="8"/>
        <v>23887.340889027852</v>
      </c>
      <c r="AZ50" s="384">
        <f>+IF(AZ49&gt;$I$13+$I$14,XX,AZ49+1)</f>
        <v>2031</v>
      </c>
      <c r="BA50" s="117"/>
      <c r="BB50" s="154">
        <f t="shared" si="17"/>
        <v>61.785326775037696</v>
      </c>
      <c r="BD50" s="154">
        <f t="shared" si="18"/>
        <v>9.3940385570034159</v>
      </c>
      <c r="BF50" s="153">
        <f t="shared" si="9"/>
        <v>5769.8139469704938</v>
      </c>
      <c r="BH50" s="157"/>
    </row>
    <row r="51" spans="2:60" ht="12">
      <c r="B51" s="2"/>
      <c r="C51" s="354">
        <f>+IF(C50&gt;$I$13+$I$14,XX,C50+1)</f>
        <v>2032</v>
      </c>
      <c r="E51" s="356">
        <f>'(2.2)_Forward_Price_Curve'!S45</f>
        <v>2.1999999999999999E-2</v>
      </c>
      <c r="G51" s="470">
        <v>392836.78481012664</v>
      </c>
      <c r="I51" s="360">
        <v>364.58839543329566</v>
      </c>
      <c r="K51" s="471">
        <v>22.13282185964713</v>
      </c>
      <c r="M51" s="28">
        <f t="shared" si="24"/>
        <v>0</v>
      </c>
      <c r="O51" s="471">
        <v>0.82</v>
      </c>
      <c r="Q51" s="471">
        <v>0</v>
      </c>
      <c r="S51" s="18">
        <f t="shared" si="20"/>
        <v>45110.963889559644</v>
      </c>
      <c r="U51" s="18">
        <f t="shared" si="21"/>
        <v>24495.294513421377</v>
      </c>
      <c r="W51" s="18">
        <f t="shared" si="22"/>
        <v>20615.669376138267</v>
      </c>
      <c r="Y51" s="271">
        <f t="shared" si="23"/>
        <v>52.478968806606602</v>
      </c>
      <c r="Z51" s="235"/>
      <c r="AB51" s="378">
        <f>+IF(AB50&gt;$I$13+$I$14,XX,AB50+1)</f>
        <v>2032</v>
      </c>
      <c r="AC51" s="117"/>
      <c r="AD51" s="151">
        <f t="shared" si="4"/>
        <v>392836.78481012664</v>
      </c>
      <c r="AF51" s="154">
        <f t="shared" si="25"/>
        <v>132.62354497011069</v>
      </c>
      <c r="AH51" s="154">
        <f t="shared" si="26"/>
        <v>26.56507225407762</v>
      </c>
      <c r="AJ51" s="154">
        <f t="shared" si="27"/>
        <v>2.7110192474719352</v>
      </c>
      <c r="AL51" s="153">
        <f t="shared" si="16"/>
        <v>13968.85003369273</v>
      </c>
      <c r="AN51" s="154">
        <f>INDEX('(2.2)_Forward_Price_Curve'!$K:$K,MATCH($AB51,'(2.2)_Forward_Price_Curve'!$C:$C,0),1)</f>
        <v>5.3326874999999996</v>
      </c>
      <c r="AP51" s="154">
        <f t="shared" si="5"/>
        <v>38.747421124654863</v>
      </c>
      <c r="AR51" s="154">
        <f t="shared" si="28"/>
        <v>3.059239983903137</v>
      </c>
      <c r="AS51" s="154"/>
      <c r="AT51" s="153">
        <f t="shared" si="6"/>
        <v>8072.1001798888865</v>
      </c>
      <c r="AV51" s="153">
        <f t="shared" si="7"/>
        <v>16423.19433353249</v>
      </c>
      <c r="AW51" s="273"/>
      <c r="AX51" s="155">
        <f t="shared" si="8"/>
        <v>24495.294513421377</v>
      </c>
      <c r="AZ51" s="384">
        <f>+IF(AZ50&gt;$I$13+$I$14,XX,AZ50+1)</f>
        <v>2032</v>
      </c>
      <c r="BA51" s="117"/>
      <c r="BB51" s="154">
        <f t="shared" si="17"/>
        <v>63.144603964088525</v>
      </c>
      <c r="BD51" s="154">
        <f t="shared" si="18"/>
        <v>9.6007074052574914</v>
      </c>
      <c r="BF51" s="153">
        <f t="shared" si="9"/>
        <v>5896.7498538038435</v>
      </c>
      <c r="BH51" s="157"/>
    </row>
    <row r="52" spans="2:60" ht="12">
      <c r="B52" s="2"/>
      <c r="C52" s="354">
        <f>+IF(C51&gt;$I$13+$I$14,XX,C51+1)</f>
        <v>2033</v>
      </c>
      <c r="E52" s="356">
        <f>'(2.2)_Forward_Price_Curve'!S46</f>
        <v>2.1999999999999999E-2</v>
      </c>
      <c r="G52" s="470">
        <v>392820.78481012658</v>
      </c>
      <c r="I52" s="360">
        <v>372.31685224252396</v>
      </c>
      <c r="K52" s="471">
        <v>22.557941361486801</v>
      </c>
      <c r="M52" s="28">
        <f t="shared" si="24"/>
        <v>0</v>
      </c>
      <c r="O52" s="471">
        <v>0.84000000000000008</v>
      </c>
      <c r="Q52" s="471">
        <v>0</v>
      </c>
      <c r="S52" s="18">
        <f t="shared" si="20"/>
        <v>46050.56606057044</v>
      </c>
      <c r="U52" s="18">
        <f t="shared" si="21"/>
        <v>25224.226569744933</v>
      </c>
      <c r="W52" s="18">
        <f t="shared" si="22"/>
        <v>20826.339490825507</v>
      </c>
      <c r="Y52" s="271">
        <f t="shared" si="23"/>
        <v>53.017407164165469</v>
      </c>
      <c r="Z52" s="235"/>
      <c r="AB52" s="378">
        <f>+IF(AB51&gt;$I$13+$I$14,XX,AB51+1)</f>
        <v>2033</v>
      </c>
      <c r="AC52" s="117"/>
      <c r="AD52" s="151">
        <f t="shared" si="4"/>
        <v>392820.78481012658</v>
      </c>
      <c r="AF52" s="154">
        <f t="shared" si="25"/>
        <v>135.54126295945312</v>
      </c>
      <c r="AH52" s="154">
        <f t="shared" si="26"/>
        <v>27.149503843667329</v>
      </c>
      <c r="AJ52" s="154">
        <f t="shared" si="27"/>
        <v>2.7706616709163177</v>
      </c>
      <c r="AL52" s="153">
        <f t="shared" si="16"/>
        <v>14276.120403847239</v>
      </c>
      <c r="AN52" s="154">
        <f>INDEX('(2.2)_Forward_Price_Curve'!$K:$K,MATCH($AB52,'(2.2)_Forward_Price_Curve'!$C:$C,0),1)</f>
        <v>5.5168416666666671</v>
      </c>
      <c r="AP52" s="154">
        <f t="shared" si="5"/>
        <v>40.085489227781714</v>
      </c>
      <c r="AR52" s="154">
        <f t="shared" si="28"/>
        <v>3.126543263549006</v>
      </c>
      <c r="AS52" s="154"/>
      <c r="AT52" s="153">
        <f t="shared" si="6"/>
        <v>8249.6420532597112</v>
      </c>
      <c r="AV52" s="153">
        <f t="shared" si="7"/>
        <v>16974.584516485222</v>
      </c>
      <c r="AW52" s="273"/>
      <c r="AX52" s="155">
        <f t="shared" si="8"/>
        <v>25224.226569744933</v>
      </c>
      <c r="AZ52" s="384">
        <f>+IF(AZ51&gt;$I$13+$I$14,XX,AZ51+1)</f>
        <v>2033</v>
      </c>
      <c r="BA52" s="117"/>
      <c r="BB52" s="154">
        <f t="shared" si="17"/>
        <v>64.533785251298468</v>
      </c>
      <c r="BD52" s="154">
        <f t="shared" si="18"/>
        <v>9.8119229681731568</v>
      </c>
      <c r="BF52" s="153">
        <f t="shared" si="9"/>
        <v>6026.4783505875275</v>
      </c>
      <c r="BH52" s="157"/>
    </row>
    <row r="53" spans="2:60" ht="12">
      <c r="B53" s="2"/>
      <c r="C53" s="354">
        <f>+IF(C52&gt;$I$13+$I$14,XX,C52+1)</f>
        <v>2034</v>
      </c>
      <c r="E53" s="356">
        <f>'(2.2)_Forward_Price_Curve'!S47</f>
        <v>2.1999999999999999E-2</v>
      </c>
      <c r="G53" s="470">
        <v>392820.78481012658</v>
      </c>
      <c r="I53" s="360">
        <v>101.23600608807673</v>
      </c>
      <c r="K53" s="471">
        <v>23.054216071439516</v>
      </c>
      <c r="M53" s="28">
        <f t="shared" si="24"/>
        <v>0</v>
      </c>
      <c r="O53" s="471">
        <v>0.85999999999999988</v>
      </c>
      <c r="Q53" s="471">
        <v>0</v>
      </c>
      <c r="S53" s="18">
        <f t="shared" si="20"/>
        <v>19416.36572802141</v>
      </c>
      <c r="U53" s="18">
        <f t="shared" si="21"/>
        <v>25922.110521884304</v>
      </c>
      <c r="W53" s="18">
        <f t="shared" si="22"/>
        <v>-6505.7447938628939</v>
      </c>
      <c r="Y53" s="271">
        <f t="shared" si="23"/>
        <v>-16.561610396984221</v>
      </c>
      <c r="Z53" s="235"/>
      <c r="AB53" s="378">
        <f>+IF(AB52&gt;$I$13+$I$14,XX,AB52+1)</f>
        <v>2034</v>
      </c>
      <c r="AC53" s="117"/>
      <c r="AD53" s="151">
        <f t="shared" si="4"/>
        <v>392820.78481012658</v>
      </c>
      <c r="AF53" s="154">
        <f t="shared" si="25"/>
        <v>138.5231707445611</v>
      </c>
      <c r="AH53" s="154">
        <f t="shared" si="26"/>
        <v>27.746792928228011</v>
      </c>
      <c r="AJ53" s="154">
        <f t="shared" si="27"/>
        <v>2.8316162276764767</v>
      </c>
      <c r="AL53" s="153">
        <f t="shared" si="16"/>
        <v>14590.195052731877</v>
      </c>
      <c r="AN53" s="154">
        <f>INDEX('(2.2)_Forward_Price_Curve'!$K:$K,MATCH($AB53,'(2.2)_Forward_Price_Curve'!$C:$C,0),1)</f>
        <v>5.688295833333334</v>
      </c>
      <c r="AP53" s="154">
        <f t="shared" si="5"/>
        <v>41.331278860009391</v>
      </c>
      <c r="AR53" s="154">
        <f t="shared" si="28"/>
        <v>3.1953272153470844</v>
      </c>
      <c r="AS53" s="154"/>
      <c r="AT53" s="153">
        <f t="shared" si="6"/>
        <v>8431.1341784314209</v>
      </c>
      <c r="AV53" s="153">
        <f t="shared" si="7"/>
        <v>17490.976343452883</v>
      </c>
      <c r="AW53" s="273"/>
      <c r="AX53" s="155">
        <f t="shared" si="8"/>
        <v>25922.110521884304</v>
      </c>
      <c r="AZ53" s="384">
        <f>+IF(AZ52&gt;$I$13+$I$14,XX,AZ52+1)</f>
        <v>2034</v>
      </c>
      <c r="BA53" s="117"/>
      <c r="BB53" s="154">
        <f t="shared" si="17"/>
        <v>65.953528526827043</v>
      </c>
      <c r="BD53" s="154">
        <f t="shared" si="18"/>
        <v>10.027785273472967</v>
      </c>
      <c r="BF53" s="153">
        <f t="shared" si="9"/>
        <v>6159.060874300455</v>
      </c>
      <c r="BH53" s="157"/>
    </row>
    <row r="54" spans="2:60" ht="12">
      <c r="B54" s="2"/>
      <c r="C54" s="354">
        <f>+IF(C53&gt;$I$13+$I$14,XX,C53+1)</f>
        <v>2035</v>
      </c>
      <c r="E54" s="356">
        <f>'(2.2)_Forward_Price_Curve'!S48</f>
        <v>2.1999999999999999E-2</v>
      </c>
      <c r="G54" s="470">
        <v>392820.78481012658</v>
      </c>
      <c r="I54" s="360">
        <v>103.1594902037502</v>
      </c>
      <c r="K54" s="471">
        <v>23.561408825011181</v>
      </c>
      <c r="M54" s="28">
        <f t="shared" si="24"/>
        <v>0</v>
      </c>
      <c r="O54" s="471">
        <v>0.86999999999999988</v>
      </c>
      <c r="Q54" s="471">
        <v>0</v>
      </c>
      <c r="S54" s="18">
        <f t="shared" si="20"/>
        <v>19809.954718829216</v>
      </c>
      <c r="U54" s="18">
        <f t="shared" si="21"/>
        <v>26585.335877856542</v>
      </c>
      <c r="W54" s="18">
        <f t="shared" si="22"/>
        <v>-6775.3811590273253</v>
      </c>
      <c r="Y54" s="271">
        <f t="shared" si="23"/>
        <v>-17.24802103407605</v>
      </c>
      <c r="Z54" s="235"/>
      <c r="AB54" s="378">
        <f>+IF(AB53&gt;$I$13+$I$14,XX,AB53+1)</f>
        <v>2035</v>
      </c>
      <c r="AC54" s="117"/>
      <c r="AD54" s="151">
        <f t="shared" si="4"/>
        <v>392820.78481012658</v>
      </c>
      <c r="AF54" s="154">
        <f t="shared" si="25"/>
        <v>141.57068050094145</v>
      </c>
      <c r="AH54" s="154">
        <f t="shared" si="26"/>
        <v>28.357222372649026</v>
      </c>
      <c r="AJ54" s="154">
        <f t="shared" si="27"/>
        <v>2.893911784685359</v>
      </c>
      <c r="AL54" s="153">
        <f t="shared" si="16"/>
        <v>14911.179343891978</v>
      </c>
      <c r="AN54" s="154">
        <f>INDEX('(2.2)_Forward_Price_Curve'!$K:$K,MATCH($AB54,'(2.2)_Forward_Price_Curve'!$C:$C,0),1)</f>
        <v>5.846000000000001</v>
      </c>
      <c r="AP54" s="154">
        <f t="shared" si="5"/>
        <v>42.477160698940715</v>
      </c>
      <c r="AR54" s="154">
        <f t="shared" si="28"/>
        <v>3.2656244140847202</v>
      </c>
      <c r="AS54" s="154"/>
      <c r="AT54" s="153">
        <f t="shared" si="6"/>
        <v>8616.619130356914</v>
      </c>
      <c r="AV54" s="153">
        <f t="shared" si="7"/>
        <v>17968.716747499628</v>
      </c>
      <c r="AW54" s="273"/>
      <c r="AX54" s="155">
        <f t="shared" si="8"/>
        <v>26585.335877856542</v>
      </c>
      <c r="AZ54" s="384">
        <f>+IF(AZ53&gt;$I$13+$I$14,XX,AZ53+1)</f>
        <v>2035</v>
      </c>
      <c r="BA54" s="117"/>
      <c r="BB54" s="154">
        <f t="shared" si="17"/>
        <v>67.404506154417234</v>
      </c>
      <c r="BD54" s="154">
        <f t="shared" si="18"/>
        <v>10.248396549489373</v>
      </c>
      <c r="BF54" s="153">
        <f t="shared" si="9"/>
        <v>6294.5602135350646</v>
      </c>
      <c r="BH54" s="157"/>
    </row>
    <row r="55" spans="2:60" ht="12">
      <c r="B55" s="2"/>
      <c r="C55" s="354">
        <f>+IF(C54&gt;$I$13+$I$14,XX,C54+1)</f>
        <v>2036</v>
      </c>
      <c r="E55" s="356">
        <f>'(2.2)_Forward_Price_Curve'!S49</f>
        <v>2.1999999999999999E-2</v>
      </c>
      <c r="G55" s="470">
        <v>392836.78481012664</v>
      </c>
      <c r="I55" s="360">
        <v>105.11952051762142</v>
      </c>
      <c r="K55" s="471">
        <v>24.145731763871463</v>
      </c>
      <c r="M55" s="28">
        <f t="shared" si="24"/>
        <v>0</v>
      </c>
      <c r="O55" s="471">
        <v>0.89000000000000024</v>
      </c>
      <c r="Q55" s="471">
        <v>0</v>
      </c>
      <c r="S55" s="18">
        <f t="shared" si="20"/>
        <v>20241.788902732551</v>
      </c>
      <c r="U55" s="18">
        <f t="shared" si="21"/>
        <v>27448.287333764318</v>
      </c>
      <c r="W55" s="18">
        <f t="shared" si="22"/>
        <v>-7206.4984310317668</v>
      </c>
      <c r="Y55" s="271">
        <f t="shared" si="23"/>
        <v>-18.344764822660252</v>
      </c>
      <c r="Z55" s="235"/>
      <c r="AB55" s="378">
        <f>+IF(AB54&gt;$I$13+$I$14,XX,AB54+1)</f>
        <v>2036</v>
      </c>
      <c r="AC55" s="117"/>
      <c r="AD55" s="151">
        <f t="shared" si="4"/>
        <v>392836.78481012664</v>
      </c>
      <c r="AF55" s="154">
        <f t="shared" si="25"/>
        <v>144.68523547196216</v>
      </c>
      <c r="AH55" s="154">
        <f t="shared" si="26"/>
        <v>28.981081264847305</v>
      </c>
      <c r="AJ55" s="154">
        <f t="shared" si="27"/>
        <v>2.957577843948437</v>
      </c>
      <c r="AL55" s="153">
        <f t="shared" si="16"/>
        <v>15239.272610703103</v>
      </c>
      <c r="AN55" s="154">
        <f>INDEX('(2.2)_Forward_Price_Curve'!$K:$K,MATCH($AB55,'(2.2)_Forward_Price_Curve'!$C:$C,0),1)</f>
        <v>6.0717541666666675</v>
      </c>
      <c r="AP55" s="154">
        <f t="shared" si="5"/>
        <v>44.117495289422315</v>
      </c>
      <c r="AR55" s="154">
        <f t="shared" si="28"/>
        <v>3.3374681511945838</v>
      </c>
      <c r="AS55" s="154"/>
      <c r="AT55" s="153">
        <f t="shared" si="6"/>
        <v>8806.2320724702677</v>
      </c>
      <c r="AV55" s="153">
        <f t="shared" si="7"/>
        <v>18642.055261294048</v>
      </c>
      <c r="AW55" s="273"/>
      <c r="AX55" s="155">
        <f t="shared" si="8"/>
        <v>27448.287333764318</v>
      </c>
      <c r="AZ55" s="384">
        <f>+IF(AZ54&gt;$I$13+$I$14,XX,AZ54+1)</f>
        <v>2036</v>
      </c>
      <c r="BA55" s="117"/>
      <c r="BB55" s="154">
        <f t="shared" si="17"/>
        <v>68.88740528981441</v>
      </c>
      <c r="BD55" s="154">
        <f t="shared" si="18"/>
        <v>10.473861273578139</v>
      </c>
      <c r="BF55" s="153">
        <f t="shared" si="9"/>
        <v>6433.0405382328354</v>
      </c>
      <c r="BH55" s="157"/>
    </row>
    <row r="56" spans="2:60" ht="12">
      <c r="B56" s="2"/>
      <c r="C56" s="354">
        <f>+IF(C55&gt;$I$13+$I$14,XX,C55+1)</f>
        <v>2037</v>
      </c>
      <c r="E56" s="356">
        <f>'(2.2)_Forward_Price_Curve'!S50</f>
        <v>2.1999999999999999E-2</v>
      </c>
      <c r="G56" s="470">
        <v>392836.78481012664</v>
      </c>
      <c r="I56" s="360">
        <v>107.11679140745625</v>
      </c>
      <c r="K56" s="471">
        <v>24.609514535182978</v>
      </c>
      <c r="M56" s="28">
        <f t="shared" si="24"/>
        <v>0</v>
      </c>
      <c r="O56" s="471">
        <v>0.91000000000000025</v>
      </c>
      <c r="Q56" s="471">
        <v>0</v>
      </c>
      <c r="S56" s="18">
        <f t="shared" si="20"/>
        <v>20629.566389254742</v>
      </c>
      <c r="U56" s="18">
        <f t="shared" si="21"/>
        <v>28151.257070096108</v>
      </c>
      <c r="W56" s="18">
        <f t="shared" si="22"/>
        <v>-7521.690680841366</v>
      </c>
      <c r="Y56" s="271">
        <f t="shared" si="23"/>
        <v>-19.147113945749485</v>
      </c>
      <c r="Z56" s="235"/>
      <c r="AB56" s="378">
        <f>+IF(AB55&gt;$I$13+$I$14,XX,AB55+1)</f>
        <v>2037</v>
      </c>
      <c r="AC56" s="117"/>
      <c r="AD56" s="151">
        <f t="shared" si="4"/>
        <v>392836.78481012664</v>
      </c>
      <c r="AF56" s="154">
        <f t="shared" si="25"/>
        <v>147.86831065234534</v>
      </c>
      <c r="AH56" s="154">
        <f t="shared" si="26"/>
        <v>29.618665052673947</v>
      </c>
      <c r="AJ56" s="154">
        <f t="shared" si="27"/>
        <v>3.0226445565153028</v>
      </c>
      <c r="AL56" s="153">
        <f t="shared" si="16"/>
        <v>15574.536608138575</v>
      </c>
      <c r="AN56" s="154">
        <f>INDEX('(2.2)_Forward_Price_Curve'!$K:$K,MATCH($AB56,'(2.2)_Forward_Price_Curve'!$C:$C,0),1)</f>
        <v>6.240054166666666</v>
      </c>
      <c r="AP56" s="154">
        <f t="shared" si="5"/>
        <v>45.340366679369573</v>
      </c>
      <c r="AR56" s="154">
        <f t="shared" si="28"/>
        <v>3.4108924505208646</v>
      </c>
      <c r="AS56" s="154"/>
      <c r="AT56" s="153">
        <f t="shared" si="6"/>
        <v>8999.9691780646172</v>
      </c>
      <c r="AV56" s="153">
        <f t="shared" si="7"/>
        <v>19151.287892031491</v>
      </c>
      <c r="AW56" s="273"/>
      <c r="AX56" s="155">
        <f t="shared" si="8"/>
        <v>28151.257070096108</v>
      </c>
      <c r="AZ56" s="384">
        <f>+IF(AZ55&gt;$I$13+$I$14,XX,AZ55+1)</f>
        <v>2037</v>
      </c>
      <c r="BA56" s="117"/>
      <c r="BB56" s="154">
        <f t="shared" si="17"/>
        <v>70.402928206190325</v>
      </c>
      <c r="BD56" s="154">
        <f t="shared" si="18"/>
        <v>10.704286221596858</v>
      </c>
      <c r="BF56" s="153">
        <f t="shared" si="9"/>
        <v>6574.5674300739583</v>
      </c>
      <c r="BH56" s="157"/>
    </row>
    <row r="57" spans="2:60" ht="12">
      <c r="B57" s="2"/>
      <c r="C57" s="354">
        <f>+IF(C56&gt;$I$13+$I$14,XX,C56+1)</f>
        <v>2038</v>
      </c>
      <c r="E57" s="356">
        <f>'(2.2)_Forward_Price_Curve'!S51</f>
        <v>2.1999999999999999E-2</v>
      </c>
      <c r="G57" s="470">
        <v>392836.78481012664</v>
      </c>
      <c r="I57" s="360">
        <v>109.1520104441979</v>
      </c>
      <c r="K57" s="471">
        <v>25.175533369492186</v>
      </c>
      <c r="M57" s="28">
        <f t="shared" si="24"/>
        <v>0</v>
      </c>
      <c r="O57" s="471">
        <v>0.92999999999999994</v>
      </c>
      <c r="Q57" s="471">
        <v>0</v>
      </c>
      <c r="S57" s="18">
        <f t="shared" si="20"/>
        <v>21061.262828600375</v>
      </c>
      <c r="U57" s="18">
        <f t="shared" si="21"/>
        <v>29293.129093218246</v>
      </c>
      <c r="W57" s="18">
        <f t="shared" si="22"/>
        <v>-8231.8662646178709</v>
      </c>
      <c r="Y57" s="271">
        <f t="shared" si="23"/>
        <v>-20.95492729530574</v>
      </c>
      <c r="Z57" s="235"/>
      <c r="AB57" s="378">
        <f>+IF(AB56&gt;$I$13+$I$14,XX,AB56+1)</f>
        <v>2038</v>
      </c>
      <c r="AC57" s="117"/>
      <c r="AD57" s="151">
        <f t="shared" si="4"/>
        <v>392836.78481012664</v>
      </c>
      <c r="AF57" s="154">
        <f t="shared" si="25"/>
        <v>151.12141348669695</v>
      </c>
      <c r="AH57" s="154">
        <f t="shared" si="26"/>
        <v>30.270275683832775</v>
      </c>
      <c r="AJ57" s="154">
        <f t="shared" si="27"/>
        <v>3.0891427367586397</v>
      </c>
      <c r="AL57" s="153">
        <f t="shared" si="16"/>
        <v>15917.176413517624</v>
      </c>
      <c r="AN57" s="154">
        <f>INDEX('(2.2)_Forward_Price_Curve'!$K:$K,MATCH($AB57,'(2.2)_Forward_Price_Curve'!$C:$C,0),1)</f>
        <v>6.5604041666666673</v>
      </c>
      <c r="AP57" s="154">
        <f t="shared" si="5"/>
        <v>47.66803661264116</v>
      </c>
      <c r="AR57" s="154">
        <f t="shared" si="28"/>
        <v>3.4859320844323238</v>
      </c>
      <c r="AS57" s="154"/>
      <c r="AT57" s="153">
        <f t="shared" si="6"/>
        <v>9197.9684999820383</v>
      </c>
      <c r="AV57" s="153">
        <f t="shared" si="7"/>
        <v>20095.160593236207</v>
      </c>
      <c r="AW57" s="273"/>
      <c r="AX57" s="155">
        <f t="shared" si="8"/>
        <v>29293.129093218246</v>
      </c>
      <c r="AZ57" s="384">
        <f>+IF(AZ56&gt;$I$13+$I$14,XX,AZ56+1)</f>
        <v>2038</v>
      </c>
      <c r="BA57" s="117"/>
      <c r="BB57" s="154">
        <f t="shared" si="17"/>
        <v>71.951792626726515</v>
      </c>
      <c r="BD57" s="154">
        <f t="shared" si="18"/>
        <v>10.93978051847199</v>
      </c>
      <c r="BF57" s="153">
        <f t="shared" si="9"/>
        <v>6719.2079135355852</v>
      </c>
      <c r="BH57" s="157"/>
    </row>
    <row r="58" spans="2:60" ht="12">
      <c r="B58" s="2"/>
      <c r="C58" s="354">
        <f>+IF(C57&gt;$I$13+$I$14,XX,C57+1)</f>
        <v>2039</v>
      </c>
      <c r="E58" s="356">
        <f>'(2.2)_Forward_Price_Curve'!S52</f>
        <v>2.1999999999999999E-2</v>
      </c>
      <c r="G58" s="470">
        <v>392836.78481012664</v>
      </c>
      <c r="I58" s="360">
        <v>111.22589864263766</v>
      </c>
      <c r="K58" s="471">
        <v>25.754570636990504</v>
      </c>
      <c r="M58" s="28">
        <f t="shared" si="24"/>
        <v>0</v>
      </c>
      <c r="O58" s="471">
        <v>0.95999999999999985</v>
      </c>
      <c r="Q58" s="471">
        <v>0</v>
      </c>
      <c r="S58" s="18">
        <f t="shared" si="20"/>
        <v>21505.830002239494</v>
      </c>
      <c r="U58" s="18">
        <f t="shared" si="21"/>
        <v>30130.295621800164</v>
      </c>
      <c r="W58" s="18">
        <f t="shared" si="22"/>
        <v>-8624.4656195606694</v>
      </c>
      <c r="Y58" s="271">
        <f t="shared" si="23"/>
        <v>-21.954322897050517</v>
      </c>
      <c r="Z58" s="235"/>
      <c r="AB58" s="378">
        <f>+IF(AB57&gt;$I$13+$I$14,XX,AB57+1)</f>
        <v>2039</v>
      </c>
      <c r="AC58" s="117"/>
      <c r="AD58" s="151">
        <f t="shared" si="4"/>
        <v>392836.78481012664</v>
      </c>
      <c r="AF58" s="154">
        <f t="shared" si="25"/>
        <v>154.44608458340429</v>
      </c>
      <c r="AH58" s="154">
        <f t="shared" si="26"/>
        <v>30.936221748877095</v>
      </c>
      <c r="AJ58" s="154">
        <f t="shared" si="27"/>
        <v>3.1571038769673296</v>
      </c>
      <c r="AL58" s="153">
        <f t="shared" si="16"/>
        <v>16267.354294615014</v>
      </c>
      <c r="AN58" s="154">
        <f>INDEX('(2.2)_Forward_Price_Curve'!$K:$K,MATCH($AB58,'(2.2)_Forward_Price_Curve'!$C:$C,0),1)</f>
        <v>6.7722499999999988</v>
      </c>
      <c r="AP58" s="154">
        <f t="shared" si="5"/>
        <v>49.207312956449051</v>
      </c>
      <c r="AR58" s="154">
        <f t="shared" si="28"/>
        <v>3.562622590289835</v>
      </c>
      <c r="AS58" s="154"/>
      <c r="AT58" s="153">
        <f t="shared" si="6"/>
        <v>9400.3238069816452</v>
      </c>
      <c r="AV58" s="153">
        <f t="shared" si="7"/>
        <v>20729.971814818517</v>
      </c>
      <c r="AW58" s="273"/>
      <c r="AX58" s="155">
        <f t="shared" si="8"/>
        <v>30130.295621800164</v>
      </c>
      <c r="AZ58" s="384">
        <f>+IF(AZ57&gt;$I$13+$I$14,XX,AZ57+1)</f>
        <v>2039</v>
      </c>
      <c r="BA58" s="117"/>
      <c r="BB58" s="154">
        <f t="shared" si="17"/>
        <v>73.5347320645145</v>
      </c>
      <c r="BD58" s="154">
        <f t="shared" si="18"/>
        <v>11.180455689878373</v>
      </c>
      <c r="BF58" s="153">
        <f t="shared" si="9"/>
        <v>6867.0304876333685</v>
      </c>
      <c r="BH58" s="157"/>
    </row>
    <row r="59" spans="2:60" ht="12">
      <c r="B59" s="2"/>
      <c r="C59" s="354">
        <f>+IF(C58&gt;$I$13+$I$14,XX,C58+1)</f>
        <v>2040</v>
      </c>
      <c r="E59" s="356">
        <f>'(2.2)_Forward_Price_Curve'!S53</f>
        <v>2.1999999999999999E-2</v>
      </c>
      <c r="G59" s="470">
        <v>392836.78481012664</v>
      </c>
      <c r="I59" s="360">
        <v>113.33919071684778</v>
      </c>
      <c r="K59" s="471">
        <v>26.419109119892358</v>
      </c>
      <c r="M59" s="28">
        <f t="shared" si="24"/>
        <v>0</v>
      </c>
      <c r="O59" s="471">
        <v>0.9800000000000002</v>
      </c>
      <c r="Q59" s="471">
        <v>0</v>
      </c>
      <c r="S59" s="18">
        <f t="shared" si="20"/>
        <v>21983.957814288264</v>
      </c>
      <c r="U59" s="18">
        <f t="shared" si="21"/>
        <v>31234.274039188869</v>
      </c>
      <c r="W59" s="18">
        <f t="shared" si="22"/>
        <v>-9250.3162249006054</v>
      </c>
      <c r="Y59" s="271">
        <f t="shared" si="23"/>
        <v>-23.547479723345266</v>
      </c>
      <c r="Z59" s="235"/>
      <c r="AB59" s="378">
        <f>+IF(AB58&gt;$I$13+$I$14,XX,AB58+1)</f>
        <v>2040</v>
      </c>
      <c r="AC59" s="117"/>
      <c r="AD59" s="151">
        <f t="shared" si="4"/>
        <v>392836.78481012664</v>
      </c>
      <c r="AF59" s="154">
        <f t="shared" si="25"/>
        <v>157.84389844423919</v>
      </c>
      <c r="AH59" s="154">
        <f t="shared" si="26"/>
        <v>31.616818627352391</v>
      </c>
      <c r="AJ59" s="154">
        <f t="shared" si="27"/>
        <v>3.2265601622606108</v>
      </c>
      <c r="AL59" s="153">
        <f t="shared" si="16"/>
        <v>16625.236089096543</v>
      </c>
      <c r="AN59" s="154">
        <f>INDEX('(2.2)_Forward_Price_Curve'!$K:$K,MATCH($AB59,'(2.2)_Forward_Price_Curve'!$C:$C,0),1)</f>
        <v>7.075779166666667</v>
      </c>
      <c r="AP59" s="154">
        <f t="shared" si="5"/>
        <v>51.412762355921451</v>
      </c>
      <c r="AR59" s="154">
        <f t="shared" si="28"/>
        <v>3.6410002872762113</v>
      </c>
      <c r="AS59" s="154"/>
      <c r="AT59" s="153">
        <f t="shared" si="6"/>
        <v>9607.1309307352385</v>
      </c>
      <c r="AV59" s="153">
        <f t="shared" si="7"/>
        <v>21627.143108453631</v>
      </c>
      <c r="AW59" s="273"/>
      <c r="AX59" s="155">
        <f t="shared" si="8"/>
        <v>31234.274039188869</v>
      </c>
      <c r="AZ59" s="384">
        <f>+IF(AZ58&gt;$I$13+$I$14,XX,AZ58+1)</f>
        <v>2040</v>
      </c>
      <c r="BA59" s="117"/>
      <c r="BB59" s="154">
        <f t="shared" si="17"/>
        <v>75.152496169933826</v>
      </c>
      <c r="BD59" s="154">
        <f t="shared" si="18"/>
        <v>11.426425715055698</v>
      </c>
      <c r="BF59" s="153">
        <f t="shared" si="9"/>
        <v>7018.1051583613034</v>
      </c>
      <c r="BH59" s="157"/>
    </row>
    <row r="60" spans="2:60" ht="12">
      <c r="B60" s="2"/>
      <c r="C60" s="354">
        <f>+IF(C59&gt;$I$13+$I$14,XX,C59+1)</f>
        <v>2041</v>
      </c>
      <c r="E60" s="356">
        <f>'(2.2)_Forward_Price_Curve'!S54</f>
        <v>2.1999999999999999E-2</v>
      </c>
      <c r="G60" s="470">
        <v>392836.78481012664</v>
      </c>
      <c r="I60" s="360">
        <v>115.49263534046787</v>
      </c>
      <c r="K60" s="471">
        <v>26.952905054159029</v>
      </c>
      <c r="M60" s="28">
        <f t="shared" si="24"/>
        <v>0</v>
      </c>
      <c r="O60" s="471">
        <v>1</v>
      </c>
      <c r="Q60" s="471">
        <v>0</v>
      </c>
      <c r="S60" s="18">
        <f t="shared" si="20"/>
        <v>22414.70024628489</v>
      </c>
      <c r="U60" s="18">
        <f t="shared" si="21"/>
        <v>31941.645098806544</v>
      </c>
      <c r="W60" s="18">
        <f t="shared" si="22"/>
        <v>-9526.944852521654</v>
      </c>
      <c r="Y60" s="271">
        <f t="shared" si="23"/>
        <v>-24.251661811982295</v>
      </c>
      <c r="Z60" s="235"/>
      <c r="AB60" s="378">
        <f>+IF(AB59&gt;$I$13+$I$14,XX,AB59+1)</f>
        <v>2041</v>
      </c>
      <c r="AC60" s="117"/>
      <c r="AD60" s="151">
        <f t="shared" si="4"/>
        <v>392836.78481012664</v>
      </c>
      <c r="AF60" s="154">
        <f t="shared" si="25"/>
        <v>161.31646421001244</v>
      </c>
      <c r="AH60" s="154">
        <f t="shared" si="26"/>
        <v>32.312388637154143</v>
      </c>
      <c r="AJ60" s="154">
        <f t="shared" si="27"/>
        <v>3.2975444858303442</v>
      </c>
      <c r="AL60" s="153">
        <f t="shared" si="16"/>
        <v>16990.991283056665</v>
      </c>
      <c r="AN60" s="154">
        <f>INDEX('(2.2)_Forward_Price_Curve'!$K:$K,MATCH($AB60,'(2.2)_Forward_Price_Curve'!$C:$C,0),1)</f>
        <v>7.2385291666666687</v>
      </c>
      <c r="AP60" s="154">
        <f t="shared" si="5"/>
        <v>52.59530732748366</v>
      </c>
      <c r="AR60" s="154">
        <f t="shared" si="28"/>
        <v>3.7211022935962879</v>
      </c>
      <c r="AS60" s="154"/>
      <c r="AT60" s="153">
        <f t="shared" si="6"/>
        <v>9818.4878112114129</v>
      </c>
      <c r="AV60" s="153">
        <f t="shared" si="7"/>
        <v>22123.157287595131</v>
      </c>
      <c r="AW60" s="273"/>
      <c r="AX60" s="155">
        <f t="shared" si="8"/>
        <v>31941.645098806544</v>
      </c>
      <c r="AZ60" s="384">
        <f>+IF(AZ59&gt;$I$13+$I$14,XX,AZ59+1)</f>
        <v>2041</v>
      </c>
      <c r="BA60" s="117"/>
      <c r="BB60" s="154">
        <f t="shared" si="17"/>
        <v>76.805851085672373</v>
      </c>
      <c r="BD60" s="154">
        <f t="shared" si="18"/>
        <v>11.677807080786923</v>
      </c>
      <c r="BF60" s="153">
        <f t="shared" si="9"/>
        <v>7172.5034718452516</v>
      </c>
      <c r="BH60" s="157"/>
    </row>
    <row r="61" spans="2:60" ht="12">
      <c r="B61" s="2"/>
      <c r="C61" s="354">
        <f>+IF(C60&gt;$I$13+$I$14,XX,C60+1)</f>
        <v>2042</v>
      </c>
      <c r="E61" s="356">
        <f>'(2.2)_Forward_Price_Curve'!S55</f>
        <v>2.1999999999999999E-2</v>
      </c>
      <c r="G61" s="470">
        <v>392836.78481012664</v>
      </c>
      <c r="I61" s="360">
        <v>117.68699541193676</v>
      </c>
      <c r="K61" s="471">
        <v>27.572821870404685</v>
      </c>
      <c r="M61" s="28">
        <f t="shared" si="24"/>
        <v>0</v>
      </c>
      <c r="O61" s="471">
        <v>1.0199999999999998</v>
      </c>
      <c r="Q61" s="471">
        <v>0</v>
      </c>
      <c r="S61" s="18">
        <f t="shared" si="20"/>
        <v>22883.324758000188</v>
      </c>
      <c r="U61" s="18">
        <f t="shared" si="21"/>
        <v>32664.978883653388</v>
      </c>
      <c r="W61" s="18">
        <f t="shared" si="22"/>
        <v>-9781.6541256532</v>
      </c>
      <c r="Y61" s="271">
        <f t="shared" si="23"/>
        <v>-24.900046288641363</v>
      </c>
      <c r="Z61" s="235"/>
      <c r="AB61" s="378">
        <f>+IF(AB60&gt;$I$13+$I$14,XX,AB60+1)</f>
        <v>2042</v>
      </c>
      <c r="AC61" s="117"/>
      <c r="AD61" s="151">
        <f t="shared" si="4"/>
        <v>392836.78481012664</v>
      </c>
      <c r="AF61" s="154">
        <f t="shared" si="25"/>
        <v>164.86542642263271</v>
      </c>
      <c r="AH61" s="154">
        <f t="shared" si="26"/>
        <v>33.023261187171535</v>
      </c>
      <c r="AJ61" s="154">
        <f t="shared" si="27"/>
        <v>3.3700904645186118</v>
      </c>
      <c r="AL61" s="153">
        <f t="shared" si="16"/>
        <v>17364.793091283915</v>
      </c>
      <c r="AN61" s="154">
        <f>INDEX('(2.2)_Forward_Price_Curve'!$K:$K,MATCH($AB61,'(2.2)_Forward_Price_Curve'!$C:$C,0),1)</f>
        <v>7.4050000000000002</v>
      </c>
      <c r="AP61" s="154">
        <f t="shared" si="5"/>
        <v>53.804887953413605</v>
      </c>
      <c r="AR61" s="154">
        <f t="shared" si="28"/>
        <v>3.8029665440554061</v>
      </c>
      <c r="AS61" s="154"/>
      <c r="AT61" s="153">
        <f t="shared" si="6"/>
        <v>10034.494543058066</v>
      </c>
      <c r="AV61" s="153">
        <f t="shared" si="7"/>
        <v>22630.484340595322</v>
      </c>
      <c r="AW61" s="273"/>
      <c r="AX61" s="155">
        <f t="shared" si="8"/>
        <v>32664.978883653388</v>
      </c>
      <c r="AZ61" s="384">
        <f>+IF(AZ60&gt;$I$13+$I$14,XX,AZ60+1)</f>
        <v>2042</v>
      </c>
      <c r="BA61" s="117"/>
      <c r="BB61" s="154">
        <f t="shared" si="17"/>
        <v>78.495579809557171</v>
      </c>
      <c r="BD61" s="154">
        <f t="shared" si="18"/>
        <v>11.934718836564237</v>
      </c>
      <c r="BF61" s="153">
        <f t="shared" si="9"/>
        <v>7330.2985482258473</v>
      </c>
      <c r="BH61" s="157"/>
    </row>
    <row r="62" spans="2:60" ht="12">
      <c r="B62" s="2"/>
      <c r="C62" s="354">
        <f>+IF(C61&gt;$I$13+$I$14,XX,C61+1)</f>
        <v>2043</v>
      </c>
      <c r="E62" s="356">
        <f>'(2.2)_Forward_Price_Curve'!S56</f>
        <v>2.1999999999999999E-2</v>
      </c>
      <c r="G62" s="470">
        <v>392836.78481012664</v>
      </c>
      <c r="I62" s="360">
        <v>119.92304832476356</v>
      </c>
      <c r="K62" s="471">
        <v>28.206996773423988</v>
      </c>
      <c r="M62" s="28">
        <f t="shared" si="24"/>
        <v>0</v>
      </c>
      <c r="O62" s="471">
        <v>1.05</v>
      </c>
      <c r="Q62" s="471">
        <v>0</v>
      </c>
      <c r="S62" s="18">
        <f t="shared" si="20"/>
        <v>23365.60632982372</v>
      </c>
      <c r="U62" s="18">
        <f t="shared" si="21"/>
        <v>33383.608419093754</v>
      </c>
      <c r="W62" s="18">
        <f t="shared" si="22"/>
        <v>-10018.002089270034</v>
      </c>
      <c r="Y62" s="271">
        <f t="shared" si="23"/>
        <v>-25.501690464430734</v>
      </c>
      <c r="Z62" s="235"/>
      <c r="AB62" s="378">
        <f>+IF(AB61&gt;$I$13+$I$14,XX,AB61+1)</f>
        <v>2043</v>
      </c>
      <c r="AC62" s="117"/>
      <c r="AD62" s="151">
        <f t="shared" si="4"/>
        <v>392836.78481012664</v>
      </c>
      <c r="AF62" s="154">
        <f t="shared" si="25"/>
        <v>168.49246580393063</v>
      </c>
      <c r="AH62" s="154">
        <f t="shared" si="26"/>
        <v>33.749772933289307</v>
      </c>
      <c r="AJ62" s="154">
        <f t="shared" si="27"/>
        <v>3.4442324547380214</v>
      </c>
      <c r="AL62" s="153">
        <f t="shared" si="16"/>
        <v>17746.818539292155</v>
      </c>
      <c r="AN62" s="154">
        <f>INDEX('(2.2)_Forward_Price_Curve'!$K:$K,MATCH($AB62,'(2.2)_Forward_Price_Curve'!$C:$C,0),1)</f>
        <v>7.5679100000000004</v>
      </c>
      <c r="AP62" s="154">
        <f t="shared" si="5"/>
        <v>54.988595488388711</v>
      </c>
      <c r="AR62" s="154">
        <f t="shared" si="28"/>
        <v>3.8866318080246249</v>
      </c>
      <c r="AS62" s="154"/>
      <c r="AT62" s="153">
        <f t="shared" si="6"/>
        <v>10255.253423005339</v>
      </c>
      <c r="AV62" s="153">
        <f t="shared" si="7"/>
        <v>23128.354996088419</v>
      </c>
      <c r="AW62" s="273"/>
      <c r="AX62" s="155">
        <f t="shared" si="8"/>
        <v>33383.608419093754</v>
      </c>
      <c r="AZ62" s="384">
        <f>+IF(AZ61&gt;$I$13+$I$14,XX,AZ61+1)</f>
        <v>2043</v>
      </c>
      <c r="BA62" s="117"/>
      <c r="BB62" s="154">
        <f t="shared" si="17"/>
        <v>80.222482565367429</v>
      </c>
      <c r="BD62" s="154">
        <f t="shared" si="18"/>
        <v>12.197282650968651</v>
      </c>
      <c r="BF62" s="153">
        <f t="shared" si="9"/>
        <v>7491.5651162868162</v>
      </c>
      <c r="BH62" s="157"/>
    </row>
    <row r="63" spans="2:60" ht="12">
      <c r="B63" s="2"/>
      <c r="C63" s="354">
        <f>+IF(C62&gt;$I$13+$I$14,XX,C62+1)</f>
        <v>2044</v>
      </c>
      <c r="E63" s="356">
        <f>'(2.2)_Forward_Price_Curve'!S57</f>
        <v>2.3E-2</v>
      </c>
      <c r="G63" s="470">
        <v>392836.78481012664</v>
      </c>
      <c r="I63" s="360">
        <v>122.20158624293406</v>
      </c>
      <c r="K63" s="471">
        <v>28.934814569621544</v>
      </c>
      <c r="M63" s="28">
        <f t="shared" si="24"/>
        <v>0</v>
      </c>
      <c r="O63" s="471">
        <v>1.0700000000000003</v>
      </c>
      <c r="Q63" s="471">
        <v>0</v>
      </c>
      <c r="S63" s="18">
        <f t="shared" si="20"/>
        <v>23884.951922404642</v>
      </c>
      <c r="U63" s="18">
        <f t="shared" si="21"/>
        <v>34129.829869680034</v>
      </c>
      <c r="W63" s="18">
        <f t="shared" si="22"/>
        <v>-10244.877947275392</v>
      </c>
      <c r="Y63" s="271">
        <f t="shared" si="23"/>
        <v>-26.079222576437544</v>
      </c>
      <c r="Z63" s="235"/>
      <c r="AB63" s="378">
        <f>+IF(AB62&gt;$I$13+$I$14,XX,AB62+1)</f>
        <v>2044</v>
      </c>
      <c r="AC63" s="117"/>
      <c r="AD63" s="151">
        <f t="shared" si="4"/>
        <v>392836.78481012664</v>
      </c>
      <c r="AF63" s="154">
        <f t="shared" si="25"/>
        <v>172.36779251742101</v>
      </c>
      <c r="AH63" s="154">
        <f t="shared" si="26"/>
        <v>34.526017710754957</v>
      </c>
      <c r="AJ63" s="154">
        <f t="shared" si="27"/>
        <v>3.5234498011969957</v>
      </c>
      <c r="AL63" s="153">
        <f t="shared" si="16"/>
        <v>18154.995365695875</v>
      </c>
      <c r="AN63" s="154">
        <f>INDEX('(2.2)_Forward_Price_Curve'!$K:$K,MATCH($AB63,'(2.2)_Forward_Price_Curve'!$C:$C,0),1)</f>
        <v>7.7344040200000004</v>
      </c>
      <c r="AP63" s="154">
        <f t="shared" si="5"/>
        <v>56.198344589133256</v>
      </c>
      <c r="AR63" s="154">
        <f t="shared" si="28"/>
        <v>3.9760243396091908</v>
      </c>
      <c r="AS63" s="154"/>
      <c r="AT63" s="153">
        <f t="shared" si="6"/>
        <v>10491.124251734462</v>
      </c>
      <c r="AV63" s="153">
        <f t="shared" si="7"/>
        <v>23638.705617945569</v>
      </c>
      <c r="AW63" s="273"/>
      <c r="AX63" s="155">
        <f t="shared" si="8"/>
        <v>34129.829869680034</v>
      </c>
      <c r="AZ63" s="384">
        <f>+IF(AZ62&gt;$I$13+$I$14,XX,AZ62+1)</f>
        <v>2044</v>
      </c>
      <c r="BA63" s="117"/>
      <c r="BB63" s="154">
        <f t="shared" si="17"/>
        <v>82.067599664370874</v>
      </c>
      <c r="BD63" s="154">
        <f t="shared" si="18"/>
        <v>12.477820151940929</v>
      </c>
      <c r="BF63" s="153">
        <f t="shared" si="9"/>
        <v>7663.8711139614134</v>
      </c>
      <c r="BH63" s="157"/>
    </row>
    <row r="64" spans="2:60" ht="12">
      <c r="B64" s="2"/>
      <c r="C64" s="354">
        <f>+IF(C63&gt;$I$13+$I$14,XX,C63+1)</f>
        <v>2045</v>
      </c>
      <c r="E64" s="356">
        <f>'(2.2)_Forward_Price_Curve'!S58</f>
        <v>2.3E-2</v>
      </c>
      <c r="G64" s="470">
        <v>392836.78481012664</v>
      </c>
      <c r="I64" s="360">
        <v>124.52341638154979</v>
      </c>
      <c r="K64" s="471">
        <v>29.519440126294636</v>
      </c>
      <c r="M64" s="28">
        <f t="shared" si="24"/>
        <v>0</v>
      </c>
      <c r="O64" s="471">
        <v>1.1000000000000001</v>
      </c>
      <c r="Q64" s="471">
        <v>0</v>
      </c>
      <c r="S64" s="18">
        <f t="shared" si="20"/>
        <v>24356.260633673195</v>
      </c>
      <c r="U64" s="18">
        <f t="shared" si="21"/>
        <v>34892.73917968262</v>
      </c>
      <c r="W64" s="18">
        <f t="shared" si="22"/>
        <v>-10536.478546009424</v>
      </c>
      <c r="Y64" s="271">
        <f t="shared" si="23"/>
        <v>-26.821517112003949</v>
      </c>
      <c r="Z64" s="235"/>
      <c r="AB64" s="378">
        <f>+IF(AB63&gt;$I$13+$I$14,XX,AB63+1)</f>
        <v>2045</v>
      </c>
      <c r="AC64" s="117"/>
      <c r="AD64" s="151">
        <f t="shared" si="4"/>
        <v>392836.78481012664</v>
      </c>
      <c r="AF64" s="154">
        <f t="shared" si="25"/>
        <v>176.33225174532168</v>
      </c>
      <c r="AH64" s="154">
        <f t="shared" si="26"/>
        <v>35.32011611810232</v>
      </c>
      <c r="AJ64" s="154">
        <f t="shared" si="27"/>
        <v>3.6044891466245264</v>
      </c>
      <c r="AL64" s="153">
        <f t="shared" si="16"/>
        <v>18572.560259106878</v>
      </c>
      <c r="AN64" s="154">
        <f>INDEX('(2.2)_Forward_Price_Curve'!$K:$K,MATCH($AB64,'(2.2)_Forward_Price_Curve'!$C:$C,0),1)</f>
        <v>7.9045609084400006</v>
      </c>
      <c r="AP64" s="154">
        <f t="shared" si="5"/>
        <v>57.43470817009419</v>
      </c>
      <c r="AR64" s="154">
        <f t="shared" si="28"/>
        <v>4.0674728994202018</v>
      </c>
      <c r="AS64" s="154"/>
      <c r="AT64" s="153">
        <f t="shared" si="6"/>
        <v>10732.420109524353</v>
      </c>
      <c r="AV64" s="153">
        <f t="shared" si="7"/>
        <v>24160.319070158268</v>
      </c>
      <c r="AW64" s="273"/>
      <c r="AX64" s="155">
        <f t="shared" si="8"/>
        <v>34892.73917968262</v>
      </c>
      <c r="AZ64" s="384">
        <f>+IF(AZ63&gt;$I$13+$I$14,XX,AZ63+1)</f>
        <v>2045</v>
      </c>
      <c r="BA64" s="117"/>
      <c r="BB64" s="154">
        <f t="shared" si="17"/>
        <v>83.9551544566514</v>
      </c>
      <c r="BD64" s="154">
        <f t="shared" si="18"/>
        <v>12.764810015435568</v>
      </c>
      <c r="BF64" s="153">
        <f t="shared" si="9"/>
        <v>7840.1401495825248</v>
      </c>
      <c r="BH64" s="157"/>
    </row>
    <row r="65" spans="2:60" ht="12">
      <c r="B65" s="2"/>
      <c r="C65" s="354">
        <f>+IF(C64&gt;$I$13+$I$14,XX,C64+1)</f>
        <v>2046</v>
      </c>
      <c r="E65" s="356">
        <f>'(2.2)_Forward_Price_Curve'!S59</f>
        <v>2.3E-2</v>
      </c>
      <c r="G65" s="470">
        <v>392836.78481012664</v>
      </c>
      <c r="I65" s="360">
        <v>126.88936129279922</v>
      </c>
      <c r="K65" s="471">
        <v>30.198387249199406</v>
      </c>
      <c r="M65" s="28">
        <f t="shared" si="24"/>
        <v>0</v>
      </c>
      <c r="O65" s="471">
        <v>1.1200000000000001</v>
      </c>
      <c r="Q65" s="471">
        <v>0</v>
      </c>
      <c r="S65" s="18">
        <f t="shared" si="20"/>
        <v>24865.061320401084</v>
      </c>
      <c r="U65" s="18">
        <f t="shared" si="21"/>
        <v>35672.709714721277</v>
      </c>
      <c r="W65" s="18">
        <f t="shared" si="22"/>
        <v>-10807.648394320193</v>
      </c>
      <c r="Y65" s="271">
        <f t="shared" si="23"/>
        <v>-27.511803405946193</v>
      </c>
      <c r="Z65" s="235"/>
      <c r="AB65" s="378">
        <f>+IF(AB64&gt;$I$13+$I$14,XX,AB64+1)</f>
        <v>2046</v>
      </c>
      <c r="AC65" s="117"/>
      <c r="AD65" s="151">
        <f t="shared" si="4"/>
        <v>392836.78481012664</v>
      </c>
      <c r="AF65" s="154">
        <f t="shared" si="25"/>
        <v>180.38789353546406</v>
      </c>
      <c r="AH65" s="154">
        <f t="shared" si="26"/>
        <v>36.132478788818666</v>
      </c>
      <c r="AJ65" s="154">
        <f t="shared" si="27"/>
        <v>3.68739239699689</v>
      </c>
      <c r="AL65" s="153">
        <f t="shared" si="16"/>
        <v>18999.729145066332</v>
      </c>
      <c r="AN65" s="154">
        <f>INDEX('(2.2)_Forward_Price_Curve'!$K:$K,MATCH($AB65,'(2.2)_Forward_Price_Curve'!$C:$C,0),1)</f>
        <v>8.0784612484256808</v>
      </c>
      <c r="AP65" s="154">
        <f t="shared" si="5"/>
        <v>58.698271749836266</v>
      </c>
      <c r="AR65" s="154">
        <f t="shared" si="28"/>
        <v>4.1610247761068662</v>
      </c>
      <c r="AS65" s="154"/>
      <c r="AT65" s="153">
        <f t="shared" si="6"/>
        <v>10979.265772043411</v>
      </c>
      <c r="AV65" s="153">
        <f t="shared" si="7"/>
        <v>24693.443942677863</v>
      </c>
      <c r="AW65" s="273"/>
      <c r="AX65" s="155">
        <f t="shared" si="8"/>
        <v>35672.709714721277</v>
      </c>
      <c r="AZ65" s="384">
        <f>+IF(AZ64&gt;$I$13+$I$14,XX,AZ64+1)</f>
        <v>2046</v>
      </c>
      <c r="BA65" s="117"/>
      <c r="BB65" s="154">
        <f t="shared" si="17"/>
        <v>85.886123009154375</v>
      </c>
      <c r="BD65" s="154">
        <f t="shared" si="18"/>
        <v>13.058400645790584</v>
      </c>
      <c r="BF65" s="153">
        <f t="shared" si="9"/>
        <v>8020.4633730229225</v>
      </c>
      <c r="BH65" s="157"/>
    </row>
    <row r="66" spans="2:60" ht="12">
      <c r="B66" s="2"/>
      <c r="C66" s="354">
        <f>+IF(C65&gt;$I$13+$I$14,XX,C65+1)</f>
        <v>2047</v>
      </c>
      <c r="E66" s="356">
        <f>'(2.2)_Forward_Price_Curve'!S60</f>
        <v>2.3E-2</v>
      </c>
      <c r="G66" s="470">
        <v>392836.78481012664</v>
      </c>
      <c r="I66" s="360">
        <v>129.3002591573624</v>
      </c>
      <c r="K66" s="471">
        <v>30.892950155930983</v>
      </c>
      <c r="M66" s="28">
        <f t="shared" si="24"/>
        <v>0</v>
      </c>
      <c r="O66" s="471">
        <v>1.1499999999999997</v>
      </c>
      <c r="Q66" s="471">
        <v>0</v>
      </c>
      <c r="S66" s="18">
        <f t="shared" si="20"/>
        <v>25388.37517166595</v>
      </c>
      <c r="U66" s="18">
        <f t="shared" si="21"/>
        <v>36470.12319781175</v>
      </c>
      <c r="W66" s="18">
        <f t="shared" si="22"/>
        <v>-11081.7480261458</v>
      </c>
      <c r="Y66" s="271">
        <f t="shared" si="23"/>
        <v>-28.209547717131539</v>
      </c>
      <c r="Z66" s="235"/>
      <c r="AB66" s="378">
        <f>+IF(AB65&gt;$I$13+$I$14,XX,AB65+1)</f>
        <v>2047</v>
      </c>
      <c r="AC66" s="117"/>
      <c r="AD66" s="151">
        <f t="shared" si="4"/>
        <v>392836.78481012664</v>
      </c>
      <c r="AF66" s="154">
        <f t="shared" si="25"/>
        <v>184.53681508677971</v>
      </c>
      <c r="AH66" s="154">
        <f t="shared" si="26"/>
        <v>36.963525800961492</v>
      </c>
      <c r="AJ66" s="154">
        <f t="shared" si="27"/>
        <v>3.7722024221278181</v>
      </c>
      <c r="AL66" s="153">
        <f t="shared" si="16"/>
        <v>19436.722915402865</v>
      </c>
      <c r="AN66" s="154">
        <f>INDEX('(2.2)_Forward_Price_Curve'!$K:$K,MATCH($AB66,'(2.2)_Forward_Price_Curve'!$C:$C,0),1)</f>
        <v>8.2561873958910468</v>
      </c>
      <c r="AP66" s="154">
        <f t="shared" si="5"/>
        <v>59.98963372833267</v>
      </c>
      <c r="AR66" s="154">
        <f t="shared" si="28"/>
        <v>4.256728345957324</v>
      </c>
      <c r="AS66" s="154"/>
      <c r="AT66" s="153">
        <f t="shared" si="6"/>
        <v>11231.788884800417</v>
      </c>
      <c r="AV66" s="153">
        <f t="shared" si="7"/>
        <v>25238.334313011335</v>
      </c>
      <c r="AW66" s="273"/>
      <c r="AX66" s="155">
        <f t="shared" si="8"/>
        <v>36470.12319781175</v>
      </c>
      <c r="AZ66" s="384">
        <f>+IF(AZ65&gt;$I$13+$I$14,XX,AZ65+1)</f>
        <v>2047</v>
      </c>
      <c r="BA66" s="117"/>
      <c r="BB66" s="154">
        <f t="shared" si="17"/>
        <v>87.861503838364911</v>
      </c>
      <c r="BD66" s="154">
        <f t="shared" si="18"/>
        <v>13.358743860643767</v>
      </c>
      <c r="BF66" s="153">
        <f t="shared" si="9"/>
        <v>8204.9340306024478</v>
      </c>
      <c r="BH66" s="157"/>
    </row>
    <row r="67" spans="2:60" ht="12">
      <c r="B67" s="2"/>
      <c r="C67" s="354">
        <f>+IF(C66&gt;$I$13+$I$14,XX,C66+1)</f>
        <v>2048</v>
      </c>
      <c r="E67" s="356">
        <f>'(2.2)_Forward_Price_Curve'!S61</f>
        <v>2.1999999999999999E-2</v>
      </c>
      <c r="G67" s="470">
        <v>392836.78481012664</v>
      </c>
      <c r="I67" s="360">
        <v>131.75696408135232</v>
      </c>
      <c r="K67" s="471">
        <v>31.690072908173615</v>
      </c>
      <c r="M67" s="28">
        <f t="shared" si="24"/>
        <v>0</v>
      </c>
      <c r="O67" s="471">
        <v>1.17</v>
      </c>
      <c r="Q67" s="471">
        <v>0</v>
      </c>
      <c r="S67" s="18">
        <f t="shared" si="20"/>
        <v>25952.584833927147</v>
      </c>
      <c r="U67" s="18">
        <f t="shared" si="21"/>
        <v>37272.465908163613</v>
      </c>
      <c r="W67" s="18">
        <f t="shared" si="22"/>
        <v>-11319.881074236466</v>
      </c>
      <c r="Y67" s="271">
        <f t="shared" si="23"/>
        <v>-28.815735979785615</v>
      </c>
      <c r="Z67" s="235"/>
      <c r="AB67" s="378">
        <f>+IF(AB66&gt;$I$13+$I$14,XX,AB66+1)</f>
        <v>2048</v>
      </c>
      <c r="AC67" s="117"/>
      <c r="AD67" s="151">
        <f t="shared" si="4"/>
        <v>392836.78481012664</v>
      </c>
      <c r="AF67" s="154">
        <f t="shared" si="25"/>
        <v>188.59662501868885</v>
      </c>
      <c r="AH67" s="154">
        <f t="shared" si="26"/>
        <v>37.776723368582644</v>
      </c>
      <c r="AJ67" s="154">
        <f t="shared" si="27"/>
        <v>3.85519087541463</v>
      </c>
      <c r="AL67" s="153">
        <f>((AF67+AH67)*$AF$11*1000+AJ67*AD67)/1000</f>
        <v>19864.330819541723</v>
      </c>
      <c r="AN67" s="154">
        <f>INDEX('(2.2)_Forward_Price_Curve'!$K:$K,MATCH($AB67,'(2.2)_Forward_Price_Curve'!$C:$C,0),1)</f>
        <v>8.4378235186006503</v>
      </c>
      <c r="AP67" s="154">
        <f t="shared" si="5"/>
        <v>61.309405670356</v>
      </c>
      <c r="AR67" s="154">
        <f t="shared" si="28"/>
        <v>4.3503763695683855</v>
      </c>
      <c r="AS67" s="154"/>
      <c r="AT67" s="153">
        <f t="shared" si="6"/>
        <v>11478.88824026602</v>
      </c>
      <c r="AV67" s="153">
        <f t="shared" si="7"/>
        <v>25793.577667897593</v>
      </c>
      <c r="AW67" s="273"/>
      <c r="AX67" s="155">
        <f t="shared" si="8"/>
        <v>37272.465908163613</v>
      </c>
      <c r="AZ67" s="384">
        <f>+IF(AZ66&gt;$I$13+$I$14,XX,AZ66+1)</f>
        <v>2048</v>
      </c>
      <c r="BA67" s="117"/>
      <c r="BB67" s="154">
        <f t="shared" si="17"/>
        <v>89.794456922808934</v>
      </c>
      <c r="BD67" s="154">
        <f t="shared" si="18"/>
        <v>13.652636225577929</v>
      </c>
      <c r="BF67" s="153">
        <f t="shared" si="9"/>
        <v>8385.4425792757029</v>
      </c>
      <c r="BH67" s="157"/>
    </row>
    <row r="68" spans="2:60" ht="12">
      <c r="B68" s="2"/>
      <c r="C68" s="354">
        <f>+IF(C67&gt;$I$13+$I$14,XX,C67+1)</f>
        <v>2049</v>
      </c>
      <c r="E68" s="356">
        <f>'(2.2)_Forward_Price_Curve'!S62</f>
        <v>2.1999999999999999E-2</v>
      </c>
      <c r="G68" s="470">
        <v>163234.77510894378</v>
      </c>
      <c r="I68" s="360">
        <v>67.130173199449004</v>
      </c>
      <c r="K68" s="471">
        <v>13.470986764056793</v>
      </c>
      <c r="M68" s="28">
        <f t="shared" si="24"/>
        <v>0</v>
      </c>
      <c r="O68" s="471">
        <v>1.2000000000000002</v>
      </c>
      <c r="Q68" s="471">
        <v>0</v>
      </c>
      <c r="S68" s="18">
        <f t="shared" si="20"/>
        <v>9040.7023718025521</v>
      </c>
      <c r="U68" s="18">
        <f t="shared" si="21"/>
        <v>16592.71440621691</v>
      </c>
      <c r="W68" s="18">
        <f t="shared" si="22"/>
        <v>-7552.0120344143579</v>
      </c>
      <c r="Y68" s="271">
        <f t="shared" si="23"/>
        <v>-46.264725328130012</v>
      </c>
      <c r="Z68" s="235"/>
      <c r="AB68" s="378">
        <f>+IF(AB67&gt;$I$13+$I$14,XX,AB67+1)</f>
        <v>2049</v>
      </c>
      <c r="AC68" s="117"/>
      <c r="AD68" s="151">
        <f t="shared" si="4"/>
        <v>163234.77510894378</v>
      </c>
      <c r="AF68" s="154">
        <f t="shared" si="25"/>
        <v>192.7457507691</v>
      </c>
      <c r="AH68" s="154">
        <f t="shared" si="26"/>
        <v>38.607811282691465</v>
      </c>
      <c r="AJ68" s="154">
        <f t="shared" si="27"/>
        <v>3.9400050746737518</v>
      </c>
      <c r="AL68" s="153">
        <f>((AF68+AH68)*$AR$11*1000+AJ68*AD68)/1000</f>
        <v>14208.881852637591</v>
      </c>
      <c r="AN68" s="154">
        <f>INDEX('(2.2)_Forward_Price_Curve'!$K:$K,MATCH($AB68,'(2.2)_Forward_Price_Curve'!$C:$C,0),1)</f>
        <v>8.6234556360098651</v>
      </c>
      <c r="AP68" s="154">
        <f t="shared" si="5"/>
        <v>62.658212595103834</v>
      </c>
      <c r="AR68" s="154">
        <f t="shared" si="28"/>
        <v>4.4460846496988902</v>
      </c>
      <c r="AS68" s="154"/>
      <c r="AT68" s="153">
        <f t="shared" si="6"/>
        <v>5638.9595366178237</v>
      </c>
      <c r="AV68" s="153">
        <f t="shared" si="7"/>
        <v>10953.754869599088</v>
      </c>
      <c r="AW68" s="273"/>
      <c r="AX68" s="155">
        <f t="shared" si="8"/>
        <v>16592.71440621691</v>
      </c>
      <c r="AZ68" s="384">
        <f>+IF(AZ67&gt;$I$13+$I$14,XX,AZ67+1)</f>
        <v>2049</v>
      </c>
      <c r="BA68" s="117"/>
      <c r="BB68" s="154">
        <f t="shared" si="17"/>
        <v>91.769934975110729</v>
      </c>
      <c r="BD68" s="154">
        <f t="shared" si="18"/>
        <v>13.952994222540644</v>
      </c>
      <c r="BF68" s="153">
        <f t="shared" si="9"/>
        <v>8569.9223160197671</v>
      </c>
      <c r="BH68" s="157"/>
    </row>
    <row r="69" spans="2:60">
      <c r="B69" s="2"/>
      <c r="E69" s="169"/>
      <c r="G69" s="267"/>
      <c r="H69" s="267"/>
      <c r="I69" s="267"/>
      <c r="K69" s="267"/>
      <c r="M69" s="267"/>
      <c r="O69" s="267"/>
      <c r="Q69" s="267"/>
      <c r="S69" s="267"/>
      <c r="U69" s="267"/>
      <c r="W69" s="267"/>
      <c r="Y69" s="267"/>
      <c r="Z69" s="235"/>
      <c r="AB69" s="2"/>
      <c r="AF69" s="274"/>
      <c r="AH69" s="274"/>
      <c r="AJ69" s="274"/>
      <c r="AL69" s="273"/>
      <c r="AN69" s="274"/>
      <c r="AP69" s="274"/>
      <c r="AR69" s="274"/>
      <c r="AS69" s="274"/>
      <c r="AT69" s="274"/>
      <c r="AV69" s="273"/>
      <c r="AW69" s="273"/>
      <c r="AX69" s="275"/>
      <c r="AZ69" s="2"/>
      <c r="BB69" s="274"/>
      <c r="BF69" s="273"/>
      <c r="BH69" s="235"/>
    </row>
    <row r="70" spans="2:60" ht="12">
      <c r="B70" s="2"/>
      <c r="C70" s="4" t="s">
        <v>342</v>
      </c>
      <c r="E70" s="169"/>
      <c r="G70" s="466">
        <f>+-PMT($I$18,41,NPV($I$18,G28:G68))</f>
        <v>365480.81174413947</v>
      </c>
      <c r="I70" s="466">
        <f>+-PMT($I$18,41,NPV($I$18,I28:I68))</f>
        <v>217.74449468504244</v>
      </c>
      <c r="J70" s="28"/>
      <c r="K70" s="466">
        <f>+-PMT($I$18,41,NPV($I$18,K28:K68))</f>
        <v>11.885279703525475</v>
      </c>
      <c r="M70" s="28">
        <f>+-PMT($G$18,$G$14,NPV($G$18,M28:M51))</f>
        <v>0</v>
      </c>
      <c r="O70" s="466">
        <f>+-PMT($I$18,41,NPV($I$18,O28:O68))</f>
        <v>3.4222699312433287</v>
      </c>
      <c r="Q70" s="466">
        <f>+-PMT($I$18,41,NPV($I$18,Q28:Q68))</f>
        <v>-28.157798181959532</v>
      </c>
      <c r="S70" s="466">
        <f>+-PMT($I$18,41,NPV($I$18,S28:S68))</f>
        <v>17170.797639483721</v>
      </c>
      <c r="U70" s="466">
        <f>+-PMT($I$18,41,NPV($I$18,U28:U68))</f>
        <v>22852.715510645838</v>
      </c>
      <c r="W70" s="285">
        <f>+-PMT($I$18,41,NPV($I$18,W28:W68))</f>
        <v>-5681.9178711621162</v>
      </c>
      <c r="Y70" s="466">
        <f>+-PMT($I$18,41,NPV($I$18,Y28:Y68))</f>
        <v>-17.131349246162966</v>
      </c>
      <c r="Z70" s="235"/>
      <c r="AB70" s="2"/>
      <c r="AD70" s="466">
        <f>+-PMT($I$18,41,NPV($I$18,AD28:AD68))</f>
        <v>365480.81174413947</v>
      </c>
      <c r="AF70" s="466">
        <f>+-PMT($I$18,41,NPV($I$18,AF28:AF68))</f>
        <v>94.182078616446063</v>
      </c>
      <c r="AH70" s="466">
        <f>+-PMT($I$18,41,NPV($I$18,AH28:AH68))</f>
        <v>16.973878524490814</v>
      </c>
      <c r="AJ70" s="466">
        <f>+-PMT($I$18,41,NPV($I$18,AJ28:AJ68))</f>
        <v>2.5370140171159856</v>
      </c>
      <c r="AL70" s="467">
        <f>+-PMT($I$18,41,NPV($I$18,AL28:AL68))</f>
        <v>9911.1438876621687</v>
      </c>
      <c r="AN70" s="466">
        <f>+-PMT($I$18,41,NPV($I$18,AN28:AN68))</f>
        <v>6.3870502564255052</v>
      </c>
      <c r="AP70" s="466">
        <f>+-PMT($I$18,41,NPV($I$18,AP28:AP68))</f>
        <v>46.408443403078429</v>
      </c>
      <c r="AR70" s="466">
        <f>+-PMT($I$18,41,NPV($I$18,AR28:AR68))</f>
        <v>2.7449700625634819</v>
      </c>
      <c r="AS70" s="154"/>
      <c r="AT70" s="467">
        <f>+-PMT($I$18,41,NPV($I$18,AT28:AT68))</f>
        <v>5134.9830921121011</v>
      </c>
      <c r="AV70" s="467">
        <f>+-PMT($I$18,41,NPV($I$18,AV28:AV68))</f>
        <v>17717.732418533735</v>
      </c>
      <c r="AW70" s="273"/>
      <c r="AX70" s="467">
        <f>+-PMT($I$18,41,NPV($I$18,AX28:AX68))</f>
        <v>22852.715510645838</v>
      </c>
      <c r="AY70" s="311"/>
      <c r="AZ70" s="2"/>
      <c r="BB70" s="466">
        <f>+-PMT($I$18,41,NPV($I$18,BB28:BB68))</f>
        <v>51.144917010388028</v>
      </c>
      <c r="BD70" s="466">
        <f>+-PMT($I$18,41,NPV($I$18,BD28:BD68))</f>
        <v>7.7762366482204612</v>
      </c>
      <c r="BF70" s="467">
        <f>+-PMT($I$18,41,NPV($I$18,BF28:BF68))</f>
        <v>4776.1607955500749</v>
      </c>
      <c r="BH70" s="157"/>
    </row>
    <row r="71" spans="2:60" ht="12">
      <c r="B71" s="2"/>
      <c r="E71" s="169"/>
      <c r="G71" s="466"/>
      <c r="I71" s="466"/>
      <c r="J71" s="28"/>
      <c r="K71" s="466"/>
      <c r="M71" s="28"/>
      <c r="O71" s="28"/>
      <c r="Q71" s="466"/>
      <c r="S71" s="18"/>
      <c r="U71" s="18"/>
      <c r="W71" s="18"/>
      <c r="Y71" s="271"/>
      <c r="Z71" s="235"/>
      <c r="AB71" s="2"/>
      <c r="AD71" s="151"/>
      <c r="AF71" s="154"/>
      <c r="AH71" s="154"/>
      <c r="AJ71" s="154"/>
      <c r="AL71" s="153"/>
      <c r="AN71" s="154"/>
      <c r="AP71" s="154"/>
      <c r="AR71" s="154"/>
      <c r="AS71" s="154"/>
      <c r="AT71" s="153"/>
      <c r="AV71" s="153"/>
      <c r="AW71" s="273"/>
      <c r="AX71" s="155"/>
      <c r="AZ71" s="2"/>
      <c r="BB71" s="154"/>
      <c r="BD71" s="154"/>
      <c r="BF71" s="153"/>
      <c r="BH71" s="157"/>
    </row>
    <row r="72" spans="2:60" ht="12">
      <c r="B72" s="2"/>
      <c r="E72" s="169"/>
      <c r="I72" s="466"/>
      <c r="W72" s="18"/>
      <c r="Y72" s="271"/>
      <c r="Z72" s="235"/>
      <c r="AB72" s="2"/>
      <c r="AX72" s="235"/>
      <c r="AZ72" s="2"/>
      <c r="BH72" s="235"/>
    </row>
    <row r="73" spans="2:60">
      <c r="B73" s="238"/>
      <c r="C73" s="277"/>
      <c r="D73" s="277"/>
      <c r="E73" s="278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39"/>
      <c r="AB73" s="238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39"/>
      <c r="AZ73" s="238"/>
      <c r="BA73" s="277"/>
      <c r="BB73" s="277"/>
      <c r="BC73" s="277"/>
      <c r="BD73" s="277"/>
      <c r="BE73" s="277"/>
      <c r="BF73" s="277"/>
      <c r="BG73" s="277"/>
      <c r="BH73" s="239"/>
    </row>
    <row r="74" spans="2:60">
      <c r="E74" s="169"/>
    </row>
    <row r="75" spans="2:60">
      <c r="E75" s="169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</sheetData>
  <pageMargins left="0.25" right="0.25" top="0.25" bottom="0.75" header="0.3" footer="0.3"/>
  <pageSetup paperSize="5" scale="48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DF86F-2C2B-42C5-AFCE-0547061412D2}">
  <sheetPr codeName="Sheet37">
    <tabColor theme="0" tint="-0.249977111117893"/>
    <pageSetUpPr fitToPage="1"/>
  </sheetPr>
  <dimension ref="A1:BL81"/>
  <sheetViews>
    <sheetView workbookViewId="0"/>
  </sheetViews>
  <sheetFormatPr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2.8320312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64" s="231" customFormat="1">
      <c r="A1" s="231" t="s">
        <v>0</v>
      </c>
    </row>
    <row r="2" spans="1:64" s="231" customFormat="1">
      <c r="A2" s="231" t="s">
        <v>143</v>
      </c>
    </row>
    <row r="3" spans="1:64" s="231" customFormat="1">
      <c r="A3" s="231" t="s">
        <v>1</v>
      </c>
    </row>
    <row r="4" spans="1:64" s="231" customFormat="1"/>
    <row r="5" spans="1:64" s="231" customFormat="1"/>
    <row r="8" spans="1:64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N8" s="385" t="s">
        <v>96</v>
      </c>
      <c r="AO8" s="386"/>
      <c r="AP8" s="386"/>
      <c r="AQ8" s="386"/>
      <c r="AR8" s="386"/>
      <c r="AS8" s="386"/>
      <c r="AT8" s="386"/>
      <c r="AU8" s="386"/>
      <c r="AV8" s="386"/>
      <c r="AW8" s="387"/>
      <c r="AZ8" s="244" t="s">
        <v>97</v>
      </c>
      <c r="BA8" s="245"/>
      <c r="BB8" s="245"/>
      <c r="BC8" s="245"/>
      <c r="BD8" s="245"/>
      <c r="BE8" s="246"/>
      <c r="BG8" s="385" t="s">
        <v>97</v>
      </c>
      <c r="BH8" s="386"/>
      <c r="BI8" s="386"/>
      <c r="BJ8" s="386"/>
      <c r="BK8" s="386"/>
      <c r="BL8" s="387"/>
    </row>
    <row r="9" spans="1:64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N9" s="436"/>
      <c r="AO9" s="437"/>
      <c r="AP9" s="437"/>
      <c r="AQ9" s="437"/>
      <c r="AR9" s="438"/>
      <c r="AS9" s="437"/>
      <c r="AT9" s="437"/>
      <c r="AU9" s="437"/>
      <c r="AV9" s="439"/>
      <c r="AW9" s="440"/>
      <c r="AZ9" s="116"/>
      <c r="BA9" s="117"/>
      <c r="BB9" s="117"/>
      <c r="BC9" s="117"/>
      <c r="BD9" s="118"/>
      <c r="BE9" s="121"/>
      <c r="BG9" s="436"/>
      <c r="BH9" s="437"/>
      <c r="BI9" s="437"/>
      <c r="BJ9" s="437"/>
      <c r="BK9" s="438"/>
      <c r="BL9" s="441"/>
    </row>
    <row r="10" spans="1:64" ht="12">
      <c r="B10" s="250"/>
      <c r="C10" s="231" t="s">
        <v>98</v>
      </c>
      <c r="D10" s="231"/>
      <c r="E10" s="231"/>
      <c r="F10" s="231"/>
      <c r="G10" s="251" t="s">
        <v>340</v>
      </c>
      <c r="H10" s="252"/>
      <c r="I10" s="347" t="s">
        <v>228</v>
      </c>
      <c r="AB10" s="122"/>
      <c r="AC10" s="123"/>
      <c r="AD10" s="123"/>
      <c r="AE10" s="123"/>
      <c r="AF10" s="124"/>
      <c r="AG10" s="125"/>
      <c r="AH10" s="126"/>
      <c r="AI10" s="127"/>
      <c r="AK10" s="235"/>
      <c r="AN10" s="388" t="s">
        <v>230</v>
      </c>
      <c r="AO10" s="389"/>
      <c r="AP10" s="389"/>
      <c r="AQ10" s="389"/>
      <c r="AR10" s="390"/>
      <c r="AS10" s="391"/>
      <c r="AT10" s="392"/>
      <c r="AU10" s="393"/>
      <c r="AV10" s="394"/>
      <c r="AW10" s="395"/>
      <c r="AZ10" s="122"/>
      <c r="BA10" s="123"/>
      <c r="BB10" s="123"/>
      <c r="BC10" s="123"/>
      <c r="BD10" s="124"/>
      <c r="BE10" s="128"/>
      <c r="BG10" s="388" t="s">
        <v>230</v>
      </c>
      <c r="BH10" s="389"/>
      <c r="BI10" s="389"/>
      <c r="BJ10" s="389"/>
      <c r="BK10" s="390"/>
      <c r="BL10" s="398"/>
    </row>
    <row r="11" spans="1:64" ht="12">
      <c r="B11" s="250"/>
      <c r="C11" s="231" t="s">
        <v>31</v>
      </c>
      <c r="D11" s="231"/>
      <c r="E11" s="231"/>
      <c r="F11" s="231"/>
      <c r="G11" s="251">
        <v>19.5</v>
      </c>
      <c r="H11" s="252"/>
      <c r="I11" s="348">
        <v>19.5</v>
      </c>
      <c r="AB11" s="122" t="s">
        <v>99</v>
      </c>
      <c r="AC11" s="123"/>
      <c r="AD11" s="123"/>
      <c r="AE11" s="123"/>
      <c r="AF11" s="134">
        <f>+G11*(G12/AJ16)</f>
        <v>17.541218613537112</v>
      </c>
      <c r="AG11" s="127"/>
      <c r="AH11" s="123" t="s">
        <v>100</v>
      </c>
      <c r="AI11" s="124"/>
      <c r="AJ11" s="129">
        <v>7.9126910299003335</v>
      </c>
      <c r="AK11" s="235"/>
      <c r="AN11" s="444" t="s">
        <v>99</v>
      </c>
      <c r="AO11" s="445"/>
      <c r="AP11" s="445"/>
      <c r="AQ11" s="445"/>
      <c r="AR11" s="446">
        <f>+I11*(I12/AV16)</f>
        <v>11.902157981815892</v>
      </c>
      <c r="AS11" s="447"/>
      <c r="AT11" s="445" t="s">
        <v>100</v>
      </c>
      <c r="AU11" s="448"/>
      <c r="AV11" s="396">
        <f>'(2.1)_Proxy Resources'!N53</f>
        <v>19.805241420865066</v>
      </c>
      <c r="AW11" s="235"/>
      <c r="AZ11" s="122" t="s">
        <v>99</v>
      </c>
      <c r="BA11" s="123"/>
      <c r="BB11" s="123"/>
      <c r="BC11" s="123"/>
      <c r="BD11" s="134">
        <f>(AF11*AF13-G11*B19)</f>
        <v>17.541218613537112</v>
      </c>
      <c r="BE11" s="130"/>
      <c r="BG11" s="444" t="s">
        <v>99</v>
      </c>
      <c r="BH11" s="445"/>
      <c r="BI11" s="445"/>
      <c r="BJ11" s="445"/>
      <c r="BK11" s="368">
        <f>(AR11*AR13-I11*I19)</f>
        <v>8.8211579818158921</v>
      </c>
      <c r="BL11" s="449"/>
    </row>
    <row r="12" spans="1:64" ht="12">
      <c r="B12" s="250"/>
      <c r="C12" s="231" t="s">
        <v>32</v>
      </c>
      <c r="D12" s="231"/>
      <c r="E12" s="231"/>
      <c r="F12" s="231"/>
      <c r="G12" s="542">
        <v>0.438</v>
      </c>
      <c r="H12" s="252"/>
      <c r="I12" s="349">
        <v>0.42899999999999999</v>
      </c>
      <c r="AB12" s="122" t="s">
        <v>32</v>
      </c>
      <c r="AC12" s="123"/>
      <c r="AD12" s="123"/>
      <c r="AE12" s="123"/>
      <c r="AF12" s="131">
        <f>+AD53/8760/AF11</f>
        <v>0.49759651338318484</v>
      </c>
      <c r="AG12" s="127"/>
      <c r="AH12" s="117" t="s">
        <v>101</v>
      </c>
      <c r="AI12" s="118"/>
      <c r="AJ12" s="117">
        <v>2006</v>
      </c>
      <c r="AK12" s="235"/>
      <c r="AN12" s="444" t="s">
        <v>32</v>
      </c>
      <c r="AO12" s="445"/>
      <c r="AP12" s="445"/>
      <c r="AQ12" s="445"/>
      <c r="AR12" s="131">
        <f>AD70/8760/AR11</f>
        <v>0.70352981994928987</v>
      </c>
      <c r="AS12" s="447"/>
      <c r="AT12" s="437" t="s">
        <v>101</v>
      </c>
      <c r="AU12" s="438"/>
      <c r="AV12" s="450">
        <v>2016</v>
      </c>
      <c r="AW12" s="235"/>
      <c r="AZ12" s="122"/>
      <c r="BA12" s="123"/>
      <c r="BB12" s="123"/>
      <c r="BC12" s="123"/>
      <c r="BD12" s="539"/>
      <c r="BE12" s="132"/>
      <c r="BG12" s="444"/>
      <c r="BH12" s="445"/>
      <c r="BI12" s="445"/>
      <c r="BJ12" s="445"/>
      <c r="BK12" s="451"/>
      <c r="BL12" s="452"/>
    </row>
    <row r="13" spans="1:64" ht="12">
      <c r="B13" s="250"/>
      <c r="C13" s="231" t="s">
        <v>33</v>
      </c>
      <c r="D13" s="231"/>
      <c r="E13" s="231"/>
      <c r="F13" s="231"/>
      <c r="G13" s="251">
        <v>2009</v>
      </c>
      <c r="H13" s="252"/>
      <c r="I13" s="350">
        <v>2019</v>
      </c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v>2.2243013100436677</v>
      </c>
      <c r="AK13" s="235"/>
      <c r="AN13" s="444" t="s">
        <v>102</v>
      </c>
      <c r="AO13" s="445"/>
      <c r="AP13" s="445"/>
      <c r="AQ13" s="445"/>
      <c r="AR13" s="453">
        <v>1</v>
      </c>
      <c r="AS13" s="447"/>
      <c r="AT13" s="437" t="s">
        <v>103</v>
      </c>
      <c r="AU13" s="438"/>
      <c r="AV13" s="396">
        <f>'(2.1)_Proxy Resources'!O53</f>
        <v>2.02116486562735</v>
      </c>
      <c r="AW13" s="235"/>
      <c r="AZ13" s="122" t="s">
        <v>102</v>
      </c>
      <c r="BA13" s="123"/>
      <c r="BB13" s="123"/>
      <c r="BC13" s="123"/>
      <c r="BD13" s="540">
        <v>1</v>
      </c>
      <c r="BE13" s="132"/>
      <c r="BG13" s="444" t="s">
        <v>102</v>
      </c>
      <c r="BH13" s="445"/>
      <c r="BI13" s="445"/>
      <c r="BJ13" s="445"/>
      <c r="BK13" s="453">
        <v>1</v>
      </c>
      <c r="BL13" s="452"/>
    </row>
    <row r="14" spans="1:64" ht="12">
      <c r="B14" s="250"/>
      <c r="C14" s="231" t="s">
        <v>34</v>
      </c>
      <c r="D14" s="231"/>
      <c r="E14" s="231"/>
      <c r="F14" s="231"/>
      <c r="G14" s="251">
        <v>25</v>
      </c>
      <c r="H14" s="252"/>
      <c r="I14" s="351">
        <v>30</v>
      </c>
      <c r="AB14" s="122" t="s">
        <v>104</v>
      </c>
      <c r="AC14" s="123"/>
      <c r="AD14" s="123"/>
      <c r="AE14" s="123"/>
      <c r="AF14" s="134">
        <v>7266.0213306432961</v>
      </c>
      <c r="AG14" s="127"/>
      <c r="AH14" s="117"/>
      <c r="AI14" s="118"/>
      <c r="AJ14" s="129"/>
      <c r="AK14" s="235"/>
      <c r="AN14" s="444" t="s">
        <v>104</v>
      </c>
      <c r="AO14" s="445"/>
      <c r="AP14" s="445"/>
      <c r="AQ14" s="445"/>
      <c r="AR14" s="454">
        <f>'(2.1)_Proxy Resources'!H53</f>
        <v>6414.883554173548</v>
      </c>
      <c r="AS14" s="447"/>
      <c r="AT14" s="437"/>
      <c r="AU14" s="438"/>
      <c r="AV14" s="396"/>
      <c r="AW14" s="235"/>
      <c r="AZ14" s="122" t="s">
        <v>105</v>
      </c>
      <c r="BA14" s="123"/>
      <c r="BB14" s="123"/>
      <c r="BC14" s="123"/>
      <c r="BD14" s="135">
        <v>454</v>
      </c>
      <c r="BE14" s="132"/>
      <c r="BG14" s="444" t="s">
        <v>232</v>
      </c>
      <c r="BH14" s="445"/>
      <c r="BI14" s="445"/>
      <c r="BJ14" s="445"/>
      <c r="BK14" s="397">
        <f>'(2.1)_Proxy Resources'!J54</f>
        <v>702</v>
      </c>
      <c r="BL14" s="452"/>
    </row>
    <row r="15" spans="1:64" ht="12">
      <c r="A15" t="s">
        <v>138</v>
      </c>
      <c r="B15" s="250"/>
      <c r="C15" s="231" t="s">
        <v>107</v>
      </c>
      <c r="D15" s="231"/>
      <c r="E15" s="231"/>
      <c r="F15" s="231"/>
      <c r="G15" s="255">
        <v>172.81</v>
      </c>
      <c r="H15" s="252"/>
      <c r="I15" s="382"/>
      <c r="AB15" s="122" t="s">
        <v>105</v>
      </c>
      <c r="AC15" s="123"/>
      <c r="AD15" s="123"/>
      <c r="AE15" s="123"/>
      <c r="AF15" s="135">
        <v>651.09966777408636</v>
      </c>
      <c r="AG15" s="127"/>
      <c r="AH15" s="117" t="s">
        <v>141</v>
      </c>
      <c r="AI15" s="118"/>
      <c r="AJ15" s="129">
        <v>2.302423580786026</v>
      </c>
      <c r="AK15" s="235"/>
      <c r="AN15" s="444" t="s">
        <v>231</v>
      </c>
      <c r="AO15" s="445"/>
      <c r="AP15" s="445"/>
      <c r="AQ15" s="445"/>
      <c r="AR15" s="397">
        <f>'(2.1)_Proxy Resources'!J53</f>
        <v>1362.6215812395926</v>
      </c>
      <c r="AS15" s="447"/>
      <c r="AT15" s="437" t="s">
        <v>141</v>
      </c>
      <c r="AU15" s="438"/>
      <c r="AV15" s="396">
        <f>'(2.1)_Proxy Resources'!P53</f>
        <v>2.2807762714164963</v>
      </c>
      <c r="AW15" s="235"/>
      <c r="AZ15" s="122" t="s">
        <v>108</v>
      </c>
      <c r="BA15" s="123"/>
      <c r="BB15" s="123"/>
      <c r="BC15" s="123"/>
      <c r="BD15" s="541">
        <f>'(2.1)_Proxy Resources'!D54</f>
        <v>0.33</v>
      </c>
      <c r="BE15" s="132"/>
      <c r="BG15" s="444" t="s">
        <v>108</v>
      </c>
      <c r="BH15" s="445"/>
      <c r="BI15" s="445"/>
      <c r="BJ15" s="445"/>
      <c r="BK15" s="455">
        <f>'(2.1)_Proxy Resources'!K54</f>
        <v>7.3700000000000002E-2</v>
      </c>
      <c r="BL15" s="452"/>
    </row>
    <row r="16" spans="1:64" ht="12">
      <c r="A16" t="s">
        <v>138</v>
      </c>
      <c r="B16" s="250"/>
      <c r="C16" s="231" t="s">
        <v>109</v>
      </c>
      <c r="D16" s="231"/>
      <c r="E16" s="231"/>
      <c r="F16" s="231"/>
      <c r="G16" s="255">
        <v>3.0226001759568999</v>
      </c>
      <c r="H16" s="252"/>
      <c r="AB16" s="122" t="s">
        <v>108</v>
      </c>
      <c r="AC16" s="123"/>
      <c r="AD16" s="123"/>
      <c r="AE16" s="123"/>
      <c r="AF16" s="136">
        <v>8.6199999999999999E-2</v>
      </c>
      <c r="AG16" s="127"/>
      <c r="AH16" s="117" t="s">
        <v>110</v>
      </c>
      <c r="AI16" s="124"/>
      <c r="AJ16" s="137">
        <v>0.48691029900332239</v>
      </c>
      <c r="AK16" s="235"/>
      <c r="AN16" s="444" t="s">
        <v>108</v>
      </c>
      <c r="AO16" s="445"/>
      <c r="AP16" s="445"/>
      <c r="AQ16" s="445"/>
      <c r="AR16" s="455">
        <f>'(2.1)_Proxy Resources'!K52</f>
        <v>7.2562879502455491E-2</v>
      </c>
      <c r="AS16" s="447"/>
      <c r="AT16" s="437" t="s">
        <v>110</v>
      </c>
      <c r="AU16" s="448"/>
      <c r="AV16" s="456">
        <f>'(2.1)_Proxy Resources'!D53</f>
        <v>0.70285573530285894</v>
      </c>
      <c r="AW16" s="235"/>
      <c r="AZ16" s="122" t="s">
        <v>100</v>
      </c>
      <c r="BA16" s="124"/>
      <c r="BB16" s="129">
        <v>5.75</v>
      </c>
      <c r="BE16" s="130"/>
      <c r="BG16" s="444" t="s">
        <v>100</v>
      </c>
      <c r="BH16" s="448"/>
      <c r="BI16" s="396">
        <f>'(2.1)_Proxy Resources'!L54</f>
        <v>15.97</v>
      </c>
      <c r="BL16" s="449"/>
    </row>
    <row r="17" spans="1:64" ht="12">
      <c r="A17" t="s">
        <v>138</v>
      </c>
      <c r="B17" s="250"/>
      <c r="C17" s="231" t="s">
        <v>111</v>
      </c>
      <c r="D17" s="231"/>
      <c r="E17" s="231"/>
      <c r="F17" s="231"/>
      <c r="G17" s="255">
        <v>0</v>
      </c>
      <c r="H17" s="252"/>
      <c r="AB17" s="2"/>
      <c r="AG17" s="127"/>
      <c r="AI17" s="127"/>
      <c r="AJ17" s="123"/>
      <c r="AK17" s="130"/>
      <c r="AN17" s="2"/>
      <c r="AS17" s="447"/>
      <c r="AU17" s="447"/>
      <c r="AV17" s="445"/>
      <c r="AW17" s="449"/>
      <c r="AZ17" s="116" t="s">
        <v>101</v>
      </c>
      <c r="BA17" s="118"/>
      <c r="BB17" s="117">
        <v>2006</v>
      </c>
      <c r="BE17" s="128"/>
      <c r="BG17" s="436" t="s">
        <v>101</v>
      </c>
      <c r="BH17" s="438"/>
      <c r="BI17" s="450">
        <v>2016</v>
      </c>
      <c r="BL17" s="457"/>
    </row>
    <row r="18" spans="1:64" ht="12">
      <c r="B18" s="250"/>
      <c r="C18" s="231" t="s">
        <v>112</v>
      </c>
      <c r="D18" s="231"/>
      <c r="E18" s="231"/>
      <c r="F18" s="231"/>
      <c r="G18" s="254">
        <v>7.3164524549999999E-2</v>
      </c>
      <c r="H18" s="252"/>
      <c r="I18" s="458">
        <f>'(2.2)_Forward_Price_Curve'!AA8</f>
        <v>6.5699999999999995E-2</v>
      </c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N18" s="459"/>
      <c r="AO18" s="460"/>
      <c r="AP18" s="460"/>
      <c r="AQ18" s="460"/>
      <c r="AR18" s="460"/>
      <c r="AS18" s="460"/>
      <c r="AT18" s="460"/>
      <c r="AU18" s="460"/>
      <c r="AV18" s="460"/>
      <c r="AW18" s="461"/>
      <c r="AZ18" s="138"/>
      <c r="BA18" s="139"/>
      <c r="BB18" s="139"/>
      <c r="BC18" s="139"/>
      <c r="BD18" s="139"/>
      <c r="BE18" s="141"/>
      <c r="BG18" s="459"/>
      <c r="BH18" s="460"/>
      <c r="BI18" s="460"/>
      <c r="BJ18" s="460"/>
      <c r="BK18" s="460"/>
      <c r="BL18" s="462"/>
    </row>
    <row r="19" spans="1:64" ht="12">
      <c r="B19" s="256"/>
      <c r="C19" s="257" t="s">
        <v>102</v>
      </c>
      <c r="D19" s="257"/>
      <c r="E19" s="257"/>
      <c r="F19" s="257"/>
      <c r="G19" s="258">
        <f>14/300</f>
        <v>4.6666666666666669E-2</v>
      </c>
      <c r="H19" s="259"/>
      <c r="I19" s="458">
        <f>'(2.2)_Forward_Price_Curve'!L103</f>
        <v>0.158</v>
      </c>
    </row>
    <row r="20" spans="1:64">
      <c r="B20" s="231"/>
      <c r="C20" s="231"/>
      <c r="D20" s="231"/>
      <c r="E20" s="231"/>
      <c r="F20" s="231"/>
      <c r="G20" t="s">
        <v>113</v>
      </c>
      <c r="H20" s="231"/>
    </row>
    <row r="23" spans="1:64">
      <c r="B23" s="244"/>
      <c r="C23" s="241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4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4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4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4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4" ht="12">
      <c r="B28" s="2"/>
      <c r="C28">
        <v>2009</v>
      </c>
      <c r="E28" s="169">
        <f>'(2.2)_Forward_Price_Curve'!V23</f>
        <v>1.7000000000000001E-2</v>
      </c>
      <c r="G28" s="18">
        <v>62229</v>
      </c>
      <c r="I28" s="268">
        <f>$G$15</f>
        <v>172.81</v>
      </c>
      <c r="J28" s="268"/>
      <c r="K28" s="268">
        <f>$G$16</f>
        <v>3.0226001759568999</v>
      </c>
      <c r="L28" s="269"/>
      <c r="M28" s="268">
        <f>$G$17</f>
        <v>0</v>
      </c>
      <c r="O28" s="270">
        <v>5.0889135290620127</v>
      </c>
      <c r="Q28" s="28">
        <v>-33.844219890731516</v>
      </c>
      <c r="S28" s="18">
        <f t="shared" ref="S28:S34" si="0">(I28*$G$11*1000+(K28+M28+O28+Q28)*G28)/1000</f>
        <v>1768.4744267692906</v>
      </c>
      <c r="U28" s="18">
        <f t="shared" ref="U28:U34" si="1">AX28</f>
        <v>4179.9204539217289</v>
      </c>
      <c r="W28" s="18">
        <f t="shared" ref="W28:W34" si="2">S28-U28</f>
        <v>-2411.4460271524385</v>
      </c>
      <c r="Y28" s="271">
        <f t="shared" ref="Y28:Y34" si="3">+W28*1000/G28</f>
        <v>-38.751161470575433</v>
      </c>
      <c r="Z28" s="235"/>
      <c r="AB28" s="146">
        <f>$C$28</f>
        <v>2009</v>
      </c>
      <c r="AC28" s="117"/>
      <c r="AD28" s="151">
        <f t="shared" ref="AD28:AD68" si="4">G28</f>
        <v>62229</v>
      </c>
      <c r="AF28" s="152">
        <v>58.163412158772744</v>
      </c>
      <c r="AG28" s="272"/>
      <c r="AH28" s="152">
        <v>8.2001037061794015</v>
      </c>
      <c r="AI28" s="272"/>
      <c r="AJ28" s="152">
        <v>2.3050946065283835</v>
      </c>
      <c r="AK28" s="272"/>
      <c r="AL28" s="153">
        <f>((AF28+AH28)*$AF$11*1000+AJ28*AD28)/1000</f>
        <v>1307.5406720197186</v>
      </c>
      <c r="AN28" s="154">
        <f>INDEX('(2.2)_Forward_Price_Curve'!$I:$I,MATCH($AB28,'(2.2)_Forward_Price_Curve'!$C:$C,0),1)</f>
        <v>7.7758276535043622</v>
      </c>
      <c r="AO28" s="279"/>
      <c r="AP28" s="154">
        <f t="shared" ref="AP28:AP68" si="5">AN28*$AF$14/1000</f>
        <v>56.499329593768707</v>
      </c>
      <c r="AQ28" s="272"/>
      <c r="AR28" s="152">
        <v>2.3860545125109165</v>
      </c>
      <c r="AS28" s="152"/>
      <c r="AT28" s="153">
        <f t="shared" ref="AT28:AT68" si="6">AL28-BF28</f>
        <v>515.54188637205425</v>
      </c>
      <c r="AU28" s="272"/>
      <c r="AV28" s="153">
        <f t="shared" ref="AV28:AV68" si="7">(AP28+AR28)*AD28/1000</f>
        <v>3664.3785675496747</v>
      </c>
      <c r="AW28" s="273"/>
      <c r="AX28" s="155">
        <f t="shared" ref="AX28:AX68" si="8">AT28+AV28</f>
        <v>4179.9204539217289</v>
      </c>
      <c r="AZ28" s="146">
        <f>$C$28</f>
        <v>2009</v>
      </c>
      <c r="BA28" s="117"/>
      <c r="BB28" s="152">
        <v>39.191870478599988</v>
      </c>
      <c r="BD28" s="152">
        <v>5.9588572499999986</v>
      </c>
      <c r="BE28" s="272"/>
      <c r="BF28" s="153">
        <f t="shared" ref="BF28:BF68" si="9">(BB28+BD28)*$BD$11</f>
        <v>791.99878564766436</v>
      </c>
      <c r="BG28" s="272"/>
      <c r="BH28" s="156"/>
    </row>
    <row r="29" spans="1:64" ht="12">
      <c r="B29" s="2"/>
      <c r="C29">
        <f>+IF(C28&gt;$G$13+$G$14,XX,C28+1)</f>
        <v>2010</v>
      </c>
      <c r="E29" s="169">
        <f>'(2.2)_Forward_Price_Curve'!V24</f>
        <v>1.9E-2</v>
      </c>
      <c r="G29" s="18">
        <v>67722</v>
      </c>
      <c r="I29" s="28">
        <f>I28*(1+$E29)</f>
        <v>176.09339</v>
      </c>
      <c r="K29" s="28">
        <f t="shared" ref="K29:K37" si="10">K28*(1+$E29)</f>
        <v>3.0800295793000809</v>
      </c>
      <c r="M29" s="28">
        <f t="shared" ref="M29:M37" si="11">M28*(1+$E29)</f>
        <v>0</v>
      </c>
      <c r="O29" s="28">
        <f>O28*(1+$E29)</f>
        <v>5.1856028861141903</v>
      </c>
      <c r="Q29" s="28">
        <v>-35.45584940933778</v>
      </c>
      <c r="S29" s="18">
        <f t="shared" si="0"/>
        <v>1592.4452331236121</v>
      </c>
      <c r="U29" s="18">
        <f t="shared" si="1"/>
        <v>4382.3211728583628</v>
      </c>
      <c r="W29" s="18">
        <f t="shared" si="2"/>
        <v>-2789.8759397347508</v>
      </c>
      <c r="Y29" s="271">
        <f t="shared" si="3"/>
        <v>-41.196006316038378</v>
      </c>
      <c r="Z29" s="235"/>
      <c r="AB29" s="146">
        <f>+IF(AB28&gt;$G$13+$G$14,XX,AB28+1)</f>
        <v>2010</v>
      </c>
      <c r="AC29" s="117"/>
      <c r="AD29" s="151">
        <f t="shared" si="4"/>
        <v>67722</v>
      </c>
      <c r="AF29" s="154">
        <f t="shared" ref="AF29:AF37" si="12">AF28*(1+$E29)</f>
        <v>59.268516989789418</v>
      </c>
      <c r="AH29" s="154">
        <f t="shared" ref="AH29:AH37" si="13">AH28*(1+$E29)</f>
        <v>8.3559056765968087</v>
      </c>
      <c r="AJ29" s="154">
        <f t="shared" ref="AJ29:AJ37" si="14">AJ28*(1+$E29)</f>
        <v>2.3488914040524227</v>
      </c>
      <c r="AL29" s="153">
        <f t="shared" ref="AL29:AL66" si="15">((AF29+AH29)*$AF$11*1000+AJ29*AD29)/1000</f>
        <v>1345.2864052705531</v>
      </c>
      <c r="AN29" s="154">
        <f>INDEX('(2.2)_Forward_Price_Curve'!$I:$I,MATCH($AB29,'(2.2)_Forward_Price_Curve'!$C:$C,0),1)</f>
        <v>7.4774457529777205</v>
      </c>
      <c r="AP29" s="154">
        <f t="shared" si="5"/>
        <v>54.331280339864243</v>
      </c>
      <c r="AR29" s="154">
        <f>AR28*(1+$E29)</f>
        <v>2.4313895482486236</v>
      </c>
      <c r="AS29" s="154"/>
      <c r="AT29" s="153">
        <f t="shared" si="6"/>
        <v>538.23964269558337</v>
      </c>
      <c r="AV29" s="153">
        <f t="shared" si="7"/>
        <v>3844.0815301627795</v>
      </c>
      <c r="AW29" s="273"/>
      <c r="AX29" s="155">
        <f t="shared" si="8"/>
        <v>4382.3211728583628</v>
      </c>
      <c r="AZ29" s="146">
        <f>+IF(AZ28&gt;$G$13+$G$14,XX,AZ28+1)</f>
        <v>2010</v>
      </c>
      <c r="BA29" s="117"/>
      <c r="BB29" s="154">
        <f t="shared" ref="BB29:BB68" si="16">BB28*(1+$E29)</f>
        <v>39.936516017693386</v>
      </c>
      <c r="BD29" s="154">
        <f t="shared" ref="BD29:BD68" si="17">BD28*(1+$E29)</f>
        <v>6.0720755377499982</v>
      </c>
      <c r="BF29" s="153">
        <f t="shared" si="9"/>
        <v>807.04676257496976</v>
      </c>
      <c r="BH29" s="157"/>
    </row>
    <row r="30" spans="1:64" ht="12">
      <c r="B30" s="2"/>
      <c r="C30">
        <f>+IF(C29&gt;$G$13+$G$14,XX,C29+1)</f>
        <v>2011</v>
      </c>
      <c r="E30" s="169">
        <f>'(2.2)_Forward_Price_Curve'!V25</f>
        <v>1.9E-2</v>
      </c>
      <c r="G30" s="18">
        <v>83613</v>
      </c>
      <c r="I30" s="28">
        <f t="shared" ref="I30:I37" si="18">I29*(1+$E30)</f>
        <v>179.43916440999999</v>
      </c>
      <c r="K30" s="28">
        <f t="shared" si="10"/>
        <v>3.1385501413067822</v>
      </c>
      <c r="M30" s="28">
        <f t="shared" si="11"/>
        <v>0</v>
      </c>
      <c r="O30" s="28">
        <f t="shared" ref="O30:O37" si="19">O29*(1+$E30)</f>
        <v>5.2841293409503596</v>
      </c>
      <c r="Q30" s="28">
        <v>-35.45584940933778</v>
      </c>
      <c r="S30" s="18">
        <f t="shared" si="0"/>
        <v>1238.7392688820064</v>
      </c>
      <c r="U30" s="18">
        <f t="shared" si="1"/>
        <v>5096.3019433168638</v>
      </c>
      <c r="W30" s="18">
        <f t="shared" si="2"/>
        <v>-3857.5626744348574</v>
      </c>
      <c r="Y30" s="271">
        <f t="shared" si="3"/>
        <v>-46.13591994587992</v>
      </c>
      <c r="Z30" s="235"/>
      <c r="AB30" s="146">
        <f>+IF(AB29&gt;$G$13+$G$14,XX,AB29+1)</f>
        <v>2011</v>
      </c>
      <c r="AC30" s="117"/>
      <c r="AD30" s="151">
        <f t="shared" si="4"/>
        <v>83613</v>
      </c>
      <c r="AF30" s="154">
        <f t="shared" si="12"/>
        <v>60.394618812595411</v>
      </c>
      <c r="AH30" s="154">
        <f t="shared" si="13"/>
        <v>8.5146678844521482</v>
      </c>
      <c r="AJ30" s="154">
        <f t="shared" si="14"/>
        <v>2.3935203407294185</v>
      </c>
      <c r="AL30" s="153">
        <f t="shared" si="15"/>
        <v>1408.882278705225</v>
      </c>
      <c r="AN30" s="154">
        <f>INDEX('(2.2)_Forward_Price_Curve'!$I:$I,MATCH($AB30,'(2.2)_Forward_Price_Curve'!$C:$C,0),1)</f>
        <v>7.0821436233211914</v>
      </c>
      <c r="AP30" s="154">
        <f t="shared" si="5"/>
        <v>51.459006633731178</v>
      </c>
      <c r="AR30" s="154">
        <f t="shared" ref="AR30:AR41" si="20">AR29*(1+$E30)</f>
        <v>2.4775859496653472</v>
      </c>
      <c r="AS30" s="154"/>
      <c r="AT30" s="153">
        <f t="shared" si="6"/>
        <v>586.50162764133074</v>
      </c>
      <c r="AV30" s="153">
        <f t="shared" si="7"/>
        <v>4509.8003156755331</v>
      </c>
      <c r="AW30" s="273"/>
      <c r="AX30" s="155">
        <f t="shared" si="8"/>
        <v>5096.3019433168638</v>
      </c>
      <c r="AZ30" s="146">
        <f>+IF(AZ29&gt;$G$13+$G$14,XX,AZ29+1)</f>
        <v>2011</v>
      </c>
      <c r="BA30" s="117"/>
      <c r="BB30" s="154">
        <f t="shared" si="16"/>
        <v>40.695309822029557</v>
      </c>
      <c r="BD30" s="154">
        <f t="shared" si="17"/>
        <v>6.1874449729672474</v>
      </c>
      <c r="BF30" s="153">
        <f t="shared" si="9"/>
        <v>822.38065106389422</v>
      </c>
      <c r="BH30" s="157"/>
    </row>
    <row r="31" spans="1:64" ht="12">
      <c r="B31" s="2"/>
      <c r="C31">
        <f>+IF(C30&gt;$G$13+$G$14,XX,C30+1)</f>
        <v>2012</v>
      </c>
      <c r="E31" s="169">
        <f>'(2.2)_Forward_Price_Curve'!V26</f>
        <v>0.02</v>
      </c>
      <c r="G31" s="18">
        <v>72558</v>
      </c>
      <c r="I31" s="28">
        <f t="shared" si="18"/>
        <v>183.02794769819999</v>
      </c>
      <c r="K31" s="28">
        <f t="shared" si="10"/>
        <v>3.2013211441329181</v>
      </c>
      <c r="M31" s="28">
        <f t="shared" si="11"/>
        <v>0</v>
      </c>
      <c r="O31" s="28">
        <f t="shared" si="19"/>
        <v>5.389811927769367</v>
      </c>
      <c r="Q31" s="28">
        <v>-35.45584940933778</v>
      </c>
      <c r="S31" s="18">
        <f t="shared" si="0"/>
        <v>1619.7948921032548</v>
      </c>
      <c r="U31" s="18">
        <f t="shared" si="1"/>
        <v>4288.2017306652233</v>
      </c>
      <c r="W31" s="18">
        <f t="shared" si="2"/>
        <v>-2668.4068385619685</v>
      </c>
      <c r="Y31" s="271">
        <f t="shared" si="3"/>
        <v>-36.776190613880871</v>
      </c>
      <c r="Z31" s="235"/>
      <c r="AB31" s="146">
        <f>+IF(AB30&gt;$G$13+$G$14,XX,AB30+1)</f>
        <v>2012</v>
      </c>
      <c r="AC31" s="117"/>
      <c r="AD31" s="151">
        <f t="shared" si="4"/>
        <v>72558</v>
      </c>
      <c r="AF31" s="154">
        <f t="shared" si="12"/>
        <v>61.602511188847323</v>
      </c>
      <c r="AH31" s="154">
        <f t="shared" si="13"/>
        <v>8.6849612421411919</v>
      </c>
      <c r="AJ31" s="154">
        <f t="shared" si="14"/>
        <v>2.4413907475440069</v>
      </c>
      <c r="AL31" s="153">
        <f t="shared" si="15"/>
        <v>1410.0703495652303</v>
      </c>
      <c r="AN31" s="154">
        <f>INDEX('(2.2)_Forward_Price_Curve'!$I:$I,MATCH($AB31,'(2.2)_Forward_Price_Curve'!$C:$C,0),1)</f>
        <v>6.7024699037828679</v>
      </c>
      <c r="AP31" s="154">
        <f t="shared" si="5"/>
        <v>48.700289288881038</v>
      </c>
      <c r="AR31" s="154">
        <f t="shared" si="20"/>
        <v>2.527137668658654</v>
      </c>
      <c r="AS31" s="154"/>
      <c r="AT31" s="153">
        <f t="shared" si="6"/>
        <v>571.24208548005822</v>
      </c>
      <c r="AV31" s="153">
        <f t="shared" si="7"/>
        <v>3716.9596451851653</v>
      </c>
      <c r="AW31" s="273"/>
      <c r="AX31" s="155">
        <f t="shared" si="8"/>
        <v>4288.2017306652233</v>
      </c>
      <c r="AZ31" s="146">
        <f>+IF(AZ30&gt;$G$13+$G$14,XX,AZ30+1)</f>
        <v>2012</v>
      </c>
      <c r="BA31" s="117"/>
      <c r="BB31" s="154">
        <f t="shared" si="16"/>
        <v>41.509216018470148</v>
      </c>
      <c r="BD31" s="154">
        <f t="shared" si="17"/>
        <v>6.3111938724265926</v>
      </c>
      <c r="BF31" s="153">
        <f t="shared" si="9"/>
        <v>838.82826408517212</v>
      </c>
      <c r="BH31" s="157"/>
    </row>
    <row r="32" spans="1:64" ht="12">
      <c r="B32" s="2"/>
      <c r="C32">
        <f>+IF(C31&gt;$G$13+$G$14,XX,C31+1)</f>
        <v>2013</v>
      </c>
      <c r="E32" s="169">
        <f>'(2.2)_Forward_Price_Curve'!V27</f>
        <v>1.9E-2</v>
      </c>
      <c r="G32" s="18">
        <v>77049</v>
      </c>
      <c r="I32" s="28">
        <f t="shared" si="18"/>
        <v>186.50547870446579</v>
      </c>
      <c r="K32" s="28">
        <f t="shared" si="10"/>
        <v>3.2621462458714432</v>
      </c>
      <c r="M32" s="28">
        <f t="shared" si="11"/>
        <v>0</v>
      </c>
      <c r="O32" s="28">
        <f t="shared" si="19"/>
        <v>5.4922183543969849</v>
      </c>
      <c r="Q32" s="28">
        <v>-37.067478927944045</v>
      </c>
      <c r="S32" s="18">
        <f t="shared" si="0"/>
        <v>1455.3596889040041</v>
      </c>
      <c r="U32" s="18">
        <f t="shared" si="1"/>
        <v>4542.3243312218265</v>
      </c>
      <c r="W32" s="18">
        <f t="shared" si="2"/>
        <v>-3086.9646423178224</v>
      </c>
      <c r="Y32" s="271">
        <f t="shared" si="3"/>
        <v>-40.064954020400293</v>
      </c>
      <c r="Z32" s="235"/>
      <c r="AB32" s="146">
        <f>+IF(AB31&gt;$G$13+$G$14,XX,AB31+1)</f>
        <v>2013</v>
      </c>
      <c r="AC32" s="117"/>
      <c r="AD32" s="151">
        <f t="shared" si="4"/>
        <v>77049</v>
      </c>
      <c r="AF32" s="154">
        <f t="shared" si="12"/>
        <v>62.772958901435416</v>
      </c>
      <c r="AH32" s="154">
        <f t="shared" si="13"/>
        <v>8.8499755057418739</v>
      </c>
      <c r="AJ32" s="154">
        <f t="shared" si="14"/>
        <v>2.4877771717473429</v>
      </c>
      <c r="AL32" s="153">
        <f t="shared" si="15"/>
        <v>1448.0342934852872</v>
      </c>
      <c r="AN32" s="154">
        <f>INDEX('(2.2)_Forward_Price_Curve'!$I:$I,MATCH($AB32,'(2.2)_Forward_Price_Curve'!$C:$C,0),1)</f>
        <v>6.6994948806584134</v>
      </c>
      <c r="AP32" s="154">
        <f t="shared" si="5"/>
        <v>48.678672707399592</v>
      </c>
      <c r="AR32" s="154">
        <f t="shared" si="20"/>
        <v>2.5751532843631684</v>
      </c>
      <c r="AS32" s="154"/>
      <c r="AT32" s="153">
        <f t="shared" si="6"/>
        <v>593.26829238249695</v>
      </c>
      <c r="AV32" s="153">
        <f t="shared" si="7"/>
        <v>3949.0560388393292</v>
      </c>
      <c r="AW32" s="273"/>
      <c r="AX32" s="155">
        <f t="shared" si="8"/>
        <v>4542.3243312218265</v>
      </c>
      <c r="AZ32" s="146">
        <f>+IF(AZ31&gt;$G$13+$G$14,XX,AZ31+1)</f>
        <v>2013</v>
      </c>
      <c r="BA32" s="117"/>
      <c r="BB32" s="154">
        <f t="shared" si="16"/>
        <v>42.297891122821078</v>
      </c>
      <c r="BD32" s="154">
        <f t="shared" si="17"/>
        <v>6.431106556002697</v>
      </c>
      <c r="BF32" s="153">
        <f t="shared" si="9"/>
        <v>854.76600110279026</v>
      </c>
      <c r="BH32" s="157"/>
    </row>
    <row r="33" spans="2:60" ht="12">
      <c r="B33" s="2"/>
      <c r="C33">
        <f>+IF(C32&gt;$G$13+$G$14,XX,C32+1)</f>
        <v>2014</v>
      </c>
      <c r="E33" s="169">
        <f>'(2.2)_Forward_Price_Curve'!V28</f>
        <v>1.7999999999999999E-2</v>
      </c>
      <c r="G33" s="18">
        <v>73601</v>
      </c>
      <c r="I33" s="28">
        <f t="shared" si="18"/>
        <v>189.86257732114618</v>
      </c>
      <c r="K33" s="28">
        <f t="shared" si="10"/>
        <v>3.3208648782971291</v>
      </c>
      <c r="M33" s="28">
        <f t="shared" si="11"/>
        <v>0</v>
      </c>
      <c r="O33" s="28">
        <f t="shared" si="19"/>
        <v>5.5910782847761311</v>
      </c>
      <c r="Q33" s="28">
        <v>-37.067478927944045</v>
      </c>
      <c r="S33" s="18">
        <f t="shared" si="0"/>
        <v>1630.044669932096</v>
      </c>
      <c r="U33" s="18">
        <f t="shared" si="1"/>
        <v>4485.6783381735177</v>
      </c>
      <c r="W33" s="18">
        <f t="shared" si="2"/>
        <v>-2855.6336682414217</v>
      </c>
      <c r="Y33" s="271">
        <f t="shared" si="3"/>
        <v>-38.798843334213146</v>
      </c>
      <c r="Z33" s="235"/>
      <c r="AB33" s="146">
        <f>+IF(AB32&gt;$G$13+$G$14,XX,AB32+1)</f>
        <v>2014</v>
      </c>
      <c r="AC33" s="117"/>
      <c r="AD33" s="151">
        <f t="shared" si="4"/>
        <v>73601</v>
      </c>
      <c r="AF33" s="154">
        <f t="shared" si="12"/>
        <v>63.902872161661257</v>
      </c>
      <c r="AH33" s="154">
        <f t="shared" si="13"/>
        <v>9.0092750648452284</v>
      </c>
      <c r="AJ33" s="154">
        <f t="shared" si="14"/>
        <v>2.5325571608387953</v>
      </c>
      <c r="AL33" s="153">
        <f t="shared" si="15"/>
        <v>1465.3666536774501</v>
      </c>
      <c r="AN33" s="154">
        <f>INDEX('(2.2)_Forward_Price_Curve'!$I:$I,MATCH($AB33,'(2.2)_Forward_Price_Curve'!$C:$C,0),1)</f>
        <v>6.9140085811973453</v>
      </c>
      <c r="AP33" s="154">
        <f t="shared" si="5"/>
        <v>50.2373338312307</v>
      </c>
      <c r="AR33" s="154">
        <f t="shared" si="20"/>
        <v>2.6215060434817055</v>
      </c>
      <c r="AS33" s="154"/>
      <c r="AT33" s="153">
        <f t="shared" si="6"/>
        <v>595.21486455480965</v>
      </c>
      <c r="AV33" s="153">
        <f t="shared" si="7"/>
        <v>3890.4634736187077</v>
      </c>
      <c r="AW33" s="273"/>
      <c r="AX33" s="155">
        <f t="shared" si="8"/>
        <v>4485.6783381735177</v>
      </c>
      <c r="AZ33" s="146">
        <f>+IF(AZ32&gt;$G$13+$G$14,XX,AZ32+1)</f>
        <v>2014</v>
      </c>
      <c r="BA33" s="117"/>
      <c r="BB33" s="154">
        <f t="shared" si="16"/>
        <v>43.059253163031855</v>
      </c>
      <c r="BD33" s="154">
        <f t="shared" si="17"/>
        <v>6.5468664740107458</v>
      </c>
      <c r="BF33" s="153">
        <f t="shared" si="9"/>
        <v>870.15178912264048</v>
      </c>
      <c r="BH33" s="157"/>
    </row>
    <row r="34" spans="2:60" ht="12">
      <c r="B34" s="2"/>
      <c r="C34">
        <f>+IF(C33&gt;$G$13+$G$14,XX,C33+1)</f>
        <v>2015</v>
      </c>
      <c r="E34" s="169">
        <f>'(2.2)_Forward_Price_Curve'!V29</f>
        <v>1.7999999999999999E-2</v>
      </c>
      <c r="G34" s="18">
        <v>64063</v>
      </c>
      <c r="I34" s="28">
        <f t="shared" si="18"/>
        <v>193.2801037129268</v>
      </c>
      <c r="K34" s="28">
        <f t="shared" si="10"/>
        <v>3.3806404461064776</v>
      </c>
      <c r="M34" s="28">
        <f t="shared" si="11"/>
        <v>0</v>
      </c>
      <c r="O34" s="28">
        <f t="shared" si="19"/>
        <v>5.6917176939021017</v>
      </c>
      <c r="Q34" s="28">
        <v>-37.067478927944045</v>
      </c>
      <c r="S34" s="18">
        <f t="shared" si="0"/>
        <v>1975.5105993645632</v>
      </c>
      <c r="U34" s="18">
        <f t="shared" si="1"/>
        <v>4157.9641759192618</v>
      </c>
      <c r="W34" s="18">
        <f t="shared" si="2"/>
        <v>-2182.4535765546989</v>
      </c>
      <c r="Y34" s="271">
        <f t="shared" si="3"/>
        <v>-34.067302133129871</v>
      </c>
      <c r="Z34" s="235"/>
      <c r="AB34" s="146">
        <f>+IF(AB33&gt;$G$13+$G$14,XX,AB33+1)</f>
        <v>2015</v>
      </c>
      <c r="AC34" s="117"/>
      <c r="AD34" s="151">
        <f t="shared" si="4"/>
        <v>64063</v>
      </c>
      <c r="AF34" s="154">
        <f t="shared" si="12"/>
        <v>65.053123860571162</v>
      </c>
      <c r="AH34" s="154">
        <f t="shared" si="13"/>
        <v>9.1714420160124419</v>
      </c>
      <c r="AJ34" s="154">
        <f t="shared" si="14"/>
        <v>2.5781431897338938</v>
      </c>
      <c r="AL34" s="153">
        <f t="shared" si="15"/>
        <v>1467.152923699962</v>
      </c>
      <c r="AN34" s="154">
        <f>INDEX('(2.2)_Forward_Price_Curve'!$I:$I,MATCH($AB34,'(2.2)_Forward_Price_Curve'!$C:$C,0),1)</f>
        <v>7.3164011858738007</v>
      </c>
      <c r="AP34" s="154">
        <f t="shared" si="5"/>
        <v>53.161127080102943</v>
      </c>
      <c r="AR34" s="154">
        <f t="shared" si="20"/>
        <v>2.6686931522643764</v>
      </c>
      <c r="AS34" s="154"/>
      <c r="AT34" s="153">
        <f t="shared" si="6"/>
        <v>581.33840237311392</v>
      </c>
      <c r="AV34" s="153">
        <f t="shared" si="7"/>
        <v>3576.6257735461477</v>
      </c>
      <c r="AW34" s="273"/>
      <c r="AX34" s="155">
        <f t="shared" si="8"/>
        <v>4157.9641759192618</v>
      </c>
      <c r="AZ34" s="146">
        <f>+IF(AZ33&gt;$G$13+$G$14,XX,AZ33+1)</f>
        <v>2015</v>
      </c>
      <c r="BA34" s="117"/>
      <c r="BB34" s="154">
        <f t="shared" si="16"/>
        <v>43.83431971996643</v>
      </c>
      <c r="BD34" s="154">
        <f t="shared" si="17"/>
        <v>6.664710070542939</v>
      </c>
      <c r="BF34" s="153">
        <f t="shared" si="9"/>
        <v>885.81452132684808</v>
      </c>
      <c r="BH34" s="157"/>
    </row>
    <row r="35" spans="2:60" ht="12">
      <c r="B35" s="2"/>
      <c r="C35">
        <f>+IF(C34&gt;$G$13+$G$14,XX,C34+1)</f>
        <v>2016</v>
      </c>
      <c r="E35" s="169">
        <f>'(2.2)_Forward_Price_Curve'!V30</f>
        <v>1.7999999999999999E-2</v>
      </c>
      <c r="G35" s="18">
        <v>69847</v>
      </c>
      <c r="I35" s="28">
        <f t="shared" si="18"/>
        <v>196.75914557975949</v>
      </c>
      <c r="K35" s="28">
        <f t="shared" si="10"/>
        <v>3.4414919741363943</v>
      </c>
      <c r="M35" s="28">
        <f t="shared" si="11"/>
        <v>0</v>
      </c>
      <c r="O35" s="28">
        <f t="shared" si="19"/>
        <v>5.7941686123923395</v>
      </c>
      <c r="Q35" s="28">
        <v>-37.067478927944045</v>
      </c>
      <c r="S35" s="18">
        <f t="shared" ref="S35:S68" si="21">(I35*$G$11*1000+(K35+M35+O35+Q35)*G35)/1000</f>
        <v>1892.8343231124747</v>
      </c>
      <c r="U35" s="18">
        <f t="shared" ref="U35:U68" si="22">AX35</f>
        <v>4816.8161593163941</v>
      </c>
      <c r="W35" s="18">
        <f t="shared" ref="W35:W68" si="23">S35-U35</f>
        <v>-2923.9818362039196</v>
      </c>
      <c r="Y35" s="271">
        <f t="shared" ref="Y35:Y68" si="24">+W35*1000/G35</f>
        <v>-41.862668922128648</v>
      </c>
      <c r="Z35" s="235"/>
      <c r="AB35" s="146">
        <f>+IF(AB34&gt;$G$13+$G$14,XX,AB34+1)</f>
        <v>2016</v>
      </c>
      <c r="AC35" s="117"/>
      <c r="AD35" s="151">
        <f t="shared" si="4"/>
        <v>69847</v>
      </c>
      <c r="AF35" s="154">
        <f t="shared" si="12"/>
        <v>66.224080090061449</v>
      </c>
      <c r="AH35" s="154">
        <f t="shared" si="13"/>
        <v>9.3365279723006669</v>
      </c>
      <c r="AJ35" s="154">
        <f t="shared" si="14"/>
        <v>2.6245497671491038</v>
      </c>
      <c r="AL35" s="153">
        <f t="shared" si="15"/>
        <v>1508.7420721797523</v>
      </c>
      <c r="AN35" s="154">
        <f>INDEX('(2.2)_Forward_Price_Curve'!$I:$I,MATCH($AB35,'(2.2)_Forward_Price_Curve'!$C:$C,0),1)</f>
        <v>7.9211828417083421</v>
      </c>
      <c r="AP35" s="154">
        <f t="shared" si="5"/>
        <v>57.555483491778489</v>
      </c>
      <c r="AR35" s="154">
        <f t="shared" si="20"/>
        <v>2.716729629005135</v>
      </c>
      <c r="AS35" s="154"/>
      <c r="AT35" s="153">
        <f t="shared" si="6"/>
        <v>606.98288946902107</v>
      </c>
      <c r="AV35" s="153">
        <f t="shared" si="7"/>
        <v>4209.8332698473732</v>
      </c>
      <c r="AW35" s="273"/>
      <c r="AX35" s="155">
        <f t="shared" si="8"/>
        <v>4816.8161593163941</v>
      </c>
      <c r="AZ35" s="146">
        <f>+IF(AZ34&gt;$G$13+$G$14,XX,AZ34+1)</f>
        <v>2016</v>
      </c>
      <c r="BA35" s="117"/>
      <c r="BB35" s="154">
        <f t="shared" si="16"/>
        <v>44.623337474925826</v>
      </c>
      <c r="BD35" s="154">
        <f t="shared" si="17"/>
        <v>6.7846748518127118</v>
      </c>
      <c r="BF35" s="153">
        <f t="shared" si="9"/>
        <v>901.75918271073124</v>
      </c>
      <c r="BH35" s="157"/>
    </row>
    <row r="36" spans="2:60" ht="12">
      <c r="B36" s="2"/>
      <c r="C36">
        <f>+IF(C35&gt;$G$13+$G$14,XX,C35+1)</f>
        <v>2017</v>
      </c>
      <c r="E36" s="169">
        <f>'(2.2)_Forward_Price_Curve'!V31</f>
        <v>1.7999999999999999E-2</v>
      </c>
      <c r="G36" s="18">
        <v>66294</v>
      </c>
      <c r="I36" s="28">
        <f t="shared" si="18"/>
        <v>200.30081020019517</v>
      </c>
      <c r="K36" s="28">
        <f t="shared" si="10"/>
        <v>3.5034388296708494</v>
      </c>
      <c r="M36" s="28">
        <f t="shared" si="11"/>
        <v>0</v>
      </c>
      <c r="O36" s="28">
        <f t="shared" si="19"/>
        <v>5.8984636474154017</v>
      </c>
      <c r="Q36" s="28">
        <v>-38.679108446550309</v>
      </c>
      <c r="S36" s="18">
        <f t="shared" si="21"/>
        <v>1964.962706364156</v>
      </c>
      <c r="U36" s="18">
        <f t="shared" si="22"/>
        <v>4908.67756051795</v>
      </c>
      <c r="W36" s="18">
        <f t="shared" si="23"/>
        <v>-2943.714854153794</v>
      </c>
      <c r="Y36" s="271">
        <f t="shared" si="24"/>
        <v>-44.403940841611522</v>
      </c>
      <c r="Z36" s="235"/>
      <c r="AB36" s="146">
        <f>+IF(AB35&gt;$G$13+$G$14,XX,AB35+1)</f>
        <v>2017</v>
      </c>
      <c r="AC36" s="117"/>
      <c r="AD36" s="151">
        <f t="shared" si="4"/>
        <v>66294</v>
      </c>
      <c r="AF36" s="154">
        <f t="shared" si="12"/>
        <v>67.416113531682555</v>
      </c>
      <c r="AH36" s="154">
        <f t="shared" si="13"/>
        <v>9.5045854758020791</v>
      </c>
      <c r="AJ36" s="154">
        <f t="shared" si="14"/>
        <v>2.6717916629577876</v>
      </c>
      <c r="AL36" s="153">
        <f t="shared" si="15"/>
        <v>1526.4065537004985</v>
      </c>
      <c r="AN36" s="154">
        <f>INDEX('(2.2)_Forward_Price_Curve'!$I:$I,MATCH($AB36,'(2.2)_Forward_Price_Curve'!$C:$C,0),1)</f>
        <v>8.5467545643478058</v>
      </c>
      <c r="AP36" s="154">
        <f t="shared" si="5"/>
        <v>62.100900972324112</v>
      </c>
      <c r="AR36" s="154">
        <f t="shared" si="20"/>
        <v>2.7656307623272274</v>
      </c>
      <c r="AS36" s="154"/>
      <c r="AT36" s="153">
        <f t="shared" si="6"/>
        <v>608.41570570097406</v>
      </c>
      <c r="AV36" s="153">
        <f t="shared" si="7"/>
        <v>4300.2618548169758</v>
      </c>
      <c r="AW36" s="273"/>
      <c r="AX36" s="155">
        <f t="shared" si="8"/>
        <v>4908.67756051795</v>
      </c>
      <c r="AZ36" s="146">
        <f>+IF(AZ35&gt;$G$13+$G$14,XX,AZ35+1)</f>
        <v>2017</v>
      </c>
      <c r="BA36" s="117"/>
      <c r="BB36" s="154">
        <f t="shared" si="16"/>
        <v>45.426557549474495</v>
      </c>
      <c r="BD36" s="154">
        <f t="shared" si="17"/>
        <v>6.9067989991453409</v>
      </c>
      <c r="BF36" s="153">
        <f t="shared" si="9"/>
        <v>917.99084799952448</v>
      </c>
      <c r="BH36" s="157"/>
    </row>
    <row r="37" spans="2:60" ht="12">
      <c r="B37" s="2"/>
      <c r="C37">
        <f>+IF(C36&gt;$G$13+$G$14,XX,C36+1)</f>
        <v>2018</v>
      </c>
      <c r="E37" s="169">
        <f>'(2.2)_Forward_Price_Curve'!V32</f>
        <v>1.7999999999999999E-2</v>
      </c>
      <c r="G37" s="18">
        <v>73738</v>
      </c>
      <c r="I37" s="28">
        <f t="shared" si="18"/>
        <v>203.90622478379868</v>
      </c>
      <c r="K37" s="28">
        <f t="shared" si="10"/>
        <v>3.5665007286049248</v>
      </c>
      <c r="M37" s="28">
        <f t="shared" si="11"/>
        <v>0</v>
      </c>
      <c r="O37" s="28">
        <f t="shared" si="19"/>
        <v>6.0046359930688791</v>
      </c>
      <c r="Q37" s="28">
        <v>-31.824751700635172</v>
      </c>
      <c r="S37" s="18">
        <f t="shared" si="21"/>
        <v>2335.2343219654213</v>
      </c>
      <c r="U37" s="18">
        <f t="shared" si="22"/>
        <v>5726.6621965133463</v>
      </c>
      <c r="W37" s="18">
        <f t="shared" si="23"/>
        <v>-3391.4278745479251</v>
      </c>
      <c r="Y37" s="271">
        <f t="shared" si="24"/>
        <v>-45.992946303777224</v>
      </c>
      <c r="Z37" s="235"/>
      <c r="AB37" s="146">
        <f>+IF(AB36&gt;$G$13+$G$14,XX,AB36+1)</f>
        <v>2018</v>
      </c>
      <c r="AC37" s="117"/>
      <c r="AD37" s="151">
        <f t="shared" si="4"/>
        <v>73738</v>
      </c>
      <c r="AF37" s="154">
        <f t="shared" si="12"/>
        <v>68.629603575252844</v>
      </c>
      <c r="AH37" s="154">
        <f t="shared" si="13"/>
        <v>9.6756680143665168</v>
      </c>
      <c r="AJ37" s="154">
        <f t="shared" si="14"/>
        <v>2.7198839128910279</v>
      </c>
      <c r="AL37" s="153">
        <f t="shared" si="15"/>
        <v>1574.1286875146686</v>
      </c>
      <c r="AN37" s="154">
        <f>INDEX('(2.2)_Forward_Price_Curve'!$I:$I,MATCH($AB37,'(2.2)_Forward_Price_Curve'!$C:$C,0),1)</f>
        <v>9.1071488375904099</v>
      </c>
      <c r="AP37" s="154">
        <f t="shared" si="5"/>
        <v>66.172737715275218</v>
      </c>
      <c r="AR37" s="154">
        <f t="shared" si="20"/>
        <v>2.8154121160491177</v>
      </c>
      <c r="AS37" s="154"/>
      <c r="AT37" s="153">
        <f t="shared" si="6"/>
        <v>639.61400425115255</v>
      </c>
      <c r="AV37" s="153">
        <f t="shared" si="7"/>
        <v>5087.0481922621939</v>
      </c>
      <c r="AW37" s="273"/>
      <c r="AX37" s="155">
        <f t="shared" si="8"/>
        <v>5726.6621965133463</v>
      </c>
      <c r="AZ37" s="146">
        <f>+IF(AZ36&gt;$G$13+$G$14,XX,AZ36+1)</f>
        <v>2018</v>
      </c>
      <c r="BA37" s="117"/>
      <c r="BB37" s="154">
        <f t="shared" si="16"/>
        <v>46.24423558536504</v>
      </c>
      <c r="BD37" s="154">
        <f t="shared" si="17"/>
        <v>7.0311213811299575</v>
      </c>
      <c r="BF37" s="153">
        <f t="shared" si="9"/>
        <v>934.51468326351608</v>
      </c>
      <c r="BH37" s="157"/>
    </row>
    <row r="38" spans="2:60" ht="12">
      <c r="B38" s="2"/>
      <c r="C38" s="353">
        <f>+IF(C37&gt;$G$13+$G$14,XX,C37+1)</f>
        <v>2019</v>
      </c>
      <c r="E38" s="355">
        <v>1.7999999999999999E-2</v>
      </c>
      <c r="G38" s="357">
        <v>72889</v>
      </c>
      <c r="I38" s="538">
        <v>245.54530910484598</v>
      </c>
      <c r="K38" s="464">
        <v>10.777120355497138</v>
      </c>
      <c r="M38" s="28">
        <f t="shared" ref="M38:M68" si="25">M37*(1+$E38)</f>
        <v>0</v>
      </c>
      <c r="O38" s="464">
        <v>1.1100000000000001</v>
      </c>
      <c r="Q38" s="464">
        <v>-22.222056156447483</v>
      </c>
      <c r="S38" s="18">
        <f t="shared" si="21"/>
        <v>4034.8303919490268</v>
      </c>
      <c r="U38" s="18">
        <f t="shared" si="22"/>
        <v>6596.6212204151598</v>
      </c>
      <c r="W38" s="18">
        <f t="shared" si="23"/>
        <v>-2561.790828466133</v>
      </c>
      <c r="Y38" s="271">
        <f t="shared" si="24"/>
        <v>-35.146466935561378</v>
      </c>
      <c r="Z38" s="235"/>
      <c r="AB38" s="377">
        <f>+IF(AB37&gt;$G$13+$G$14,XX,AB37+1)</f>
        <v>2019</v>
      </c>
      <c r="AC38" s="117"/>
      <c r="AD38" s="151">
        <f t="shared" si="4"/>
        <v>72889</v>
      </c>
      <c r="AF38" s="399">
        <f>AR15*AR16</f>
        <v>98.875745606933918</v>
      </c>
      <c r="AH38" s="399">
        <f>AV11</f>
        <v>19.805241420865066</v>
      </c>
      <c r="AJ38" s="399">
        <f>AV13</f>
        <v>2.02116486562735</v>
      </c>
      <c r="AL38" s="153">
        <f t="shared" si="15"/>
        <v>2229.1298246156957</v>
      </c>
      <c r="AN38" s="399">
        <f>INDEX('(2.2)_Forward_Price_Curve'!$I:$I,MATCH($AB38,'(2.2)_Forward_Price_Curve'!$C:$C,0),1)</f>
        <v>9.7289597532905745</v>
      </c>
      <c r="AP38" s="154">
        <f t="shared" si="5"/>
        <v>70.69082909237946</v>
      </c>
      <c r="AR38" s="399">
        <f>AV15</f>
        <v>2.2807762714164963</v>
      </c>
      <c r="AS38" s="154"/>
      <c r="AT38" s="153">
        <f t="shared" si="6"/>
        <v>1277.7938770534363</v>
      </c>
      <c r="AV38" s="153">
        <f t="shared" si="7"/>
        <v>5318.8273433617233</v>
      </c>
      <c r="AW38" s="273"/>
      <c r="AX38" s="155">
        <f t="shared" si="8"/>
        <v>6596.6212204151598</v>
      </c>
      <c r="AZ38" s="383">
        <f>+IF(AZ37&gt;$G$13+$G$14,XX,AZ37+1)</f>
        <v>2019</v>
      </c>
      <c r="BA38" s="117"/>
      <c r="BB38" s="399">
        <f t="shared" si="16"/>
        <v>47.076631825901615</v>
      </c>
      <c r="BD38" s="399">
        <f t="shared" si="17"/>
        <v>7.1576815659902966</v>
      </c>
      <c r="BF38" s="153">
        <f t="shared" si="9"/>
        <v>951.33594756225943</v>
      </c>
      <c r="BH38" s="157"/>
    </row>
    <row r="39" spans="2:60" ht="12">
      <c r="B39" s="2"/>
      <c r="C39" s="354">
        <f>+IF(C38&gt;$I$13+$I$14,XX,C38+1)</f>
        <v>2020</v>
      </c>
      <c r="E39" s="356">
        <f>'(2.2)_Forward_Price_Curve'!S33</f>
        <v>2.3E-2</v>
      </c>
      <c r="G39" s="470">
        <v>76464.215189873416</v>
      </c>
      <c r="I39" s="360">
        <v>288.89584318550078</v>
      </c>
      <c r="K39" s="471">
        <v>16.979618102602799</v>
      </c>
      <c r="M39" s="28">
        <f t="shared" si="25"/>
        <v>0</v>
      </c>
      <c r="O39" s="471">
        <v>0.63</v>
      </c>
      <c r="Q39" s="471">
        <v>-33.150783021494966</v>
      </c>
      <c r="S39" s="18">
        <f t="shared" si="21"/>
        <v>4445.1259634577827</v>
      </c>
      <c r="U39" s="18">
        <f t="shared" si="22"/>
        <v>2989.9792896736035</v>
      </c>
      <c r="W39" s="18">
        <f t="shared" si="23"/>
        <v>1455.1466737841793</v>
      </c>
      <c r="Y39" s="271">
        <f t="shared" si="24"/>
        <v>19.030427111176213</v>
      </c>
      <c r="Z39" s="235"/>
      <c r="AB39" s="378">
        <f>+IF(AB38&gt;$I$13+$I$14,XX,AB38+1)</f>
        <v>2020</v>
      </c>
      <c r="AC39" s="117"/>
      <c r="AD39" s="151">
        <f t="shared" si="4"/>
        <v>76464.215189873416</v>
      </c>
      <c r="AF39" s="154">
        <f t="shared" ref="AF39:AF68" si="26">AF38*(1+$E39)</f>
        <v>101.14988775589339</v>
      </c>
      <c r="AH39" s="154">
        <f t="shared" ref="AH39:AH68" si="27">AH38*(1+$E39)</f>
        <v>20.260761973544962</v>
      </c>
      <c r="AJ39" s="154">
        <f t="shared" ref="AJ39:AJ68" si="28">AJ38*(1+$E39)</f>
        <v>2.0676516575367789</v>
      </c>
      <c r="AL39" s="153">
        <f t="shared" si="15"/>
        <v>2287.7921101952488</v>
      </c>
      <c r="AN39" s="154">
        <f>INDEX('(2.2)_Forward_Price_Curve'!$K:$K,MATCH($AB39,'(2.2)_Forward_Price_Curve'!$C:$C,0),1)</f>
        <v>2.6944208333333339</v>
      </c>
      <c r="AP39" s="154">
        <f t="shared" si="5"/>
        <v>19.577719248729689</v>
      </c>
      <c r="AR39" s="154">
        <f>AR38*(1+$E39)</f>
        <v>2.3332341256590756</v>
      </c>
      <c r="AS39" s="154"/>
      <c r="AT39" s="153">
        <f t="shared" si="6"/>
        <v>1314.5754358390577</v>
      </c>
      <c r="AV39" s="153">
        <f t="shared" si="7"/>
        <v>1675.4038538345455</v>
      </c>
      <c r="AW39" s="273"/>
      <c r="AX39" s="155">
        <f t="shared" si="8"/>
        <v>2989.9792896736035</v>
      </c>
      <c r="AZ39" s="384">
        <f>+IF(AZ38&gt;$I$13+$I$14,XX,AZ38+1)</f>
        <v>2020</v>
      </c>
      <c r="BA39" s="117"/>
      <c r="BB39" s="154">
        <f t="shared" si="16"/>
        <v>48.159394357897348</v>
      </c>
      <c r="BD39" s="154">
        <f t="shared" si="17"/>
        <v>7.3223082420080727</v>
      </c>
      <c r="BF39" s="153">
        <f t="shared" si="9"/>
        <v>973.21667435619122</v>
      </c>
      <c r="BH39" s="157"/>
    </row>
    <row r="40" spans="2:60" ht="12">
      <c r="B40" s="2"/>
      <c r="C40" s="354">
        <f>+IF(C39&gt;$I$13+$I$14,XX,C39+1)</f>
        <v>2021</v>
      </c>
      <c r="E40" s="356">
        <f>'(2.2)_Forward_Price_Curve'!S34</f>
        <v>2.5999999999999999E-2</v>
      </c>
      <c r="G40" s="470">
        <v>76461.21518987343</v>
      </c>
      <c r="I40" s="360">
        <v>295.2293071696019</v>
      </c>
      <c r="K40" s="471">
        <v>17.339623120297329</v>
      </c>
      <c r="M40" s="28">
        <f t="shared" si="25"/>
        <v>0</v>
      </c>
      <c r="O40" s="471">
        <v>0.6399999999999999</v>
      </c>
      <c r="Q40" s="471">
        <v>-34.476814342354764</v>
      </c>
      <c r="S40" s="18">
        <f t="shared" si="21"/>
        <v>4495.5762017490115</v>
      </c>
      <c r="U40" s="18">
        <f t="shared" si="22"/>
        <v>3130.0279484289886</v>
      </c>
      <c r="W40" s="18">
        <f t="shared" si="23"/>
        <v>1365.5482533200229</v>
      </c>
      <c r="Y40" s="271">
        <f t="shared" si="24"/>
        <v>17.859358498671586</v>
      </c>
      <c r="Z40" s="235"/>
      <c r="AB40" s="378">
        <f>+IF(AB39&gt;$I$13+$I$14,XX,AB39+1)</f>
        <v>2021</v>
      </c>
      <c r="AC40" s="117"/>
      <c r="AD40" s="151">
        <f t="shared" si="4"/>
        <v>76461.21518987343</v>
      </c>
      <c r="AF40" s="154">
        <f t="shared" si="26"/>
        <v>103.77978483754661</v>
      </c>
      <c r="AH40" s="154">
        <f t="shared" si="27"/>
        <v>20.787541784857133</v>
      </c>
      <c r="AJ40" s="154">
        <f t="shared" si="28"/>
        <v>2.1214106006327351</v>
      </c>
      <c r="AL40" s="153">
        <f t="shared" si="15"/>
        <v>2347.2683408285238</v>
      </c>
      <c r="AN40" s="154">
        <f>INDEX('(2.2)_Forward_Price_Curve'!$K:$K,MATCH($AB40,'(2.2)_Forward_Price_Curve'!$C:$C,0),1)</f>
        <v>2.8767624999999999</v>
      </c>
      <c r="AP40" s="154">
        <f t="shared" si="5"/>
        <v>20.902617688194734</v>
      </c>
      <c r="AR40" s="154">
        <f t="shared" si="20"/>
        <v>2.3938982129262119</v>
      </c>
      <c r="AS40" s="154"/>
      <c r="AT40" s="153">
        <f t="shared" si="6"/>
        <v>1348.7480329390714</v>
      </c>
      <c r="AV40" s="153">
        <f t="shared" si="7"/>
        <v>1781.2799154899169</v>
      </c>
      <c r="AW40" s="273"/>
      <c r="AX40" s="155">
        <f t="shared" si="8"/>
        <v>3130.0279484289886</v>
      </c>
      <c r="AZ40" s="384">
        <f>+IF(AZ39&gt;$I$13+$I$14,XX,AZ39+1)</f>
        <v>2021</v>
      </c>
      <c r="BA40" s="117"/>
      <c r="BB40" s="154">
        <f t="shared" si="16"/>
        <v>49.41153861120268</v>
      </c>
      <c r="BD40" s="154">
        <f t="shared" si="17"/>
        <v>7.512688256300283</v>
      </c>
      <c r="BF40" s="153">
        <f t="shared" si="9"/>
        <v>998.5203078894524</v>
      </c>
      <c r="BH40" s="157"/>
    </row>
    <row r="41" spans="2:60" ht="12">
      <c r="B41" s="2"/>
      <c r="C41" s="354">
        <f>+IF(C40&gt;$I$13+$I$14,XX,C40+1)</f>
        <v>2022</v>
      </c>
      <c r="E41" s="356">
        <f>'(2.2)_Forward_Price_Curve'!S35</f>
        <v>2.4E-2</v>
      </c>
      <c r="G41" s="470">
        <v>76461.21518987343</v>
      </c>
      <c r="I41" s="360">
        <v>302.35042802136741</v>
      </c>
      <c r="K41" s="471">
        <v>17.738434452064169</v>
      </c>
      <c r="M41" s="28">
        <f t="shared" si="25"/>
        <v>0</v>
      </c>
      <c r="O41" s="471">
        <v>0.66</v>
      </c>
      <c r="Q41" s="471">
        <v>-34.476814342354764</v>
      </c>
      <c r="S41" s="18">
        <f t="shared" si="21"/>
        <v>4666.4608817206208</v>
      </c>
      <c r="U41" s="18">
        <f t="shared" si="22"/>
        <v>3240.7324502863958</v>
      </c>
      <c r="W41" s="18">
        <f t="shared" si="23"/>
        <v>1425.7284314342251</v>
      </c>
      <c r="Y41" s="271">
        <f t="shared" si="24"/>
        <v>18.646426530022627</v>
      </c>
      <c r="Z41" s="235"/>
      <c r="AB41" s="378">
        <f>+IF(AB40&gt;$I$13+$I$14,XX,AB40+1)</f>
        <v>2022</v>
      </c>
      <c r="AC41" s="117"/>
      <c r="AD41" s="151">
        <f t="shared" si="4"/>
        <v>76461.21518987343</v>
      </c>
      <c r="AF41" s="154">
        <f t="shared" si="26"/>
        <v>106.27049967364773</v>
      </c>
      <c r="AH41" s="154">
        <f t="shared" si="27"/>
        <v>21.286442787693705</v>
      </c>
      <c r="AJ41" s="154">
        <f t="shared" si="28"/>
        <v>2.1723244550479208</v>
      </c>
      <c r="AL41" s="153">
        <f t="shared" si="15"/>
        <v>2403.6027810084083</v>
      </c>
      <c r="AN41" s="154">
        <f>INDEX('(2.2)_Forward_Price_Curve'!$K:$K,MATCH($AB41,'(2.2)_Forward_Price_Curve'!$C:$C,0),1)</f>
        <v>3.0098541666666665</v>
      </c>
      <c r="AP41" s="154">
        <f t="shared" si="5"/>
        <v>21.869664577125601</v>
      </c>
      <c r="AR41" s="154">
        <f t="shared" si="20"/>
        <v>2.4513517700364411</v>
      </c>
      <c r="AS41" s="154"/>
      <c r="AT41" s="153">
        <f t="shared" si="6"/>
        <v>1381.1179857296092</v>
      </c>
      <c r="AV41" s="153">
        <f t="shared" si="7"/>
        <v>1859.6144645567865</v>
      </c>
      <c r="AW41" s="273"/>
      <c r="AX41" s="155">
        <f t="shared" si="8"/>
        <v>3240.7324502863958</v>
      </c>
      <c r="AZ41" s="384">
        <f>+IF(AZ40&gt;$I$13+$I$14,XX,AZ40+1)</f>
        <v>2022</v>
      </c>
      <c r="BA41" s="117"/>
      <c r="BB41" s="154">
        <f t="shared" si="16"/>
        <v>50.597415537871548</v>
      </c>
      <c r="BD41" s="154">
        <f t="shared" si="17"/>
        <v>7.6929927744514899</v>
      </c>
      <c r="BF41" s="153">
        <f t="shared" si="9"/>
        <v>1022.4847952787992</v>
      </c>
      <c r="BH41" s="157"/>
    </row>
    <row r="42" spans="2:60" ht="12">
      <c r="B42" s="2"/>
      <c r="C42" s="354">
        <f>+IF(C41&gt;$I$13+$I$14,XX,C41+1)</f>
        <v>2023</v>
      </c>
      <c r="E42" s="356">
        <f>'(2.2)_Forward_Price_Curve'!S36</f>
        <v>2.3E-2</v>
      </c>
      <c r="G42" s="470">
        <v>76461.21518987343</v>
      </c>
      <c r="I42" s="360">
        <v>309.2029932108785</v>
      </c>
      <c r="K42" s="471">
        <v>18.146418444461638</v>
      </c>
      <c r="M42" s="28">
        <f t="shared" si="25"/>
        <v>0</v>
      </c>
      <c r="O42" s="471">
        <v>0.67</v>
      </c>
      <c r="Q42" s="471">
        <v>-35.802845663214569</v>
      </c>
      <c r="S42" s="18">
        <f t="shared" si="21"/>
        <v>4730.6555007319394</v>
      </c>
      <c r="U42" s="18">
        <f t="shared" si="22"/>
        <v>3536.3963471932648</v>
      </c>
      <c r="W42" s="18">
        <f t="shared" si="23"/>
        <v>1194.2591535386746</v>
      </c>
      <c r="Y42" s="271">
        <f t="shared" si="24"/>
        <v>15.619149533171989</v>
      </c>
      <c r="Z42" s="235"/>
      <c r="AB42" s="378">
        <f>+IF(AB41&gt;$I$13+$I$14,XX,AB41+1)</f>
        <v>2023</v>
      </c>
      <c r="AC42" s="117"/>
      <c r="AD42" s="151">
        <f t="shared" si="4"/>
        <v>76461.21518987343</v>
      </c>
      <c r="AF42" s="154">
        <f t="shared" si="26"/>
        <v>108.71472116614163</v>
      </c>
      <c r="AH42" s="154">
        <f t="shared" si="27"/>
        <v>21.776030971810659</v>
      </c>
      <c r="AJ42" s="154">
        <f t="shared" si="28"/>
        <v>2.2222879175140227</v>
      </c>
      <c r="AL42" s="153">
        <f t="shared" si="15"/>
        <v>2458.8856449716018</v>
      </c>
      <c r="AN42" s="154">
        <f>INDEX('(2.2)_Forward_Price_Curve'!$K:$K,MATCH($AB42,'(2.2)_Forward_Price_Curve'!$C:$C,0),1)</f>
        <v>3.4771000000000001</v>
      </c>
      <c r="AP42" s="154">
        <f t="shared" si="5"/>
        <v>25.264682768779807</v>
      </c>
      <c r="AR42" s="154">
        <f t="shared" ref="AR42:AR68" si="29">AR41*(1+$E42)</f>
        <v>2.5077328607472791</v>
      </c>
      <c r="AS42" s="154"/>
      <c r="AT42" s="153">
        <f t="shared" si="6"/>
        <v>1412.8836994013902</v>
      </c>
      <c r="AV42" s="153">
        <f t="shared" si="7"/>
        <v>2123.5126477918748</v>
      </c>
      <c r="AW42" s="273"/>
      <c r="AX42" s="155">
        <f t="shared" si="8"/>
        <v>3536.3963471932648</v>
      </c>
      <c r="AZ42" s="384">
        <f>+IF(AZ41&gt;$I$13+$I$14,XX,AZ41+1)</f>
        <v>2023</v>
      </c>
      <c r="BA42" s="117"/>
      <c r="BB42" s="154">
        <f t="shared" si="16"/>
        <v>51.76115609524259</v>
      </c>
      <c r="BD42" s="154">
        <f t="shared" si="17"/>
        <v>7.8699316082638733</v>
      </c>
      <c r="BF42" s="153">
        <f t="shared" si="9"/>
        <v>1046.0019455702115</v>
      </c>
      <c r="BH42" s="157"/>
    </row>
    <row r="43" spans="2:60" ht="12">
      <c r="B43" s="2"/>
      <c r="C43" s="354">
        <f>+IF(C42&gt;$I$13+$I$14,XX,C42+1)</f>
        <v>2024</v>
      </c>
      <c r="E43" s="356">
        <f>'(2.2)_Forward_Price_Curve'!S37</f>
        <v>2.3E-2</v>
      </c>
      <c r="G43" s="470">
        <v>76464.215189873416</v>
      </c>
      <c r="I43" s="360">
        <v>315.98544754306567</v>
      </c>
      <c r="K43" s="471">
        <v>18.614645756543663</v>
      </c>
      <c r="M43" s="28">
        <f t="shared" si="25"/>
        <v>0</v>
      </c>
      <c r="O43" s="471">
        <v>0.69</v>
      </c>
      <c r="Q43" s="471">
        <v>-35.802845663214569</v>
      </c>
      <c r="S43" s="18">
        <f t="shared" si="21"/>
        <v>4900.1943191805467</v>
      </c>
      <c r="U43" s="18">
        <f t="shared" si="22"/>
        <v>3838.2338897485934</v>
      </c>
      <c r="W43" s="18">
        <f t="shared" si="23"/>
        <v>1061.9604294319533</v>
      </c>
      <c r="Y43" s="271">
        <f t="shared" si="24"/>
        <v>13.888332297597355</v>
      </c>
      <c r="Z43" s="235"/>
      <c r="AB43" s="378">
        <f>+IF(AB42&gt;$I$13+$I$14,XX,AB42+1)</f>
        <v>2024</v>
      </c>
      <c r="AC43" s="117"/>
      <c r="AD43" s="151">
        <f t="shared" si="4"/>
        <v>76464.215189873416</v>
      </c>
      <c r="AF43" s="154">
        <f t="shared" si="26"/>
        <v>111.21515975296288</v>
      </c>
      <c r="AH43" s="154">
        <f t="shared" si="27"/>
        <v>22.276879684162303</v>
      </c>
      <c r="AJ43" s="154">
        <f t="shared" si="28"/>
        <v>2.2734005396168451</v>
      </c>
      <c r="AL43" s="153">
        <f t="shared" si="15"/>
        <v>2515.4468350075667</v>
      </c>
      <c r="AN43" s="154">
        <f>INDEX('(2.2)_Forward_Price_Curve'!$K:$K,MATCH($AB43,'(2.2)_Forward_Price_Curve'!$C:$C,0),1)</f>
        <v>3.9537833333333325</v>
      </c>
      <c r="AP43" s="154">
        <f t="shared" si="5"/>
        <v>28.728274036741947</v>
      </c>
      <c r="AR43" s="154">
        <f t="shared" si="29"/>
        <v>2.5654107165444664</v>
      </c>
      <c r="AS43" s="154"/>
      <c r="AT43" s="153">
        <f t="shared" si="6"/>
        <v>1445.3868446892404</v>
      </c>
      <c r="AV43" s="153">
        <f t="shared" si="7"/>
        <v>2392.8470450593531</v>
      </c>
      <c r="AW43" s="273"/>
      <c r="AX43" s="155">
        <f t="shared" si="8"/>
        <v>3838.2338897485934</v>
      </c>
      <c r="AZ43" s="384">
        <f>+IF(AZ42&gt;$I$13+$I$14,XX,AZ42+1)</f>
        <v>2024</v>
      </c>
      <c r="BA43" s="117"/>
      <c r="BB43" s="154">
        <f t="shared" si="16"/>
        <v>52.951662685433163</v>
      </c>
      <c r="BD43" s="154">
        <f t="shared" si="17"/>
        <v>8.0509400352539409</v>
      </c>
      <c r="BF43" s="153">
        <f t="shared" si="9"/>
        <v>1070.0599903183263</v>
      </c>
      <c r="BH43" s="157"/>
    </row>
    <row r="44" spans="2:60" ht="12">
      <c r="B44" s="2"/>
      <c r="C44" s="354">
        <f>+IF(C43&gt;$I$13+$I$14,XX,C43+1)</f>
        <v>2025</v>
      </c>
      <c r="E44" s="356">
        <f>'(2.2)_Forward_Price_Curve'!S38</f>
        <v>2.3E-2</v>
      </c>
      <c r="G44" s="470">
        <v>76461.21518987343</v>
      </c>
      <c r="I44" s="360">
        <v>322.91764324917159</v>
      </c>
      <c r="K44" s="471">
        <v>18.972189362195309</v>
      </c>
      <c r="M44" s="28">
        <f t="shared" si="25"/>
        <v>0</v>
      </c>
      <c r="O44" s="471">
        <v>0.69999999999999984</v>
      </c>
      <c r="Q44" s="471">
        <v>-37.128876984074353</v>
      </c>
      <c r="S44" s="18">
        <f t="shared" si="21"/>
        <v>4962.1344945999526</v>
      </c>
      <c r="U44" s="18">
        <f t="shared" si="22"/>
        <v>3961.9391464262899</v>
      </c>
      <c r="W44" s="18">
        <f t="shared" si="23"/>
        <v>1000.1953481736628</v>
      </c>
      <c r="Y44" s="271">
        <f t="shared" si="24"/>
        <v>13.081080985829391</v>
      </c>
      <c r="Z44" s="235"/>
      <c r="AB44" s="378">
        <f>+IF(AB43&gt;$I$13+$I$14,XX,AB43+1)</f>
        <v>2025</v>
      </c>
      <c r="AC44" s="117"/>
      <c r="AD44" s="151">
        <f t="shared" si="4"/>
        <v>76461.21518987343</v>
      </c>
      <c r="AF44" s="154">
        <f t="shared" si="26"/>
        <v>113.77310842728102</v>
      </c>
      <c r="AH44" s="154">
        <f t="shared" si="27"/>
        <v>22.789247916898034</v>
      </c>
      <c r="AJ44" s="154">
        <f t="shared" si="28"/>
        <v>2.3256887520280323</v>
      </c>
      <c r="AL44" s="153">
        <f t="shared" si="15"/>
        <v>2573.2951351464849</v>
      </c>
      <c r="AN44" s="154">
        <f>INDEX('(2.2)_Forward_Price_Curve'!$K:$K,MATCH($AB44,'(2.2)_Forward_Price_Curve'!$C:$C,0),1)</f>
        <v>4.1086708333333339</v>
      </c>
      <c r="AP44" s="154">
        <f t="shared" si="5"/>
        <v>29.853689915591971</v>
      </c>
      <c r="AR44" s="154">
        <f t="shared" si="29"/>
        <v>2.624415163024989</v>
      </c>
      <c r="AS44" s="154"/>
      <c r="AT44" s="153">
        <f t="shared" si="6"/>
        <v>1478.6237650508372</v>
      </c>
      <c r="AV44" s="153">
        <f t="shared" si="7"/>
        <v>2483.3153813754525</v>
      </c>
      <c r="AW44" s="273"/>
      <c r="AX44" s="155">
        <f t="shared" si="8"/>
        <v>3961.9391464262899</v>
      </c>
      <c r="AZ44" s="384">
        <f>+IF(AZ43&gt;$I$13+$I$14,XX,AZ43+1)</f>
        <v>2025</v>
      </c>
      <c r="BA44" s="117"/>
      <c r="BB44" s="154">
        <f t="shared" si="16"/>
        <v>54.169550927198124</v>
      </c>
      <c r="BD44" s="154">
        <f t="shared" si="17"/>
        <v>8.2361116560647805</v>
      </c>
      <c r="BF44" s="153">
        <f t="shared" si="9"/>
        <v>1094.6713700956477</v>
      </c>
      <c r="BH44" s="157"/>
    </row>
    <row r="45" spans="2:60" ht="12">
      <c r="B45" s="2"/>
      <c r="C45" s="354">
        <f>+IF(C44&gt;$I$13+$I$14,XX,C44+1)</f>
        <v>2026</v>
      </c>
      <c r="E45" s="356">
        <f>'(2.2)_Forward_Price_Curve'!S39</f>
        <v>2.3E-2</v>
      </c>
      <c r="G45" s="470">
        <v>76461.21518987343</v>
      </c>
      <c r="I45" s="360">
        <v>330.00290553435758</v>
      </c>
      <c r="K45" s="471">
        <v>19.389577528163606</v>
      </c>
      <c r="M45" s="28">
        <f t="shared" si="25"/>
        <v>0</v>
      </c>
      <c r="O45" s="471">
        <v>0.72</v>
      </c>
      <c r="Q45" s="471">
        <v>-38.454908304934172</v>
      </c>
      <c r="S45" s="18">
        <f t="shared" si="21"/>
        <v>5032.3503736679104</v>
      </c>
      <c r="U45" s="18">
        <f t="shared" si="22"/>
        <v>4043.8022687189341</v>
      </c>
      <c r="W45" s="18">
        <f t="shared" si="23"/>
        <v>988.54810494897629</v>
      </c>
      <c r="Y45" s="271">
        <f t="shared" si="24"/>
        <v>12.928752211093556</v>
      </c>
      <c r="Z45" s="235"/>
      <c r="AB45" s="378">
        <f>+IF(AB44&gt;$I$13+$I$14,XX,AB44+1)</f>
        <v>2026</v>
      </c>
      <c r="AC45" s="117"/>
      <c r="AD45" s="151">
        <f t="shared" si="4"/>
        <v>76461.21518987343</v>
      </c>
      <c r="AF45" s="154">
        <f t="shared" si="26"/>
        <v>116.38988992110846</v>
      </c>
      <c r="AH45" s="154">
        <f t="shared" si="27"/>
        <v>23.313400618986687</v>
      </c>
      <c r="AJ45" s="154">
        <f t="shared" si="28"/>
        <v>2.3791795933246767</v>
      </c>
      <c r="AL45" s="153">
        <f t="shared" si="15"/>
        <v>2632.4809232548537</v>
      </c>
      <c r="AN45" s="154">
        <f>INDEX('(2.2)_Forward_Price_Curve'!$K:$K,MATCH($AB45,'(2.2)_Forward_Price_Curve'!$C:$C,0),1)</f>
        <v>4.1864999999999997</v>
      </c>
      <c r="AP45" s="154">
        <f t="shared" si="5"/>
        <v>30.419198300738156</v>
      </c>
      <c r="AR45" s="154">
        <f t="shared" si="29"/>
        <v>2.6847767117745636</v>
      </c>
      <c r="AS45" s="154"/>
      <c r="AT45" s="153">
        <f t="shared" si="6"/>
        <v>1512.6321116470062</v>
      </c>
      <c r="AV45" s="153">
        <f t="shared" si="7"/>
        <v>2531.1701570719279</v>
      </c>
      <c r="AW45" s="273"/>
      <c r="AX45" s="155">
        <f t="shared" si="8"/>
        <v>4043.8022687189341</v>
      </c>
      <c r="AZ45" s="384">
        <f>+IF(AZ44&gt;$I$13+$I$14,XX,AZ44+1)</f>
        <v>2026</v>
      </c>
      <c r="BA45" s="117"/>
      <c r="BB45" s="154">
        <f t="shared" si="16"/>
        <v>55.415450598523677</v>
      </c>
      <c r="BD45" s="154">
        <f t="shared" si="17"/>
        <v>8.4255422241542703</v>
      </c>
      <c r="BF45" s="153">
        <f t="shared" si="9"/>
        <v>1119.8488116078474</v>
      </c>
      <c r="BH45" s="157"/>
    </row>
    <row r="46" spans="2:60" ht="12">
      <c r="B46" s="2"/>
      <c r="C46" s="354">
        <f>+IF(C45&gt;$I$13+$I$14,XX,C45+1)</f>
        <v>2027</v>
      </c>
      <c r="E46" s="356">
        <f>'(2.2)_Forward_Price_Curve'!S40</f>
        <v>2.1999999999999999E-2</v>
      </c>
      <c r="G46" s="470">
        <v>76461.21518987343</v>
      </c>
      <c r="I46" s="360">
        <v>337.24463382542149</v>
      </c>
      <c r="K46" s="471">
        <v>19.816148233783206</v>
      </c>
      <c r="M46" s="28">
        <f t="shared" si="25"/>
        <v>0</v>
      </c>
      <c r="O46" s="471">
        <v>0.74</v>
      </c>
      <c r="Q46" s="471">
        <v>-38.454908304934172</v>
      </c>
      <c r="S46" s="18">
        <f t="shared" si="21"/>
        <v>5207.7094141635298</v>
      </c>
      <c r="U46" s="18">
        <f t="shared" si="22"/>
        <v>4232.0513447644244</v>
      </c>
      <c r="W46" s="18">
        <f t="shared" si="23"/>
        <v>975.65806939910544</v>
      </c>
      <c r="Y46" s="271">
        <f t="shared" si="24"/>
        <v>12.760169544471511</v>
      </c>
      <c r="Z46" s="235"/>
      <c r="AB46" s="378">
        <f>+IF(AB45&gt;$I$13+$I$14,XX,AB45+1)</f>
        <v>2027</v>
      </c>
      <c r="AC46" s="117"/>
      <c r="AD46" s="151">
        <f t="shared" si="4"/>
        <v>76461.21518987343</v>
      </c>
      <c r="AF46" s="154">
        <f t="shared" si="26"/>
        <v>118.95046749937285</v>
      </c>
      <c r="AH46" s="154">
        <f t="shared" si="27"/>
        <v>23.826295432604393</v>
      </c>
      <c r="AJ46" s="154">
        <f t="shared" si="28"/>
        <v>2.4315215443778198</v>
      </c>
      <c r="AL46" s="153">
        <f t="shared" si="15"/>
        <v>2690.3955035664608</v>
      </c>
      <c r="AN46" s="154">
        <f>INDEX('(2.2)_Forward_Price_Curve'!$K:$K,MATCH($AB46,'(2.2)_Forward_Price_Curve'!$C:$C,0),1)</f>
        <v>4.4573125000000005</v>
      </c>
      <c r="AP46" s="154">
        <f t="shared" si="5"/>
        <v>32.386927702343002</v>
      </c>
      <c r="AR46" s="154">
        <f t="shared" si="29"/>
        <v>2.743841799433604</v>
      </c>
      <c r="AS46" s="154"/>
      <c r="AT46" s="153">
        <f t="shared" si="6"/>
        <v>1545.9100181032404</v>
      </c>
      <c r="AV46" s="153">
        <f t="shared" si="7"/>
        <v>2686.1413266611835</v>
      </c>
      <c r="AW46" s="273"/>
      <c r="AX46" s="155">
        <f t="shared" si="8"/>
        <v>4232.0513447644244</v>
      </c>
      <c r="AZ46" s="384">
        <f>+IF(AZ45&gt;$I$13+$I$14,XX,AZ45+1)</f>
        <v>2027</v>
      </c>
      <c r="BA46" s="117"/>
      <c r="BB46" s="154">
        <f t="shared" si="16"/>
        <v>56.634590511691201</v>
      </c>
      <c r="BD46" s="154">
        <f t="shared" si="17"/>
        <v>8.6109041530856647</v>
      </c>
      <c r="BF46" s="153">
        <f t="shared" si="9"/>
        <v>1144.4854854632204</v>
      </c>
      <c r="BH46" s="157"/>
    </row>
    <row r="47" spans="2:60" ht="12">
      <c r="B47" s="2"/>
      <c r="C47" s="354">
        <f>+IF(C46&gt;$I$13+$I$14,XX,C46+1)</f>
        <v>2028</v>
      </c>
      <c r="E47" s="356">
        <f>'(2.2)_Forward_Price_Curve'!S41</f>
        <v>2.1999999999999999E-2</v>
      </c>
      <c r="G47" s="470">
        <v>76464.215189873416</v>
      </c>
      <c r="I47" s="360">
        <v>344.39779804326986</v>
      </c>
      <c r="K47" s="471">
        <v>20.307588709981033</v>
      </c>
      <c r="M47" s="28">
        <f t="shared" si="25"/>
        <v>0</v>
      </c>
      <c r="O47" s="471">
        <v>0.75000000000000011</v>
      </c>
      <c r="Q47" s="471">
        <v>-39.78093962579397</v>
      </c>
      <c r="S47" s="18">
        <f t="shared" si="21"/>
        <v>5284.0907283415281</v>
      </c>
      <c r="U47" s="18">
        <f t="shared" si="22"/>
        <v>4357.62412189727</v>
      </c>
      <c r="W47" s="18">
        <f t="shared" si="23"/>
        <v>926.4666064442581</v>
      </c>
      <c r="Y47" s="271">
        <f t="shared" si="24"/>
        <v>12.116342319654846</v>
      </c>
      <c r="Z47" s="235"/>
      <c r="AB47" s="378">
        <f>+IF(AB46&gt;$I$13+$I$14,XX,AB46+1)</f>
        <v>2028</v>
      </c>
      <c r="AC47" s="117"/>
      <c r="AD47" s="151">
        <f t="shared" si="4"/>
        <v>76464.215189873416</v>
      </c>
      <c r="AF47" s="154">
        <f t="shared" si="26"/>
        <v>121.56737778435905</v>
      </c>
      <c r="AH47" s="154">
        <f t="shared" si="27"/>
        <v>24.350473932121691</v>
      </c>
      <c r="AJ47" s="154">
        <f t="shared" si="28"/>
        <v>2.4850150183541317</v>
      </c>
      <c r="AL47" s="153">
        <f t="shared" si="15"/>
        <v>2749.5916596899783</v>
      </c>
      <c r="AN47" s="154">
        <f>INDEX('(2.2)_Forward_Price_Curve'!$K:$K,MATCH($AB47,'(2.2)_Forward_Price_Curve'!$C:$C,0),1)</f>
        <v>4.6136041666666676</v>
      </c>
      <c r="AP47" s="154">
        <f t="shared" si="5"/>
        <v>33.522546286144795</v>
      </c>
      <c r="AR47" s="154">
        <f t="shared" si="29"/>
        <v>2.8042063190211435</v>
      </c>
      <c r="AS47" s="154"/>
      <c r="AT47" s="153">
        <f t="shared" si="6"/>
        <v>1579.9274935465671</v>
      </c>
      <c r="AV47" s="153">
        <f t="shared" si="7"/>
        <v>2777.6966283507031</v>
      </c>
      <c r="AW47" s="273"/>
      <c r="AX47" s="155">
        <f t="shared" si="8"/>
        <v>4357.62412189727</v>
      </c>
      <c r="AZ47" s="384">
        <f>+IF(AZ46&gt;$I$13+$I$14,XX,AZ46+1)</f>
        <v>2028</v>
      </c>
      <c r="BA47" s="117"/>
      <c r="BB47" s="154">
        <f t="shared" si="16"/>
        <v>57.880551502948407</v>
      </c>
      <c r="BD47" s="154">
        <f t="shared" si="17"/>
        <v>8.8003440444535492</v>
      </c>
      <c r="BF47" s="153">
        <f t="shared" si="9"/>
        <v>1169.6641661434112</v>
      </c>
      <c r="BH47" s="157"/>
    </row>
    <row r="48" spans="2:60" ht="12">
      <c r="B48" s="2"/>
      <c r="C48" s="354">
        <f>+IF(C47&gt;$I$13+$I$14,XX,C47+1)</f>
        <v>2029</v>
      </c>
      <c r="E48" s="356">
        <f>'(2.2)_Forward_Price_Curve'!S42</f>
        <v>2.1999999999999999E-2</v>
      </c>
      <c r="G48" s="470">
        <v>76461.21518987343</v>
      </c>
      <c r="I48" s="360">
        <v>351.70327373711098</v>
      </c>
      <c r="K48" s="471">
        <v>20.677397668319887</v>
      </c>
      <c r="M48" s="28">
        <f t="shared" si="25"/>
        <v>0</v>
      </c>
      <c r="O48" s="471">
        <v>0.76999999999999991</v>
      </c>
      <c r="Q48" s="471">
        <v>-39.78093962579397</v>
      </c>
      <c r="S48" s="18">
        <f t="shared" si="21"/>
        <v>5456.4089410706647</v>
      </c>
      <c r="U48" s="18">
        <f t="shared" si="22"/>
        <v>4475.0751562795976</v>
      </c>
      <c r="W48" s="18">
        <f t="shared" si="23"/>
        <v>981.33378479106705</v>
      </c>
      <c r="Y48" s="271">
        <f t="shared" si="24"/>
        <v>12.83439953647291</v>
      </c>
      <c r="Z48" s="235"/>
      <c r="AB48" s="378">
        <f>+IF(AB47&gt;$I$13+$I$14,XX,AB47+1)</f>
        <v>2029</v>
      </c>
      <c r="AC48" s="117"/>
      <c r="AD48" s="151">
        <f t="shared" si="4"/>
        <v>76461.21518987343</v>
      </c>
      <c r="AF48" s="154">
        <f t="shared" si="26"/>
        <v>124.24186009561495</v>
      </c>
      <c r="AH48" s="154">
        <f t="shared" si="27"/>
        <v>24.88618435862837</v>
      </c>
      <c r="AJ48" s="154">
        <f t="shared" si="28"/>
        <v>2.5396853487579225</v>
      </c>
      <c r="AL48" s="153">
        <f t="shared" si="15"/>
        <v>2810.0750571471108</v>
      </c>
      <c r="AN48" s="154">
        <f>INDEX('(2.2)_Forward_Price_Curve'!$K:$K,MATCH($AB48,'(2.2)_Forward_Price_Curve'!$C:$C,0),1)</f>
        <v>4.7541666666666673</v>
      </c>
      <c r="AP48" s="154">
        <f t="shared" si="5"/>
        <v>34.543876409433338</v>
      </c>
      <c r="AR48" s="154">
        <f t="shared" si="29"/>
        <v>2.8658988580396088</v>
      </c>
      <c r="AS48" s="154"/>
      <c r="AT48" s="153">
        <f t="shared" si="6"/>
        <v>1614.6782793485445</v>
      </c>
      <c r="AV48" s="153">
        <f t="shared" si="7"/>
        <v>2860.3968769310536</v>
      </c>
      <c r="AW48" s="273"/>
      <c r="AX48" s="155">
        <f t="shared" si="8"/>
        <v>4475.0751562795976</v>
      </c>
      <c r="AZ48" s="384">
        <f>+IF(AZ47&gt;$I$13+$I$14,XX,AZ47+1)</f>
        <v>2029</v>
      </c>
      <c r="BA48" s="117"/>
      <c r="BB48" s="154">
        <f t="shared" si="16"/>
        <v>59.153923636013275</v>
      </c>
      <c r="BD48" s="154">
        <f t="shared" si="17"/>
        <v>8.9939516134315269</v>
      </c>
      <c r="BF48" s="153">
        <f t="shared" si="9"/>
        <v>1195.3967777985663</v>
      </c>
      <c r="BH48" s="157"/>
    </row>
    <row r="49" spans="2:60" ht="12">
      <c r="B49" s="2"/>
      <c r="C49" s="354">
        <f>+IF(C48&gt;$I$13+$I$14,XX,C48+1)</f>
        <v>2030</v>
      </c>
      <c r="E49" s="356">
        <f>'(2.2)_Forward_Price_Curve'!S43</f>
        <v>2.1999999999999999E-2</v>
      </c>
      <c r="G49" s="470">
        <v>76461.21518987343</v>
      </c>
      <c r="I49" s="360">
        <v>359.16431565481753</v>
      </c>
      <c r="K49" s="471">
        <v>21.132300417022929</v>
      </c>
      <c r="M49" s="28">
        <f t="shared" si="25"/>
        <v>0</v>
      </c>
      <c r="O49" s="471">
        <v>0.78</v>
      </c>
      <c r="Q49" s="471">
        <v>0</v>
      </c>
      <c r="S49" s="18">
        <f t="shared" si="21"/>
        <v>8679.1452727600863</v>
      </c>
      <c r="U49" s="18">
        <f t="shared" si="22"/>
        <v>4681.179843047129</v>
      </c>
      <c r="W49" s="18">
        <f t="shared" si="23"/>
        <v>3997.9654297129573</v>
      </c>
      <c r="Y49" s="271">
        <f t="shared" si="24"/>
        <v>52.287495297909551</v>
      </c>
      <c r="Z49" s="235"/>
      <c r="AB49" s="378">
        <f>+IF(AB48&gt;$I$13+$I$14,XX,AB48+1)</f>
        <v>2030</v>
      </c>
      <c r="AC49" s="117"/>
      <c r="AD49" s="151">
        <f t="shared" si="4"/>
        <v>76461.21518987343</v>
      </c>
      <c r="AF49" s="154">
        <f t="shared" si="26"/>
        <v>126.97518101771848</v>
      </c>
      <c r="AH49" s="154">
        <f t="shared" si="27"/>
        <v>25.433680414518193</v>
      </c>
      <c r="AJ49" s="154">
        <f t="shared" si="28"/>
        <v>2.5955584264305966</v>
      </c>
      <c r="AL49" s="153">
        <f t="shared" si="15"/>
        <v>2871.8967084043475</v>
      </c>
      <c r="AN49" s="154">
        <f>INDEX('(2.2)_Forward_Price_Curve'!$K:$K,MATCH($AB49,'(2.2)_Forward_Price_Curve'!$C:$C,0),1)</f>
        <v>5.052529166666667</v>
      </c>
      <c r="AP49" s="154">
        <f t="shared" si="5"/>
        <v>36.711784698697393</v>
      </c>
      <c r="AR49" s="154">
        <f t="shared" si="29"/>
        <v>2.9289486329164802</v>
      </c>
      <c r="AS49" s="154"/>
      <c r="AT49" s="153">
        <f t="shared" si="6"/>
        <v>1650.2012014942127</v>
      </c>
      <c r="AV49" s="153">
        <f t="shared" si="7"/>
        <v>3030.9786415529165</v>
      </c>
      <c r="AW49" s="273"/>
      <c r="AX49" s="155">
        <f t="shared" si="8"/>
        <v>4681.179843047129</v>
      </c>
      <c r="AZ49" s="384">
        <f>+IF(AZ48&gt;$I$13+$I$14,XX,AZ48+1)</f>
        <v>2030</v>
      </c>
      <c r="BA49" s="117"/>
      <c r="BB49" s="154">
        <f t="shared" si="16"/>
        <v>60.455309956005571</v>
      </c>
      <c r="BD49" s="154">
        <f t="shared" si="17"/>
        <v>9.1918185489270208</v>
      </c>
      <c r="BF49" s="153">
        <f t="shared" si="9"/>
        <v>1221.6955069101348</v>
      </c>
      <c r="BH49" s="157"/>
    </row>
    <row r="50" spans="2:60" ht="12">
      <c r="B50" s="2"/>
      <c r="C50" s="354">
        <f>+IF(C49&gt;$I$13+$I$14,XX,C49+1)</f>
        <v>2031</v>
      </c>
      <c r="E50" s="356">
        <f>'(2.2)_Forward_Price_Curve'!S44</f>
        <v>2.1999999999999999E-2</v>
      </c>
      <c r="G50" s="470">
        <v>76461.21518987343</v>
      </c>
      <c r="I50" s="360">
        <v>366.78424832272788</v>
      </c>
      <c r="K50" s="471">
        <v>21.597211026197431</v>
      </c>
      <c r="M50" s="28">
        <f t="shared" si="25"/>
        <v>0</v>
      </c>
      <c r="O50" s="471">
        <v>0.8</v>
      </c>
      <c r="Q50" s="471">
        <v>0</v>
      </c>
      <c r="S50" s="18">
        <f t="shared" si="21"/>
        <v>8864.8108142202818</v>
      </c>
      <c r="U50" s="18">
        <f t="shared" si="22"/>
        <v>4798.7185683581283</v>
      </c>
      <c r="W50" s="18">
        <f t="shared" si="23"/>
        <v>4066.0922458621535</v>
      </c>
      <c r="Y50" s="271">
        <f t="shared" si="24"/>
        <v>53.178493642364572</v>
      </c>
      <c r="Z50" s="235"/>
      <c r="AB50" s="378">
        <f>+IF(AB49&gt;$I$13+$I$14,XX,AB49+1)</f>
        <v>2031</v>
      </c>
      <c r="AC50" s="117"/>
      <c r="AD50" s="151">
        <f t="shared" si="4"/>
        <v>76461.21518987343</v>
      </c>
      <c r="AF50" s="154">
        <f t="shared" si="26"/>
        <v>129.7686350001083</v>
      </c>
      <c r="AH50" s="154">
        <f t="shared" si="27"/>
        <v>25.993221383637593</v>
      </c>
      <c r="AJ50" s="154">
        <f t="shared" si="28"/>
        <v>2.6526607118120697</v>
      </c>
      <c r="AL50" s="153">
        <f t="shared" si="15"/>
        <v>2935.0784359892436</v>
      </c>
      <c r="AN50" s="154">
        <f>INDEX('(2.2)_Forward_Price_Curve'!$K:$K,MATCH($AB50,'(2.2)_Forward_Price_Curve'!$C:$C,0),1)</f>
        <v>5.1898791666666666</v>
      </c>
      <c r="AP50" s="154">
        <f t="shared" si="5"/>
        <v>37.709772728461253</v>
      </c>
      <c r="AR50" s="154">
        <f t="shared" si="29"/>
        <v>2.9933855028406429</v>
      </c>
      <c r="AS50" s="154"/>
      <c r="AT50" s="153">
        <f t="shared" si="6"/>
        <v>1686.5056279270859</v>
      </c>
      <c r="AV50" s="153">
        <f t="shared" si="7"/>
        <v>3112.2129404310426</v>
      </c>
      <c r="AW50" s="273"/>
      <c r="AX50" s="155">
        <f t="shared" si="8"/>
        <v>4798.7185683581283</v>
      </c>
      <c r="AZ50" s="384">
        <f>+IF(AZ49&gt;$I$13+$I$14,XX,AZ49+1)</f>
        <v>2031</v>
      </c>
      <c r="BA50" s="117"/>
      <c r="BB50" s="154">
        <f t="shared" si="16"/>
        <v>61.785326775037696</v>
      </c>
      <c r="BD50" s="154">
        <f t="shared" si="17"/>
        <v>9.3940385570034159</v>
      </c>
      <c r="BF50" s="153">
        <f t="shared" si="9"/>
        <v>1248.5728080621577</v>
      </c>
      <c r="BH50" s="157"/>
    </row>
    <row r="51" spans="2:60" ht="12">
      <c r="B51" s="2"/>
      <c r="C51" s="354">
        <f>+IF(C50&gt;$I$13+$I$14,XX,C50+1)</f>
        <v>2032</v>
      </c>
      <c r="E51" s="356">
        <f>'(2.2)_Forward_Price_Curve'!S45</f>
        <v>2.1999999999999999E-2</v>
      </c>
      <c r="G51" s="470">
        <v>76464.215189873416</v>
      </c>
      <c r="I51" s="360">
        <v>374.56646754607885</v>
      </c>
      <c r="K51" s="471">
        <v>22.132821859647127</v>
      </c>
      <c r="M51" s="28">
        <f t="shared" si="25"/>
        <v>0</v>
      </c>
      <c r="O51" s="471">
        <v>0.82</v>
      </c>
      <c r="Q51" s="471">
        <v>0</v>
      </c>
      <c r="S51" s="18">
        <f t="shared" si="21"/>
        <v>9059.1156270394258</v>
      </c>
      <c r="U51" s="18">
        <f t="shared" si="22"/>
        <v>4920.3304161741153</v>
      </c>
      <c r="W51" s="18">
        <f t="shared" si="23"/>
        <v>4138.7852108653105</v>
      </c>
      <c r="Y51" s="271">
        <f t="shared" si="24"/>
        <v>54.127086776317725</v>
      </c>
      <c r="Z51" s="235"/>
      <c r="AB51" s="378">
        <f>+IF(AB50&gt;$I$13+$I$14,XX,AB50+1)</f>
        <v>2032</v>
      </c>
      <c r="AC51" s="117"/>
      <c r="AD51" s="151">
        <f t="shared" si="4"/>
        <v>76464.215189873416</v>
      </c>
      <c r="AF51" s="154">
        <f t="shared" si="26"/>
        <v>132.62354497011069</v>
      </c>
      <c r="AH51" s="154">
        <f t="shared" si="27"/>
        <v>26.56507225407762</v>
      </c>
      <c r="AJ51" s="154">
        <f t="shared" si="28"/>
        <v>2.7110192474719352</v>
      </c>
      <c r="AL51" s="153">
        <f t="shared" si="15"/>
        <v>2999.6582946387493</v>
      </c>
      <c r="AN51" s="154">
        <f>INDEX('(2.2)_Forward_Price_Curve'!$K:$K,MATCH($AB51,'(2.2)_Forward_Price_Curve'!$C:$C,0),1)</f>
        <v>5.3326874999999996</v>
      </c>
      <c r="AP51" s="154">
        <f t="shared" si="5"/>
        <v>38.747421124654863</v>
      </c>
      <c r="AR51" s="154">
        <f t="shared" si="29"/>
        <v>3.059239983903137</v>
      </c>
      <c r="AS51" s="154"/>
      <c r="AT51" s="153">
        <f t="shared" si="6"/>
        <v>1723.6168847992242</v>
      </c>
      <c r="AV51" s="153">
        <f t="shared" si="7"/>
        <v>3196.7135313748913</v>
      </c>
      <c r="AW51" s="273"/>
      <c r="AX51" s="155">
        <f t="shared" si="8"/>
        <v>4920.3304161741153</v>
      </c>
      <c r="AZ51" s="384">
        <f>+IF(AZ50&gt;$I$13+$I$14,XX,AZ50+1)</f>
        <v>2032</v>
      </c>
      <c r="BA51" s="117"/>
      <c r="BB51" s="154">
        <f t="shared" si="16"/>
        <v>63.144603964088525</v>
      </c>
      <c r="BD51" s="154">
        <f t="shared" si="17"/>
        <v>9.6007074052574914</v>
      </c>
      <c r="BF51" s="153">
        <f t="shared" si="9"/>
        <v>1276.0414098395252</v>
      </c>
      <c r="BH51" s="157"/>
    </row>
    <row r="52" spans="2:60" ht="12">
      <c r="B52" s="2"/>
      <c r="C52" s="354">
        <f>+IF(C51&gt;$I$13+$I$14,XX,C51+1)</f>
        <v>2033</v>
      </c>
      <c r="E52" s="356">
        <f>'(2.2)_Forward_Price_Curve'!S46</f>
        <v>2.1999999999999999E-2</v>
      </c>
      <c r="G52" s="470">
        <v>76461.21518987343</v>
      </c>
      <c r="I52" s="360">
        <v>382.51444194178839</v>
      </c>
      <c r="K52" s="471">
        <v>22.557941361486801</v>
      </c>
      <c r="M52" s="28">
        <f t="shared" si="25"/>
        <v>0</v>
      </c>
      <c r="O52" s="471">
        <v>0.84000000000000008</v>
      </c>
      <c r="Q52" s="471">
        <v>0</v>
      </c>
      <c r="S52" s="18">
        <f t="shared" si="21"/>
        <v>9248.0666473055553</v>
      </c>
      <c r="U52" s="18">
        <f t="shared" si="22"/>
        <v>5065.572659391235</v>
      </c>
      <c r="W52" s="18">
        <f t="shared" si="23"/>
        <v>4182.4939879143203</v>
      </c>
      <c r="Y52" s="271">
        <f t="shared" si="24"/>
        <v>54.700856866165161</v>
      </c>
      <c r="Z52" s="235"/>
      <c r="AB52" s="378">
        <f>+IF(AB51&gt;$I$13+$I$14,XX,AB51+1)</f>
        <v>2033</v>
      </c>
      <c r="AC52" s="117"/>
      <c r="AD52" s="151">
        <f t="shared" si="4"/>
        <v>76461.21518987343</v>
      </c>
      <c r="AF52" s="154">
        <f t="shared" si="26"/>
        <v>135.54126295945312</v>
      </c>
      <c r="AH52" s="154">
        <f t="shared" si="27"/>
        <v>27.149503843667329</v>
      </c>
      <c r="AJ52" s="154">
        <f t="shared" si="28"/>
        <v>2.7706616709163177</v>
      </c>
      <c r="AL52" s="153">
        <f t="shared" si="15"/>
        <v>3065.6424651357888</v>
      </c>
      <c r="AN52" s="154">
        <f>INDEX('(2.2)_Forward_Price_Curve'!$K:$K,MATCH($AB52,'(2.2)_Forward_Price_Curve'!$C:$C,0),1)</f>
        <v>5.5168416666666671</v>
      </c>
      <c r="AP52" s="154">
        <f t="shared" si="5"/>
        <v>40.085489227781714</v>
      </c>
      <c r="AR52" s="154">
        <f t="shared" si="29"/>
        <v>3.126543263549006</v>
      </c>
      <c r="AS52" s="154"/>
      <c r="AT52" s="153">
        <f t="shared" si="6"/>
        <v>1761.5281442797943</v>
      </c>
      <c r="AV52" s="153">
        <f t="shared" si="7"/>
        <v>3304.0445151114404</v>
      </c>
      <c r="AW52" s="273"/>
      <c r="AX52" s="155">
        <f t="shared" si="8"/>
        <v>5065.572659391235</v>
      </c>
      <c r="AZ52" s="384">
        <f>+IF(AZ51&gt;$I$13+$I$14,XX,AZ51+1)</f>
        <v>2033</v>
      </c>
      <c r="BA52" s="117"/>
      <c r="BB52" s="154">
        <f t="shared" si="16"/>
        <v>64.533785251298468</v>
      </c>
      <c r="BD52" s="154">
        <f t="shared" si="17"/>
        <v>9.8119229681731568</v>
      </c>
      <c r="BF52" s="153">
        <f t="shared" si="9"/>
        <v>1304.1143208559945</v>
      </c>
      <c r="BH52" s="157"/>
    </row>
    <row r="53" spans="2:60" ht="12">
      <c r="B53" s="2"/>
      <c r="C53" s="354">
        <f>+IF(C52&gt;$I$13+$I$14,XX,C52+1)</f>
        <v>2034</v>
      </c>
      <c r="E53" s="356">
        <f>'(2.2)_Forward_Price_Curve'!S47</f>
        <v>2.1999999999999999E-2</v>
      </c>
      <c r="G53" s="470">
        <v>76461.21518987343</v>
      </c>
      <c r="I53" s="360">
        <v>101.23600608807672</v>
      </c>
      <c r="K53" s="471">
        <v>23.054216071439512</v>
      </c>
      <c r="M53" s="28">
        <f t="shared" si="25"/>
        <v>0</v>
      </c>
      <c r="O53" s="471">
        <v>0.85999999999999988</v>
      </c>
      <c r="Q53" s="471">
        <v>0</v>
      </c>
      <c r="S53" s="18">
        <f t="shared" si="21"/>
        <v>3802.6121398529626</v>
      </c>
      <c r="U53" s="18">
        <f t="shared" si="22"/>
        <v>5204.8401722565068</v>
      </c>
      <c r="W53" s="18">
        <f t="shared" si="23"/>
        <v>-1402.2280324035441</v>
      </c>
      <c r="Y53" s="271">
        <f t="shared" si="24"/>
        <v>-18.339075947477959</v>
      </c>
      <c r="Z53" s="235"/>
      <c r="AB53" s="378">
        <f>+IF(AB52&gt;$I$13+$I$14,XX,AB52+1)</f>
        <v>2034</v>
      </c>
      <c r="AC53" s="117"/>
      <c r="AD53" s="151">
        <f t="shared" si="4"/>
        <v>76461.21518987343</v>
      </c>
      <c r="AF53" s="154">
        <f t="shared" si="26"/>
        <v>138.5231707445611</v>
      </c>
      <c r="AH53" s="154">
        <f t="shared" si="27"/>
        <v>27.746792928228011</v>
      </c>
      <c r="AJ53" s="154">
        <f t="shared" si="28"/>
        <v>2.8316162276764767</v>
      </c>
      <c r="AL53" s="153">
        <f t="shared" si="15"/>
        <v>3133.0865993687767</v>
      </c>
      <c r="AN53" s="154">
        <f>INDEX('(2.2)_Forward_Price_Curve'!$K:$K,MATCH($AB53,'(2.2)_Forward_Price_Curve'!$C:$C,0),1)</f>
        <v>5.688295833333334</v>
      </c>
      <c r="AP53" s="154">
        <f t="shared" si="5"/>
        <v>41.331278860009391</v>
      </c>
      <c r="AR53" s="154">
        <f t="shared" si="29"/>
        <v>3.1953272153470844</v>
      </c>
      <c r="AS53" s="154"/>
      <c r="AT53" s="153">
        <f t="shared" si="6"/>
        <v>1800.2817634539499</v>
      </c>
      <c r="AV53" s="153">
        <f t="shared" si="7"/>
        <v>3404.5584088025571</v>
      </c>
      <c r="AW53" s="273"/>
      <c r="AX53" s="155">
        <f t="shared" si="8"/>
        <v>5204.8401722565068</v>
      </c>
      <c r="AZ53" s="384">
        <f>+IF(AZ52&gt;$I$13+$I$14,XX,AZ52+1)</f>
        <v>2034</v>
      </c>
      <c r="BA53" s="117"/>
      <c r="BB53" s="154">
        <f t="shared" si="16"/>
        <v>65.953528526827043</v>
      </c>
      <c r="BD53" s="154">
        <f t="shared" si="17"/>
        <v>10.027785273472967</v>
      </c>
      <c r="BF53" s="153">
        <f t="shared" si="9"/>
        <v>1332.8048359148268</v>
      </c>
      <c r="BH53" s="157"/>
    </row>
    <row r="54" spans="2:60" ht="12">
      <c r="B54" s="2"/>
      <c r="C54" s="354">
        <f>+IF(C53&gt;$I$13+$I$14,XX,C53+1)</f>
        <v>2035</v>
      </c>
      <c r="E54" s="356">
        <f>'(2.2)_Forward_Price_Curve'!S48</f>
        <v>2.1999999999999999E-2</v>
      </c>
      <c r="G54" s="470">
        <v>76461.21518987343</v>
      </c>
      <c r="I54" s="360">
        <v>103.15949020375018</v>
      </c>
      <c r="K54" s="471">
        <v>23.561408825011181</v>
      </c>
      <c r="M54" s="28">
        <f t="shared" si="25"/>
        <v>0</v>
      </c>
      <c r="O54" s="471">
        <v>0.86999999999999988</v>
      </c>
      <c r="Q54" s="471">
        <v>0</v>
      </c>
      <c r="S54" s="18">
        <f t="shared" si="21"/>
        <v>3879.6652665340816</v>
      </c>
      <c r="U54" s="18">
        <f t="shared" si="22"/>
        <v>5337.4368981611133</v>
      </c>
      <c r="W54" s="18">
        <f t="shared" si="23"/>
        <v>-1457.7716316270316</v>
      </c>
      <c r="Y54" s="271">
        <f t="shared" si="24"/>
        <v>-19.065504360701027</v>
      </c>
      <c r="Z54" s="235"/>
      <c r="AB54" s="378">
        <f>+IF(AB53&gt;$I$13+$I$14,XX,AB53+1)</f>
        <v>2035</v>
      </c>
      <c r="AC54" s="117"/>
      <c r="AD54" s="151">
        <f t="shared" si="4"/>
        <v>76461.21518987343</v>
      </c>
      <c r="AF54" s="154">
        <f t="shared" si="26"/>
        <v>141.57068050094145</v>
      </c>
      <c r="AH54" s="154">
        <f t="shared" si="27"/>
        <v>28.357222372649026</v>
      </c>
      <c r="AJ54" s="154">
        <f t="shared" si="28"/>
        <v>2.893911784685359</v>
      </c>
      <c r="AL54" s="153">
        <f t="shared" si="15"/>
        <v>3202.0145045548898</v>
      </c>
      <c r="AN54" s="154">
        <f>INDEX('(2.2)_Forward_Price_Curve'!$K:$K,MATCH($AB54,'(2.2)_Forward_Price_Curve'!$C:$C,0),1)</f>
        <v>5.846000000000001</v>
      </c>
      <c r="AP54" s="154">
        <f t="shared" si="5"/>
        <v>42.477160698940715</v>
      </c>
      <c r="AR54" s="154">
        <f t="shared" si="29"/>
        <v>3.2656244140847202</v>
      </c>
      <c r="AS54" s="154"/>
      <c r="AT54" s="153">
        <f t="shared" si="6"/>
        <v>1839.8879622499369</v>
      </c>
      <c r="AV54" s="153">
        <f t="shared" si="7"/>
        <v>3497.5489359111766</v>
      </c>
      <c r="AW54" s="273"/>
      <c r="AX54" s="155">
        <f t="shared" si="8"/>
        <v>5337.4368981611133</v>
      </c>
      <c r="AZ54" s="384">
        <f>+IF(AZ53&gt;$I$13+$I$14,XX,AZ53+1)</f>
        <v>2035</v>
      </c>
      <c r="BA54" s="117"/>
      <c r="BB54" s="154">
        <f t="shared" si="16"/>
        <v>67.404506154417234</v>
      </c>
      <c r="BD54" s="154">
        <f t="shared" si="17"/>
        <v>10.248396549489373</v>
      </c>
      <c r="BF54" s="153">
        <f t="shared" si="9"/>
        <v>1362.1265423049529</v>
      </c>
      <c r="BH54" s="157"/>
    </row>
    <row r="55" spans="2:60" ht="12">
      <c r="B55" s="2"/>
      <c r="C55" s="354">
        <f>+IF(C54&gt;$I$13+$I$14,XX,C54+1)</f>
        <v>2036</v>
      </c>
      <c r="E55" s="356">
        <f>'(2.2)_Forward_Price_Curve'!S49</f>
        <v>2.1999999999999999E-2</v>
      </c>
      <c r="G55" s="470">
        <v>76464.215189873416</v>
      </c>
      <c r="I55" s="360">
        <v>105.11952051762142</v>
      </c>
      <c r="K55" s="471">
        <v>24.14573176387146</v>
      </c>
      <c r="M55" s="28">
        <f t="shared" si="25"/>
        <v>0</v>
      </c>
      <c r="O55" s="471">
        <v>0.89000000000000024</v>
      </c>
      <c r="Q55" s="471">
        <v>0</v>
      </c>
      <c r="S55" s="18">
        <f t="shared" si="21"/>
        <v>3964.1682311222344</v>
      </c>
      <c r="U55" s="18">
        <f t="shared" si="22"/>
        <v>5508.9809065038726</v>
      </c>
      <c r="W55" s="18">
        <f t="shared" si="23"/>
        <v>-1544.8126753816382</v>
      </c>
      <c r="Y55" s="271">
        <f t="shared" si="24"/>
        <v>-20.203080245388122</v>
      </c>
      <c r="Z55" s="235"/>
      <c r="AB55" s="378">
        <f>+IF(AB54&gt;$I$13+$I$14,XX,AB54+1)</f>
        <v>2036</v>
      </c>
      <c r="AC55" s="117"/>
      <c r="AD55" s="151">
        <f t="shared" si="4"/>
        <v>76464.215189873416</v>
      </c>
      <c r="AF55" s="154">
        <f t="shared" si="26"/>
        <v>144.68523547196216</v>
      </c>
      <c r="AH55" s="154">
        <f t="shared" si="27"/>
        <v>28.981081264847305</v>
      </c>
      <c r="AJ55" s="154">
        <f t="shared" si="28"/>
        <v>2.957577843948437</v>
      </c>
      <c r="AL55" s="153">
        <f t="shared" si="15"/>
        <v>3272.4676963886282</v>
      </c>
      <c r="AN55" s="154">
        <f>INDEX('(2.2)_Forward_Price_Curve'!$K:$K,MATCH($AB55,'(2.2)_Forward_Price_Curve'!$C:$C,0),1)</f>
        <v>6.0717541666666675</v>
      </c>
      <c r="AP55" s="154">
        <f t="shared" si="5"/>
        <v>44.117495289422315</v>
      </c>
      <c r="AR55" s="154">
        <f t="shared" si="29"/>
        <v>3.3374681511945838</v>
      </c>
      <c r="AS55" s="154"/>
      <c r="AT55" s="153">
        <f t="shared" si="6"/>
        <v>1880.3743701529663</v>
      </c>
      <c r="AV55" s="153">
        <f t="shared" si="7"/>
        <v>3628.6065363509065</v>
      </c>
      <c r="AW55" s="273"/>
      <c r="AX55" s="155">
        <f t="shared" si="8"/>
        <v>5508.9809065038726</v>
      </c>
      <c r="AZ55" s="384">
        <f>+IF(AZ54&gt;$I$13+$I$14,XX,AZ54+1)</f>
        <v>2036</v>
      </c>
      <c r="BA55" s="117"/>
      <c r="BB55" s="154">
        <f t="shared" si="16"/>
        <v>68.88740528981441</v>
      </c>
      <c r="BD55" s="154">
        <f t="shared" si="17"/>
        <v>10.473861273578139</v>
      </c>
      <c r="BF55" s="153">
        <f t="shared" si="9"/>
        <v>1392.0933262356618</v>
      </c>
      <c r="BH55" s="157"/>
    </row>
    <row r="56" spans="2:60" ht="12">
      <c r="B56" s="2"/>
      <c r="C56" s="354">
        <f>+IF(C55&gt;$I$13+$I$14,XX,C55+1)</f>
        <v>2037</v>
      </c>
      <c r="E56" s="356">
        <f>'(2.2)_Forward_Price_Curve'!S50</f>
        <v>2.1999999999999999E-2</v>
      </c>
      <c r="G56" s="470">
        <v>76464.215189873416</v>
      </c>
      <c r="I56" s="360">
        <v>107.11679140745625</v>
      </c>
      <c r="K56" s="471">
        <v>24.609514535182974</v>
      </c>
      <c r="M56" s="28">
        <f t="shared" si="25"/>
        <v>0</v>
      </c>
      <c r="O56" s="471">
        <v>0.91000000000000025</v>
      </c>
      <c r="Q56" s="471">
        <v>0</v>
      </c>
      <c r="S56" s="18">
        <f t="shared" si="21"/>
        <v>4040.10708340473</v>
      </c>
      <c r="U56" s="18">
        <f t="shared" si="22"/>
        <v>5649.4693751815557</v>
      </c>
      <c r="W56" s="18">
        <f t="shared" si="23"/>
        <v>-1609.3622917768257</v>
      </c>
      <c r="Y56" s="271">
        <f t="shared" si="24"/>
        <v>-21.047260967506308</v>
      </c>
      <c r="Z56" s="235"/>
      <c r="AB56" s="378">
        <f>+IF(AB55&gt;$I$13+$I$14,XX,AB55+1)</f>
        <v>2037</v>
      </c>
      <c r="AC56" s="117"/>
      <c r="AD56" s="151">
        <f t="shared" si="4"/>
        <v>76464.215189873416</v>
      </c>
      <c r="AF56" s="154">
        <f t="shared" si="26"/>
        <v>147.86831065234534</v>
      </c>
      <c r="AH56" s="154">
        <f t="shared" si="27"/>
        <v>29.618665052673947</v>
      </c>
      <c r="AJ56" s="154">
        <f t="shared" si="28"/>
        <v>3.0226445565153028</v>
      </c>
      <c r="AL56" s="153">
        <f t="shared" si="15"/>
        <v>3344.4619857091793</v>
      </c>
      <c r="AN56" s="154">
        <f>INDEX('(2.2)_Forward_Price_Curve'!$K:$K,MATCH($AB56,'(2.2)_Forward_Price_Curve'!$C:$C,0),1)</f>
        <v>6.240054166666666</v>
      </c>
      <c r="AP56" s="154">
        <f t="shared" si="5"/>
        <v>45.340366679369573</v>
      </c>
      <c r="AR56" s="154">
        <f t="shared" si="29"/>
        <v>3.4108924505208646</v>
      </c>
      <c r="AS56" s="154"/>
      <c r="AT56" s="153">
        <f t="shared" si="6"/>
        <v>1921.742606296333</v>
      </c>
      <c r="AV56" s="153">
        <f t="shared" si="7"/>
        <v>3727.726768885223</v>
      </c>
      <c r="AW56" s="273"/>
      <c r="AX56" s="155">
        <f t="shared" si="8"/>
        <v>5649.4693751815557</v>
      </c>
      <c r="AZ56" s="384">
        <f>+IF(AZ55&gt;$I$13+$I$14,XX,AZ55+1)</f>
        <v>2037</v>
      </c>
      <c r="BA56" s="117"/>
      <c r="BB56" s="154">
        <f t="shared" si="16"/>
        <v>70.402928206190325</v>
      </c>
      <c r="BD56" s="154">
        <f t="shared" si="17"/>
        <v>10.704286221596858</v>
      </c>
      <c r="BF56" s="153">
        <f t="shared" si="9"/>
        <v>1422.7193794128464</v>
      </c>
      <c r="BH56" s="157"/>
    </row>
    <row r="57" spans="2:60" ht="12">
      <c r="B57" s="2"/>
      <c r="C57" s="354">
        <f>+IF(C56&gt;$I$13+$I$14,XX,C56+1)</f>
        <v>2038</v>
      </c>
      <c r="E57" s="356">
        <f>'(2.2)_Forward_Price_Curve'!S51</f>
        <v>2.1999999999999999E-2</v>
      </c>
      <c r="G57" s="470">
        <v>76464.215189873416</v>
      </c>
      <c r="I57" s="360">
        <v>109.15201044419788</v>
      </c>
      <c r="K57" s="471">
        <v>25.175533369492182</v>
      </c>
      <c r="M57" s="28">
        <f t="shared" si="25"/>
        <v>0</v>
      </c>
      <c r="O57" s="471">
        <v>0.92999999999999994</v>
      </c>
      <c r="Q57" s="471">
        <v>0</v>
      </c>
      <c r="S57" s="18">
        <f t="shared" si="21"/>
        <v>4124.603324873131</v>
      </c>
      <c r="U57" s="18">
        <f t="shared" si="22"/>
        <v>5875.4690139039276</v>
      </c>
      <c r="W57" s="18">
        <f t="shared" si="23"/>
        <v>-1750.8656890307966</v>
      </c>
      <c r="Y57" s="271">
        <f t="shared" si="24"/>
        <v>-22.897844235805007</v>
      </c>
      <c r="Z57" s="235"/>
      <c r="AB57" s="378">
        <f>+IF(AB56&gt;$I$13+$I$14,XX,AB56+1)</f>
        <v>2038</v>
      </c>
      <c r="AC57" s="117"/>
      <c r="AD57" s="151">
        <f t="shared" si="4"/>
        <v>76464.215189873416</v>
      </c>
      <c r="AF57" s="154">
        <f t="shared" si="26"/>
        <v>151.12141348669695</v>
      </c>
      <c r="AH57" s="154">
        <f t="shared" si="27"/>
        <v>30.270275683832775</v>
      </c>
      <c r="AJ57" s="154">
        <f t="shared" si="28"/>
        <v>3.0891427367586397</v>
      </c>
      <c r="AL57" s="153">
        <f t="shared" si="15"/>
        <v>3418.0401493947811</v>
      </c>
      <c r="AN57" s="154">
        <f>INDEX('(2.2)_Forward_Price_Curve'!$K:$K,MATCH($AB57,'(2.2)_Forward_Price_Curve'!$C:$C,0),1)</f>
        <v>6.5604041666666673</v>
      </c>
      <c r="AP57" s="154">
        <f t="shared" si="5"/>
        <v>47.66803661264116</v>
      </c>
      <c r="AR57" s="154">
        <f t="shared" si="29"/>
        <v>3.4859320844323238</v>
      </c>
      <c r="AS57" s="154"/>
      <c r="AT57" s="153">
        <f t="shared" si="6"/>
        <v>1964.0209436348521</v>
      </c>
      <c r="AV57" s="153">
        <f t="shared" si="7"/>
        <v>3911.4480702690753</v>
      </c>
      <c r="AW57" s="273"/>
      <c r="AX57" s="155">
        <f t="shared" si="8"/>
        <v>5875.4690139039276</v>
      </c>
      <c r="AZ57" s="384">
        <f>+IF(AZ56&gt;$I$13+$I$14,XX,AZ56+1)</f>
        <v>2038</v>
      </c>
      <c r="BA57" s="117"/>
      <c r="BB57" s="154">
        <f t="shared" si="16"/>
        <v>71.951792626726515</v>
      </c>
      <c r="BD57" s="154">
        <f t="shared" si="17"/>
        <v>10.93978051847199</v>
      </c>
      <c r="BF57" s="153">
        <f t="shared" si="9"/>
        <v>1454.019205759929</v>
      </c>
      <c r="BH57" s="157"/>
    </row>
    <row r="58" spans="2:60" ht="12">
      <c r="B58" s="2"/>
      <c r="C58" s="354">
        <f>+IF(C57&gt;$I$13+$I$14,XX,C57+1)</f>
        <v>2039</v>
      </c>
      <c r="E58" s="356">
        <f>'(2.2)_Forward_Price_Curve'!S52</f>
        <v>2.1999999999999999E-2</v>
      </c>
      <c r="G58" s="470">
        <v>76464.215189873416</v>
      </c>
      <c r="I58" s="360">
        <v>111.22589864263766</v>
      </c>
      <c r="K58" s="471">
        <v>25.754570636990501</v>
      </c>
      <c r="M58" s="28">
        <f t="shared" si="25"/>
        <v>0</v>
      </c>
      <c r="O58" s="471">
        <v>0.95999999999999985</v>
      </c>
      <c r="Q58" s="471">
        <v>0</v>
      </c>
      <c r="S58" s="18">
        <f t="shared" si="21"/>
        <v>4211.61370142335</v>
      </c>
      <c r="U58" s="18">
        <f t="shared" si="22"/>
        <v>6042.2411115964123</v>
      </c>
      <c r="W58" s="18">
        <f t="shared" si="23"/>
        <v>-1830.6274101730623</v>
      </c>
      <c r="Y58" s="271">
        <f t="shared" si="24"/>
        <v>-23.940969061505552</v>
      </c>
      <c r="Z58" s="235"/>
      <c r="AB58" s="378">
        <f>+IF(AB57&gt;$I$13+$I$14,XX,AB57+1)</f>
        <v>2039</v>
      </c>
      <c r="AC58" s="117"/>
      <c r="AD58" s="151">
        <f t="shared" si="4"/>
        <v>76464.215189873416</v>
      </c>
      <c r="AF58" s="154">
        <f t="shared" si="26"/>
        <v>154.44608458340429</v>
      </c>
      <c r="AH58" s="154">
        <f t="shared" si="27"/>
        <v>30.936221748877095</v>
      </c>
      <c r="AJ58" s="154">
        <f t="shared" si="28"/>
        <v>3.1571038769673296</v>
      </c>
      <c r="AL58" s="153">
        <f t="shared" si="15"/>
        <v>3493.2370326814666</v>
      </c>
      <c r="AN58" s="154">
        <f>INDEX('(2.2)_Forward_Price_Curve'!$K:$K,MATCH($AB58,'(2.2)_Forward_Price_Curve'!$C:$C,0),1)</f>
        <v>6.7722499999999988</v>
      </c>
      <c r="AP58" s="154">
        <f t="shared" si="5"/>
        <v>49.207312956449051</v>
      </c>
      <c r="AR58" s="154">
        <f t="shared" si="29"/>
        <v>3.562622590289835</v>
      </c>
      <c r="AS58" s="154"/>
      <c r="AT58" s="153">
        <f t="shared" si="6"/>
        <v>2007.2294043948193</v>
      </c>
      <c r="AV58" s="153">
        <f t="shared" si="7"/>
        <v>4035.0117072015928</v>
      </c>
      <c r="AW58" s="273"/>
      <c r="AX58" s="155">
        <f t="shared" si="8"/>
        <v>6042.2411115964123</v>
      </c>
      <c r="AZ58" s="384">
        <f>+IF(AZ57&gt;$I$13+$I$14,XX,AZ57+1)</f>
        <v>2039</v>
      </c>
      <c r="BA58" s="117"/>
      <c r="BB58" s="154">
        <f t="shared" si="16"/>
        <v>73.5347320645145</v>
      </c>
      <c r="BD58" s="154">
        <f t="shared" si="17"/>
        <v>11.180455689878373</v>
      </c>
      <c r="BF58" s="153">
        <f t="shared" si="9"/>
        <v>1486.0076282866473</v>
      </c>
      <c r="BH58" s="157"/>
    </row>
    <row r="59" spans="2:60" ht="12">
      <c r="B59" s="2"/>
      <c r="C59" s="354">
        <f>+IF(C58&gt;$I$13+$I$14,XX,C58+1)</f>
        <v>2040</v>
      </c>
      <c r="E59" s="356">
        <f>'(2.2)_Forward_Price_Curve'!S53</f>
        <v>2.1999999999999999E-2</v>
      </c>
      <c r="G59" s="470">
        <v>76464.215189873416</v>
      </c>
      <c r="I59" s="360">
        <v>113.33919071684777</v>
      </c>
      <c r="K59" s="471">
        <v>26.419109119892354</v>
      </c>
      <c r="M59" s="28">
        <f t="shared" si="25"/>
        <v>0</v>
      </c>
      <c r="O59" s="471">
        <v>0.9800000000000002</v>
      </c>
      <c r="Q59" s="471">
        <v>0</v>
      </c>
      <c r="S59" s="18">
        <f t="shared" si="21"/>
        <v>4305.1655947328045</v>
      </c>
      <c r="U59" s="18">
        <f t="shared" si="22"/>
        <v>6261.0312050531857</v>
      </c>
      <c r="W59" s="18">
        <f t="shared" si="23"/>
        <v>-1955.8656103203812</v>
      </c>
      <c r="Y59" s="271">
        <f t="shared" si="24"/>
        <v>-25.578835870657144</v>
      </c>
      <c r="Z59" s="235"/>
      <c r="AB59" s="378">
        <f>+IF(AB58&gt;$I$13+$I$14,XX,AB58+1)</f>
        <v>2040</v>
      </c>
      <c r="AC59" s="117"/>
      <c r="AD59" s="151">
        <f t="shared" si="4"/>
        <v>76464.215189873416</v>
      </c>
      <c r="AF59" s="154">
        <f t="shared" si="26"/>
        <v>157.84389844423919</v>
      </c>
      <c r="AH59" s="154">
        <f t="shared" si="27"/>
        <v>31.616818627352391</v>
      </c>
      <c r="AJ59" s="154">
        <f t="shared" si="28"/>
        <v>3.2265601622606108</v>
      </c>
      <c r="AL59" s="153">
        <f t="shared" si="15"/>
        <v>3570.0882474004588</v>
      </c>
      <c r="AN59" s="154">
        <f>INDEX('(2.2)_Forward_Price_Curve'!$K:$K,MATCH($AB59,'(2.2)_Forward_Price_Curve'!$C:$C,0),1)</f>
        <v>7.075779166666667</v>
      </c>
      <c r="AP59" s="154">
        <f t="shared" si="5"/>
        <v>51.412762355921451</v>
      </c>
      <c r="AR59" s="154">
        <f t="shared" si="29"/>
        <v>3.6410002872762113</v>
      </c>
      <c r="AS59" s="154"/>
      <c r="AT59" s="153">
        <f t="shared" si="6"/>
        <v>2051.3884512915047</v>
      </c>
      <c r="AV59" s="153">
        <f t="shared" si="7"/>
        <v>4209.642753761681</v>
      </c>
      <c r="AW59" s="273"/>
      <c r="AX59" s="155">
        <f t="shared" si="8"/>
        <v>6261.0312050531857</v>
      </c>
      <c r="AZ59" s="384">
        <f>+IF(AZ58&gt;$I$13+$I$14,XX,AZ58+1)</f>
        <v>2040</v>
      </c>
      <c r="BA59" s="117"/>
      <c r="BB59" s="154">
        <f t="shared" si="16"/>
        <v>75.152496169933826</v>
      </c>
      <c r="BD59" s="154">
        <f t="shared" si="17"/>
        <v>11.426425715055698</v>
      </c>
      <c r="BF59" s="153">
        <f t="shared" si="9"/>
        <v>1518.6997961089539</v>
      </c>
      <c r="BH59" s="157"/>
    </row>
    <row r="60" spans="2:60" ht="12">
      <c r="B60" s="2"/>
      <c r="C60" s="354">
        <f>+IF(C59&gt;$I$13+$I$14,XX,C59+1)</f>
        <v>2041</v>
      </c>
      <c r="E60" s="356">
        <f>'(2.2)_Forward_Price_Curve'!S54</f>
        <v>2.1999999999999999E-2</v>
      </c>
      <c r="G60" s="470">
        <v>76464.215189873416</v>
      </c>
      <c r="I60" s="360">
        <v>115.49263534046788</v>
      </c>
      <c r="K60" s="471">
        <v>26.952905054159025</v>
      </c>
      <c r="M60" s="28">
        <f t="shared" si="25"/>
        <v>0</v>
      </c>
      <c r="O60" s="471">
        <v>1</v>
      </c>
      <c r="Q60" s="471">
        <v>0</v>
      </c>
      <c r="S60" s="18">
        <f t="shared" si="21"/>
        <v>4389.5033363824396</v>
      </c>
      <c r="U60" s="18">
        <f t="shared" si="22"/>
        <v>6402.7090612072325</v>
      </c>
      <c r="W60" s="18">
        <f t="shared" si="23"/>
        <v>-2013.2057248247929</v>
      </c>
      <c r="Y60" s="271">
        <f t="shared" si="24"/>
        <v>-26.328730633351391</v>
      </c>
      <c r="Z60" s="235"/>
      <c r="AB60" s="378">
        <f>+IF(AB59&gt;$I$13+$I$14,XX,AB59+1)</f>
        <v>2041</v>
      </c>
      <c r="AC60" s="117"/>
      <c r="AD60" s="151">
        <f t="shared" si="4"/>
        <v>76464.215189873416</v>
      </c>
      <c r="AF60" s="154">
        <f t="shared" si="26"/>
        <v>161.31646421001244</v>
      </c>
      <c r="AH60" s="154">
        <f t="shared" si="27"/>
        <v>32.312388637154143</v>
      </c>
      <c r="AJ60" s="154">
        <f t="shared" si="28"/>
        <v>3.2975444858303442</v>
      </c>
      <c r="AL60" s="153">
        <f t="shared" si="15"/>
        <v>3648.6301888432686</v>
      </c>
      <c r="AN60" s="154">
        <f>INDEX('(2.2)_Forward_Price_Curve'!$K:$K,MATCH($AB60,'(2.2)_Forward_Price_Curve'!$C:$C,0),1)</f>
        <v>7.2385291666666687</v>
      </c>
      <c r="AP60" s="154">
        <f t="shared" si="5"/>
        <v>52.59530732748366</v>
      </c>
      <c r="AR60" s="154">
        <f t="shared" si="29"/>
        <v>3.7211022935962879</v>
      </c>
      <c r="AS60" s="154"/>
      <c r="AT60" s="153">
        <f t="shared" si="6"/>
        <v>2096.5189972199178</v>
      </c>
      <c r="AV60" s="153">
        <f t="shared" si="7"/>
        <v>4306.1900639873147</v>
      </c>
      <c r="AW60" s="273"/>
      <c r="AX60" s="155">
        <f t="shared" si="8"/>
        <v>6402.7090612072325</v>
      </c>
      <c r="AZ60" s="384">
        <f>+IF(AZ59&gt;$I$13+$I$14,XX,AZ59+1)</f>
        <v>2041</v>
      </c>
      <c r="BA60" s="117"/>
      <c r="BB60" s="154">
        <f t="shared" si="16"/>
        <v>76.805851085672373</v>
      </c>
      <c r="BD60" s="154">
        <f t="shared" si="17"/>
        <v>11.677807080786923</v>
      </c>
      <c r="BF60" s="153">
        <f t="shared" si="9"/>
        <v>1552.1111916233508</v>
      </c>
      <c r="BH60" s="157"/>
    </row>
    <row r="61" spans="2:60" ht="12">
      <c r="B61" s="2"/>
      <c r="C61" s="354">
        <f>+IF(C60&gt;$I$13+$I$14,XX,C60+1)</f>
        <v>2042</v>
      </c>
      <c r="E61" s="356">
        <f>'(2.2)_Forward_Price_Curve'!S55</f>
        <v>2.1999999999999999E-2</v>
      </c>
      <c r="G61" s="470">
        <v>76464.215189873416</v>
      </c>
      <c r="I61" s="360">
        <v>117.68699541193676</v>
      </c>
      <c r="K61" s="471">
        <v>27.572821870404685</v>
      </c>
      <c r="M61" s="28">
        <f t="shared" si="25"/>
        <v>0</v>
      </c>
      <c r="O61" s="471">
        <v>1.0199999999999998</v>
      </c>
      <c r="Q61" s="471">
        <v>0</v>
      </c>
      <c r="S61" s="18">
        <f t="shared" si="21"/>
        <v>4481.2240949171091</v>
      </c>
      <c r="U61" s="18">
        <f t="shared" si="22"/>
        <v>6547.5817980801439</v>
      </c>
      <c r="W61" s="18">
        <f t="shared" si="23"/>
        <v>-2066.3577031630348</v>
      </c>
      <c r="Y61" s="271">
        <f t="shared" si="24"/>
        <v>-27.023852896834466</v>
      </c>
      <c r="Z61" s="235"/>
      <c r="AB61" s="378">
        <f>+IF(AB60&gt;$I$13+$I$14,XX,AB60+1)</f>
        <v>2042</v>
      </c>
      <c r="AC61" s="117"/>
      <c r="AD61" s="151">
        <f t="shared" si="4"/>
        <v>76464.215189873416</v>
      </c>
      <c r="AF61" s="154">
        <f t="shared" si="26"/>
        <v>164.86542642263271</v>
      </c>
      <c r="AH61" s="154">
        <f t="shared" si="27"/>
        <v>33.023261187171535</v>
      </c>
      <c r="AJ61" s="154">
        <f t="shared" si="28"/>
        <v>3.3700904645186118</v>
      </c>
      <c r="AL61" s="153">
        <f t="shared" si="15"/>
        <v>3728.9000529978207</v>
      </c>
      <c r="AN61" s="154">
        <f>INDEX('(2.2)_Forward_Price_Curve'!$K:$K,MATCH($AB61,'(2.2)_Forward_Price_Curve'!$C:$C,0),1)</f>
        <v>7.4050000000000002</v>
      </c>
      <c r="AP61" s="154">
        <f t="shared" si="5"/>
        <v>53.804887953413605</v>
      </c>
      <c r="AR61" s="154">
        <f t="shared" si="29"/>
        <v>3.8029665440554061</v>
      </c>
      <c r="AS61" s="154"/>
      <c r="AT61" s="153">
        <f t="shared" si="6"/>
        <v>2142.6424151587562</v>
      </c>
      <c r="AV61" s="153">
        <f t="shared" si="7"/>
        <v>4404.9393829213877</v>
      </c>
      <c r="AW61" s="273"/>
      <c r="AX61" s="155">
        <f t="shared" si="8"/>
        <v>6547.5817980801439</v>
      </c>
      <c r="AZ61" s="384">
        <f>+IF(AZ60&gt;$I$13+$I$14,XX,AZ60+1)</f>
        <v>2042</v>
      </c>
      <c r="BA61" s="117"/>
      <c r="BB61" s="154">
        <f t="shared" si="16"/>
        <v>78.495579809557171</v>
      </c>
      <c r="BD61" s="154">
        <f t="shared" si="17"/>
        <v>11.934718836564237</v>
      </c>
      <c r="BF61" s="153">
        <f t="shared" si="9"/>
        <v>1586.2576378390645</v>
      </c>
      <c r="BH61" s="157"/>
    </row>
    <row r="62" spans="2:60" ht="12">
      <c r="B62" s="2"/>
      <c r="C62" s="354">
        <f>+IF(C61&gt;$I$13+$I$14,XX,C61+1)</f>
        <v>2043</v>
      </c>
      <c r="E62" s="356">
        <f>'(2.2)_Forward_Price_Curve'!S56</f>
        <v>2.1999999999999999E-2</v>
      </c>
      <c r="G62" s="470">
        <v>76464.215189873416</v>
      </c>
      <c r="I62" s="360">
        <v>119.92304832476354</v>
      </c>
      <c r="K62" s="471">
        <v>28.206996773423988</v>
      </c>
      <c r="M62" s="28">
        <f t="shared" si="25"/>
        <v>0</v>
      </c>
      <c r="O62" s="471">
        <v>1.05</v>
      </c>
      <c r="Q62" s="471">
        <v>0</v>
      </c>
      <c r="S62" s="18">
        <f t="shared" si="21"/>
        <v>4575.6127394254136</v>
      </c>
      <c r="U62" s="18">
        <f t="shared" si="22"/>
        <v>6691.6285976379068</v>
      </c>
      <c r="W62" s="18">
        <f t="shared" si="23"/>
        <v>-2116.0158582124932</v>
      </c>
      <c r="Y62" s="271">
        <f t="shared" si="24"/>
        <v>-27.673282893940293</v>
      </c>
      <c r="Z62" s="235"/>
      <c r="AB62" s="378">
        <f>+IF(AB61&gt;$I$13+$I$14,XX,AB61+1)</f>
        <v>2043</v>
      </c>
      <c r="AC62" s="117"/>
      <c r="AD62" s="151">
        <f t="shared" si="4"/>
        <v>76464.215189873416</v>
      </c>
      <c r="AF62" s="154">
        <f t="shared" si="26"/>
        <v>168.49246580393063</v>
      </c>
      <c r="AH62" s="154">
        <f t="shared" si="27"/>
        <v>33.749772933289307</v>
      </c>
      <c r="AJ62" s="154">
        <f t="shared" si="28"/>
        <v>3.4442324547380214</v>
      </c>
      <c r="AL62" s="153">
        <f t="shared" si="15"/>
        <v>3810.9358541637725</v>
      </c>
      <c r="AN62" s="154">
        <f>INDEX('(2.2)_Forward_Price_Curve'!$K:$K,MATCH($AB62,'(2.2)_Forward_Price_Curve'!$C:$C,0),1)</f>
        <v>7.5679100000000004</v>
      </c>
      <c r="AP62" s="154">
        <f t="shared" si="5"/>
        <v>54.988595488388711</v>
      </c>
      <c r="AR62" s="154">
        <f t="shared" si="29"/>
        <v>3.8866318080246249</v>
      </c>
      <c r="AS62" s="154"/>
      <c r="AT62" s="153">
        <f t="shared" si="6"/>
        <v>2189.7805482922486</v>
      </c>
      <c r="AV62" s="153">
        <f t="shared" si="7"/>
        <v>4501.8480493456582</v>
      </c>
      <c r="AW62" s="273"/>
      <c r="AX62" s="155">
        <f t="shared" si="8"/>
        <v>6691.6285976379068</v>
      </c>
      <c r="AZ62" s="384">
        <f>+IF(AZ61&gt;$I$13+$I$14,XX,AZ61+1)</f>
        <v>2043</v>
      </c>
      <c r="BA62" s="117"/>
      <c r="BB62" s="154">
        <f t="shared" si="16"/>
        <v>80.222482565367429</v>
      </c>
      <c r="BD62" s="154">
        <f t="shared" si="17"/>
        <v>12.197282650968651</v>
      </c>
      <c r="BF62" s="153">
        <f t="shared" si="9"/>
        <v>1621.155305871524</v>
      </c>
      <c r="BH62" s="157"/>
    </row>
    <row r="63" spans="2:60" ht="12">
      <c r="B63" s="2"/>
      <c r="C63" s="354">
        <f>+IF(C62&gt;$I$13+$I$14,XX,C62+1)</f>
        <v>2044</v>
      </c>
      <c r="E63" s="356">
        <f>'(2.2)_Forward_Price_Curve'!S57</f>
        <v>2.3E-2</v>
      </c>
      <c r="G63" s="470">
        <v>76464.215189873416</v>
      </c>
      <c r="I63" s="360">
        <v>122.20158624293406</v>
      </c>
      <c r="K63" s="471">
        <v>28.934814569621544</v>
      </c>
      <c r="M63" s="28">
        <f t="shared" si="25"/>
        <v>0</v>
      </c>
      <c r="O63" s="471">
        <v>1.0700000000000003</v>
      </c>
      <c r="Q63" s="471">
        <v>0</v>
      </c>
      <c r="S63" s="18">
        <f t="shared" si="21"/>
        <v>4677.2255297210049</v>
      </c>
      <c r="U63" s="18">
        <f t="shared" si="22"/>
        <v>6841.3313955851645</v>
      </c>
      <c r="W63" s="18">
        <f t="shared" si="23"/>
        <v>-2164.1058658641596</v>
      </c>
      <c r="Y63" s="271">
        <f t="shared" si="24"/>
        <v>-28.302204638997775</v>
      </c>
      <c r="Z63" s="235"/>
      <c r="AB63" s="378">
        <f>+IF(AB62&gt;$I$13+$I$14,XX,AB62+1)</f>
        <v>2044</v>
      </c>
      <c r="AC63" s="117"/>
      <c r="AD63" s="151">
        <f t="shared" si="4"/>
        <v>76464.215189873416</v>
      </c>
      <c r="AF63" s="154">
        <f t="shared" si="26"/>
        <v>172.36779251742101</v>
      </c>
      <c r="AH63" s="154">
        <f t="shared" si="27"/>
        <v>34.526017710754957</v>
      </c>
      <c r="AJ63" s="154">
        <f t="shared" si="28"/>
        <v>3.5234498011969957</v>
      </c>
      <c r="AL63" s="153">
        <f t="shared" si="15"/>
        <v>3898.5873788095391</v>
      </c>
      <c r="AN63" s="154">
        <f>INDEX('(2.2)_Forward_Price_Curve'!$K:$K,MATCH($AB63,'(2.2)_Forward_Price_Curve'!$C:$C,0),1)</f>
        <v>7.7344040200000004</v>
      </c>
      <c r="AP63" s="154">
        <f t="shared" si="5"/>
        <v>56.198344589133256</v>
      </c>
      <c r="AR63" s="154">
        <f t="shared" si="29"/>
        <v>3.9760243396091908</v>
      </c>
      <c r="AS63" s="154"/>
      <c r="AT63" s="153">
        <f t="shared" si="6"/>
        <v>2240.1455009029701</v>
      </c>
      <c r="AV63" s="153">
        <f t="shared" si="7"/>
        <v>4601.1858946821949</v>
      </c>
      <c r="AW63" s="273"/>
      <c r="AX63" s="155">
        <f t="shared" si="8"/>
        <v>6841.3313955851645</v>
      </c>
      <c r="AZ63" s="384">
        <f>+IF(AZ62&gt;$I$13+$I$14,XX,AZ62+1)</f>
        <v>2044</v>
      </c>
      <c r="BA63" s="117"/>
      <c r="BB63" s="154">
        <f t="shared" si="16"/>
        <v>82.067599664370874</v>
      </c>
      <c r="BD63" s="154">
        <f t="shared" si="17"/>
        <v>12.477820151940929</v>
      </c>
      <c r="BF63" s="153">
        <f t="shared" si="9"/>
        <v>1658.4418779065691</v>
      </c>
      <c r="BH63" s="157"/>
    </row>
    <row r="64" spans="2:60" ht="12">
      <c r="B64" s="2"/>
      <c r="C64" s="354">
        <f>+IF(C63&gt;$I$13+$I$14,XX,C63+1)</f>
        <v>2045</v>
      </c>
      <c r="E64" s="356">
        <f>'(2.2)_Forward_Price_Curve'!S58</f>
        <v>2.3E-2</v>
      </c>
      <c r="G64" s="470">
        <v>76464.215189873416</v>
      </c>
      <c r="I64" s="360">
        <v>124.52341638154979</v>
      </c>
      <c r="K64" s="471">
        <v>29.519440126294629</v>
      </c>
      <c r="M64" s="28">
        <f t="shared" si="25"/>
        <v>0</v>
      </c>
      <c r="O64" s="471">
        <v>1.1000000000000001</v>
      </c>
      <c r="Q64" s="471">
        <v>0</v>
      </c>
      <c r="S64" s="18">
        <f t="shared" si="21"/>
        <v>4769.4980782506582</v>
      </c>
      <c r="U64" s="18">
        <f t="shared" si="22"/>
        <v>6994.3848553696453</v>
      </c>
      <c r="W64" s="18">
        <f t="shared" si="23"/>
        <v>-2224.8867771189871</v>
      </c>
      <c r="Y64" s="271">
        <f t="shared" si="24"/>
        <v>-29.097098186311356</v>
      </c>
      <c r="Z64" s="235"/>
      <c r="AB64" s="378">
        <f>+IF(AB63&gt;$I$13+$I$14,XX,AB63+1)</f>
        <v>2045</v>
      </c>
      <c r="AC64" s="117"/>
      <c r="AD64" s="151">
        <f t="shared" si="4"/>
        <v>76464.215189873416</v>
      </c>
      <c r="AF64" s="154">
        <f t="shared" si="26"/>
        <v>176.33225174532168</v>
      </c>
      <c r="AH64" s="154">
        <f t="shared" si="27"/>
        <v>35.32011611810232</v>
      </c>
      <c r="AJ64" s="154">
        <f t="shared" si="28"/>
        <v>3.6044891466245264</v>
      </c>
      <c r="AL64" s="153">
        <f t="shared" si="15"/>
        <v>3988.2548885221581</v>
      </c>
      <c r="AN64" s="154">
        <f>INDEX('(2.2)_Forward_Price_Curve'!$K:$K,MATCH($AB64,'(2.2)_Forward_Price_Curve'!$C:$C,0),1)</f>
        <v>7.9045609084400006</v>
      </c>
      <c r="AP64" s="154">
        <f t="shared" si="5"/>
        <v>57.43470817009419</v>
      </c>
      <c r="AR64" s="154">
        <f t="shared" si="29"/>
        <v>4.0674728994202018</v>
      </c>
      <c r="AS64" s="154"/>
      <c r="AT64" s="153">
        <f t="shared" si="6"/>
        <v>2291.668847423738</v>
      </c>
      <c r="AV64" s="153">
        <f t="shared" si="7"/>
        <v>4702.7160079459072</v>
      </c>
      <c r="AW64" s="273"/>
      <c r="AX64" s="155">
        <f t="shared" si="8"/>
        <v>6994.3848553696453</v>
      </c>
      <c r="AZ64" s="384">
        <f>+IF(AZ63&gt;$I$13+$I$14,XX,AZ63+1)</f>
        <v>2045</v>
      </c>
      <c r="BA64" s="117"/>
      <c r="BB64" s="154">
        <f t="shared" si="16"/>
        <v>83.9551544566514</v>
      </c>
      <c r="BD64" s="154">
        <f t="shared" si="17"/>
        <v>12.764810015435568</v>
      </c>
      <c r="BF64" s="153">
        <f t="shared" si="9"/>
        <v>1696.5860410984201</v>
      </c>
      <c r="BH64" s="157"/>
    </row>
    <row r="65" spans="2:60" ht="12">
      <c r="B65" s="2"/>
      <c r="C65" s="354">
        <f>+IF(C64&gt;$I$13+$I$14,XX,C64+1)</f>
        <v>2046</v>
      </c>
      <c r="E65" s="356">
        <f>'(2.2)_Forward_Price_Curve'!S59</f>
        <v>2.3E-2</v>
      </c>
      <c r="G65" s="470">
        <v>76464.215189873416</v>
      </c>
      <c r="I65" s="360">
        <v>126.88936129279922</v>
      </c>
      <c r="K65" s="471">
        <v>30.198387249199403</v>
      </c>
      <c r="M65" s="28">
        <f t="shared" si="25"/>
        <v>0</v>
      </c>
      <c r="O65" s="471">
        <v>1.1200000000000001</v>
      </c>
      <c r="Q65" s="471">
        <v>0</v>
      </c>
      <c r="S65" s="18">
        <f t="shared" si="21"/>
        <v>4869.0784472321548</v>
      </c>
      <c r="U65" s="18">
        <f t="shared" si="22"/>
        <v>7150.8640071582613</v>
      </c>
      <c r="W65" s="18">
        <f t="shared" si="23"/>
        <v>-2281.7855599261065</v>
      </c>
      <c r="Y65" s="271">
        <f t="shared" si="24"/>
        <v>-29.841221207332765</v>
      </c>
      <c r="Z65" s="235"/>
      <c r="AB65" s="378">
        <f>+IF(AB64&gt;$I$13+$I$14,XX,AB64+1)</f>
        <v>2046</v>
      </c>
      <c r="AC65" s="117"/>
      <c r="AD65" s="151">
        <f t="shared" si="4"/>
        <v>76464.215189873416</v>
      </c>
      <c r="AF65" s="154">
        <f t="shared" si="26"/>
        <v>180.38789353546406</v>
      </c>
      <c r="AH65" s="154">
        <f t="shared" si="27"/>
        <v>36.132478788818666</v>
      </c>
      <c r="AJ65" s="154">
        <f t="shared" si="28"/>
        <v>3.68739239699689</v>
      </c>
      <c r="AL65" s="153">
        <f t="shared" si="15"/>
        <v>4079.9847509581673</v>
      </c>
      <c r="AN65" s="154">
        <f>INDEX('(2.2)_Forward_Price_Curve'!$K:$K,MATCH($AB65,'(2.2)_Forward_Price_Curve'!$C:$C,0),1)</f>
        <v>8.0784612484256808</v>
      </c>
      <c r="AP65" s="154">
        <f t="shared" si="5"/>
        <v>58.698271749836266</v>
      </c>
      <c r="AR65" s="154">
        <f t="shared" si="29"/>
        <v>4.1610247761068662</v>
      </c>
      <c r="AS65" s="154"/>
      <c r="AT65" s="153">
        <f t="shared" si="6"/>
        <v>2344.3772309144838</v>
      </c>
      <c r="AV65" s="153">
        <f t="shared" si="7"/>
        <v>4806.486776243778</v>
      </c>
      <c r="AW65" s="273"/>
      <c r="AX65" s="155">
        <f t="shared" si="8"/>
        <v>7150.8640071582613</v>
      </c>
      <c r="AZ65" s="384">
        <f>+IF(AZ64&gt;$I$13+$I$14,XX,AZ64+1)</f>
        <v>2046</v>
      </c>
      <c r="BA65" s="117"/>
      <c r="BB65" s="154">
        <f t="shared" si="16"/>
        <v>85.886123009154375</v>
      </c>
      <c r="BD65" s="154">
        <f t="shared" si="17"/>
        <v>13.058400645790584</v>
      </c>
      <c r="BF65" s="153">
        <f t="shared" si="9"/>
        <v>1735.6075200436835</v>
      </c>
      <c r="BH65" s="157"/>
    </row>
    <row r="66" spans="2:60" ht="12">
      <c r="B66" s="2"/>
      <c r="C66" s="354">
        <f>+IF(C65&gt;$I$13+$I$14,XX,C65+1)</f>
        <v>2047</v>
      </c>
      <c r="E66" s="356">
        <f>'(2.2)_Forward_Price_Curve'!S60</f>
        <v>2.3E-2</v>
      </c>
      <c r="G66" s="470">
        <v>76464.215189873416</v>
      </c>
      <c r="I66" s="360">
        <v>129.3002591573624</v>
      </c>
      <c r="K66" s="471">
        <v>30.892950155930983</v>
      </c>
      <c r="M66" s="28">
        <f t="shared" si="25"/>
        <v>0</v>
      </c>
      <c r="O66" s="471">
        <v>1.1499999999999997</v>
      </c>
      <c r="Q66" s="471">
        <v>0</v>
      </c>
      <c r="S66" s="18">
        <f t="shared" si="21"/>
        <v>4971.4940896100607</v>
      </c>
      <c r="U66" s="18">
        <f t="shared" si="22"/>
        <v>7310.8455620405484</v>
      </c>
      <c r="W66" s="18">
        <f t="shared" si="23"/>
        <v>-2339.3514724304878</v>
      </c>
      <c r="Y66" s="271">
        <f t="shared" si="24"/>
        <v>-30.594068959205131</v>
      </c>
      <c r="Z66" s="235"/>
      <c r="AB66" s="378">
        <f>+IF(AB65&gt;$I$13+$I$14,XX,AB65+1)</f>
        <v>2047</v>
      </c>
      <c r="AC66" s="117"/>
      <c r="AD66" s="151">
        <f t="shared" si="4"/>
        <v>76464.215189873416</v>
      </c>
      <c r="AF66" s="154">
        <f t="shared" si="26"/>
        <v>184.53681508677971</v>
      </c>
      <c r="AH66" s="154">
        <f t="shared" si="27"/>
        <v>36.963525800961492</v>
      </c>
      <c r="AJ66" s="154">
        <f t="shared" si="28"/>
        <v>3.7722024221278181</v>
      </c>
      <c r="AL66" s="153">
        <f t="shared" si="15"/>
        <v>4173.8244002302044</v>
      </c>
      <c r="AN66" s="154">
        <f>INDEX('(2.2)_Forward_Price_Curve'!$K:$K,MATCH($AB66,'(2.2)_Forward_Price_Curve'!$C:$C,0),1)</f>
        <v>8.2561873958910468</v>
      </c>
      <c r="AP66" s="154">
        <f t="shared" si="5"/>
        <v>59.98963372833267</v>
      </c>
      <c r="AR66" s="154">
        <f t="shared" si="29"/>
        <v>4.256728345957324</v>
      </c>
      <c r="AS66" s="154"/>
      <c r="AT66" s="153">
        <f t="shared" si="6"/>
        <v>2398.2979072255166</v>
      </c>
      <c r="AV66" s="153">
        <f t="shared" si="7"/>
        <v>4912.5476548150318</v>
      </c>
      <c r="AW66" s="273"/>
      <c r="AX66" s="155">
        <f t="shared" si="8"/>
        <v>7310.8455620405484</v>
      </c>
      <c r="AZ66" s="384">
        <f>+IF(AZ65&gt;$I$13+$I$14,XX,AZ65+1)</f>
        <v>2047</v>
      </c>
      <c r="BA66" s="117"/>
      <c r="BB66" s="154">
        <f t="shared" si="16"/>
        <v>87.861503838364911</v>
      </c>
      <c r="BD66" s="154">
        <f t="shared" si="17"/>
        <v>13.358743860643767</v>
      </c>
      <c r="BF66" s="153">
        <f t="shared" si="9"/>
        <v>1775.5264930046881</v>
      </c>
      <c r="BH66" s="157"/>
    </row>
    <row r="67" spans="2:60" ht="12">
      <c r="B67" s="2"/>
      <c r="C67" s="354">
        <f>+IF(C66&gt;$I$13+$I$14,XX,C66+1)</f>
        <v>2048</v>
      </c>
      <c r="E67" s="356">
        <f>'(2.2)_Forward_Price_Curve'!S61</f>
        <v>2.1999999999999999E-2</v>
      </c>
      <c r="G67" s="470">
        <v>76464.215189873416</v>
      </c>
      <c r="I67" s="360">
        <v>131.75696408135232</v>
      </c>
      <c r="K67" s="471">
        <v>31.690072908173615</v>
      </c>
      <c r="M67" s="28">
        <f t="shared" si="25"/>
        <v>0</v>
      </c>
      <c r="O67" s="471">
        <v>1.17</v>
      </c>
      <c r="Q67" s="471">
        <v>0</v>
      </c>
      <c r="S67" s="18">
        <f t="shared" si="21"/>
        <v>5081.8804855918879</v>
      </c>
      <c r="U67" s="18">
        <f t="shared" si="22"/>
        <v>7471.6841644054421</v>
      </c>
      <c r="W67" s="18">
        <f t="shared" si="23"/>
        <v>-2389.8036788135541</v>
      </c>
      <c r="Y67" s="271">
        <f t="shared" si="24"/>
        <v>-31.253883569971556</v>
      </c>
      <c r="Z67" s="235"/>
      <c r="AB67" s="378">
        <f>+IF(AB66&gt;$I$13+$I$14,XX,AB66+1)</f>
        <v>2048</v>
      </c>
      <c r="AC67" s="117"/>
      <c r="AD67" s="151">
        <f t="shared" si="4"/>
        <v>76464.215189873416</v>
      </c>
      <c r="AF67" s="154">
        <f t="shared" si="26"/>
        <v>188.59662501868885</v>
      </c>
      <c r="AH67" s="154">
        <f t="shared" si="27"/>
        <v>37.776723368582644</v>
      </c>
      <c r="AJ67" s="154">
        <f t="shared" si="28"/>
        <v>3.85519087541463</v>
      </c>
      <c r="AL67" s="153">
        <f>((AF67+AH67)*$AF$11*1000+AJ67*AD67)/1000</f>
        <v>4265.6485370352693</v>
      </c>
      <c r="AN67" s="154">
        <f>INDEX('(2.2)_Forward_Price_Curve'!$K:$K,MATCH($AB67,'(2.2)_Forward_Price_Curve'!$C:$C,0),1)</f>
        <v>8.4378235186006503</v>
      </c>
      <c r="AP67" s="154">
        <f t="shared" si="5"/>
        <v>61.309405670356</v>
      </c>
      <c r="AR67" s="154">
        <f t="shared" si="29"/>
        <v>4.3503763695683855</v>
      </c>
      <c r="AS67" s="154"/>
      <c r="AT67" s="153">
        <f t="shared" si="6"/>
        <v>2451.0604611844783</v>
      </c>
      <c r="AV67" s="153">
        <f t="shared" si="7"/>
        <v>5020.6237032209638</v>
      </c>
      <c r="AW67" s="273"/>
      <c r="AX67" s="155">
        <f t="shared" si="8"/>
        <v>7471.6841644054421</v>
      </c>
      <c r="AZ67" s="384">
        <f>+IF(AZ66&gt;$I$13+$I$14,XX,AZ66+1)</f>
        <v>2048</v>
      </c>
      <c r="BA67" s="117"/>
      <c r="BB67" s="154">
        <f t="shared" si="16"/>
        <v>89.794456922808934</v>
      </c>
      <c r="BD67" s="154">
        <f t="shared" si="17"/>
        <v>13.652636225577929</v>
      </c>
      <c r="BF67" s="153">
        <f t="shared" si="9"/>
        <v>1814.5880758507913</v>
      </c>
      <c r="BH67" s="157"/>
    </row>
    <row r="68" spans="2:60" ht="12">
      <c r="B68" s="2"/>
      <c r="C68" s="354">
        <f>+IF(C67&gt;$I$13+$I$14,XX,C67+1)</f>
        <v>2049</v>
      </c>
      <c r="E68" s="356">
        <f>'(2.2)_Forward_Price_Curve'!S62</f>
        <v>2.1999999999999999E-2</v>
      </c>
      <c r="G68" s="470">
        <v>31773.040237140016</v>
      </c>
      <c r="I68" s="360">
        <v>67.13017319944899</v>
      </c>
      <c r="K68" s="471">
        <v>13.470986764056793</v>
      </c>
      <c r="M68" s="28">
        <f t="shared" si="25"/>
        <v>0</v>
      </c>
      <c r="O68" s="471">
        <v>1.2000000000000002</v>
      </c>
      <c r="Q68" s="471">
        <v>0</v>
      </c>
      <c r="S68" s="18">
        <f t="shared" si="21"/>
        <v>1775.1802301621806</v>
      </c>
      <c r="U68" s="18">
        <f t="shared" si="22"/>
        <v>3156.3911078930259</v>
      </c>
      <c r="W68" s="18">
        <f t="shared" si="23"/>
        <v>-1381.2108777308454</v>
      </c>
      <c r="Y68" s="271">
        <f t="shared" si="24"/>
        <v>-43.471158800734656</v>
      </c>
      <c r="Z68" s="235"/>
      <c r="AB68" s="378">
        <f>+IF(AB67&gt;$I$13+$I$14,XX,AB67+1)</f>
        <v>2049</v>
      </c>
      <c r="AC68" s="117"/>
      <c r="AD68" s="151">
        <f t="shared" si="4"/>
        <v>31773.040237140016</v>
      </c>
      <c r="AF68" s="154">
        <f t="shared" si="26"/>
        <v>192.7457507691</v>
      </c>
      <c r="AH68" s="154">
        <f t="shared" si="27"/>
        <v>38.607811282691465</v>
      </c>
      <c r="AJ68" s="154">
        <f t="shared" si="28"/>
        <v>3.9400050746737518</v>
      </c>
      <c r="AL68" s="153">
        <f>((AF68+AH68)*$AR$11*1000+AJ68*AD68)/1000</f>
        <v>2878.7925849684129</v>
      </c>
      <c r="AN68" s="154">
        <f>INDEX('(2.2)_Forward_Price_Curve'!$K:$K,MATCH($AB68,'(2.2)_Forward_Price_Curve'!$C:$C,0),1)</f>
        <v>8.6234556360098651</v>
      </c>
      <c r="AP68" s="154">
        <f t="shared" si="5"/>
        <v>62.658212595103834</v>
      </c>
      <c r="AR68" s="154">
        <f t="shared" si="29"/>
        <v>4.4460846496988902</v>
      </c>
      <c r="AS68" s="154"/>
      <c r="AT68" s="153">
        <f t="shared" si="6"/>
        <v>1024.2835714489047</v>
      </c>
      <c r="AV68" s="153">
        <f t="shared" si="7"/>
        <v>2132.1075364441213</v>
      </c>
      <c r="AW68" s="273"/>
      <c r="AX68" s="155">
        <f t="shared" si="8"/>
        <v>3156.3911078930259</v>
      </c>
      <c r="AZ68" s="384">
        <f>+IF(AZ67&gt;$I$13+$I$14,XX,AZ67+1)</f>
        <v>2049</v>
      </c>
      <c r="BA68" s="117"/>
      <c r="BB68" s="154">
        <f t="shared" si="16"/>
        <v>91.769934975110729</v>
      </c>
      <c r="BD68" s="154">
        <f t="shared" si="17"/>
        <v>13.952994222540644</v>
      </c>
      <c r="BF68" s="153">
        <f t="shared" si="9"/>
        <v>1854.5090135195082</v>
      </c>
      <c r="BH68" s="157"/>
    </row>
    <row r="69" spans="2:60">
      <c r="B69" s="2"/>
      <c r="E69" s="169"/>
      <c r="G69" s="267"/>
      <c r="H69" s="267"/>
      <c r="I69" s="267"/>
      <c r="K69" s="267"/>
      <c r="M69" s="267"/>
      <c r="O69" s="267"/>
      <c r="Q69" s="267"/>
      <c r="S69" s="267"/>
      <c r="U69" s="267"/>
      <c r="W69" s="267"/>
      <c r="Y69" s="267"/>
      <c r="Z69" s="235"/>
      <c r="AB69" s="2"/>
      <c r="AF69" s="274"/>
      <c r="AH69" s="274"/>
      <c r="AJ69" s="274"/>
      <c r="AL69" s="273"/>
      <c r="AN69" s="274"/>
      <c r="AP69" s="274"/>
      <c r="AR69" s="274"/>
      <c r="AS69" s="274"/>
      <c r="AT69" s="274"/>
      <c r="AV69" s="273"/>
      <c r="AW69" s="273"/>
      <c r="AX69" s="275"/>
      <c r="AZ69" s="2"/>
      <c r="BB69" s="274"/>
      <c r="BF69" s="273"/>
      <c r="BH69" s="235"/>
    </row>
    <row r="70" spans="2:60" ht="12">
      <c r="B70" s="2"/>
      <c r="C70" s="4" t="s">
        <v>342</v>
      </c>
      <c r="E70" s="169"/>
      <c r="G70" s="466">
        <f>+-PMT($I$18,41,NPV($I$18,G28:G68))</f>
        <v>73352.062022725251</v>
      </c>
      <c r="I70" s="466">
        <f>+-PMT($I$18,41,NPV($I$18,I28:I68))</f>
        <v>222.43530524558415</v>
      </c>
      <c r="J70" s="28"/>
      <c r="K70" s="466">
        <f>+-PMT($I$18,41,NPV($I$18,K28:K68))</f>
        <v>11.758027941395373</v>
      </c>
      <c r="M70" s="28">
        <f>+-PMT($G$18,$G$14,NPV($G$18,M28:M51))</f>
        <v>0</v>
      </c>
      <c r="O70" s="466">
        <f>+-PMT($I$18,41,NPV($I$18,O28:O68))</f>
        <v>3.1925145834315911</v>
      </c>
      <c r="Q70" s="466">
        <f>+-PMT($I$18,41,NPV($I$18,Q28:Q68))</f>
        <v>-28.157798181959532</v>
      </c>
      <c r="S70" s="466">
        <f>+-PMT($I$18,41,NPV($I$18,S28:S68))</f>
        <v>3400.0133622822136</v>
      </c>
      <c r="U70" s="466">
        <f>+-PMT($I$18,41,NPV($I$18,U28:U68))</f>
        <v>4666.1877005497518</v>
      </c>
      <c r="W70" s="285">
        <f>+-PMT($I$18,41,NPV($I$18,W28:W68))</f>
        <v>-1266.1743382675368</v>
      </c>
      <c r="Y70" s="466">
        <f>+-PMT($I$18,41,NPV($I$18,Y28:Y68))</f>
        <v>-18.131904427486738</v>
      </c>
      <c r="Z70" s="235"/>
      <c r="AB70" s="2"/>
      <c r="AD70" s="466">
        <f>+-PMT($I$18,41,NPV($I$18,AD28:AD68))</f>
        <v>73352.062022725251</v>
      </c>
      <c r="AF70" s="466">
        <f>+-PMT($I$18,41,NPV($I$18,AF28:AF68))</f>
        <v>94.182078616446063</v>
      </c>
      <c r="AH70" s="466">
        <f>+-PMT($I$18,41,NPV($I$18,AH28:AH68))</f>
        <v>16.973878524490814</v>
      </c>
      <c r="AJ70" s="466">
        <f>+-PMT($I$18,41,NPV($I$18,AJ28:AJ68))</f>
        <v>2.5370140171159856</v>
      </c>
      <c r="AL70" s="467">
        <f>+-PMT($I$18,41,NPV($I$18,AL28:AL68))</f>
        <v>2128.9932086348513</v>
      </c>
      <c r="AN70" s="466">
        <f>+-PMT($I$18,41,NPV($I$18,AN28:AN68))</f>
        <v>6.3870502564255052</v>
      </c>
      <c r="AP70" s="466">
        <f>+-PMT($I$18,41,NPV($I$18,AP28:AP68))</f>
        <v>46.408443403078429</v>
      </c>
      <c r="AR70" s="466">
        <f>+-PMT($I$18,41,NPV($I$18,AR28:AR68))</f>
        <v>2.7449700625634819</v>
      </c>
      <c r="AS70" s="154"/>
      <c r="AT70" s="467">
        <f>+-PMT($I$18,41,NPV($I$18,AT28:AT68))</f>
        <v>1095.4443713473879</v>
      </c>
      <c r="AV70" s="467">
        <f>+-PMT($I$18,41,NPV($I$18,AV28:AV68))</f>
        <v>3570.7433292023643</v>
      </c>
      <c r="AW70" s="273"/>
      <c r="AX70" s="467">
        <f>+-PMT($I$18,41,NPV($I$18,AX28:AX68))</f>
        <v>4666.1877005497518</v>
      </c>
      <c r="AY70" s="311"/>
      <c r="AZ70" s="2"/>
      <c r="BB70" s="466">
        <f>+-PMT($I$18,41,NPV($I$18,BB28:BB68))</f>
        <v>51.144917010388028</v>
      </c>
      <c r="BD70" s="466">
        <f>+-PMT($I$18,41,NPV($I$18,BD28:BD68))</f>
        <v>7.7762366482204612</v>
      </c>
      <c r="BF70" s="467">
        <f>+-PMT($I$18,41,NPV($I$18,BF28:BF68))</f>
        <v>1033.5488372874638</v>
      </c>
      <c r="BH70" s="157"/>
    </row>
    <row r="71" spans="2:60" ht="12">
      <c r="B71" s="2"/>
      <c r="E71" s="169"/>
      <c r="G71" s="466"/>
      <c r="I71" s="466"/>
      <c r="J71" s="28"/>
      <c r="K71" s="466"/>
      <c r="M71" s="28"/>
      <c r="O71" s="28"/>
      <c r="Q71" s="466"/>
      <c r="S71" s="18"/>
      <c r="U71" s="18"/>
      <c r="W71" s="18"/>
      <c r="Y71" s="271"/>
      <c r="Z71" s="235"/>
      <c r="AB71" s="2"/>
      <c r="AD71" s="151"/>
      <c r="AF71" s="154"/>
      <c r="AH71" s="154"/>
      <c r="AJ71" s="154"/>
      <c r="AL71" s="153"/>
      <c r="AN71" s="154"/>
      <c r="AP71" s="154"/>
      <c r="AR71" s="154"/>
      <c r="AS71" s="154"/>
      <c r="AT71" s="153"/>
      <c r="AV71" s="153"/>
      <c r="AW71" s="273"/>
      <c r="AX71" s="155"/>
      <c r="AZ71" s="2"/>
      <c r="BB71" s="154"/>
      <c r="BD71" s="154"/>
      <c r="BF71" s="153"/>
      <c r="BH71" s="157"/>
    </row>
    <row r="72" spans="2:60" ht="12">
      <c r="B72" s="2"/>
      <c r="E72" s="169"/>
      <c r="I72" s="466"/>
      <c r="W72" s="18"/>
      <c r="Y72" s="271"/>
      <c r="Z72" s="235"/>
      <c r="AB72" s="2"/>
      <c r="AX72" s="235"/>
      <c r="AZ72" s="2"/>
      <c r="BH72" s="235"/>
    </row>
    <row r="73" spans="2:60">
      <c r="B73" s="238"/>
      <c r="C73" s="277"/>
      <c r="D73" s="277"/>
      <c r="E73" s="278"/>
      <c r="G73" s="277"/>
      <c r="H73" s="277"/>
      <c r="I73" s="277"/>
      <c r="J73" s="277"/>
      <c r="K73" s="277"/>
      <c r="L73" s="277"/>
      <c r="M73" s="277"/>
      <c r="N73" s="277"/>
      <c r="O73" s="277"/>
      <c r="P73" s="277"/>
      <c r="Q73" s="277"/>
      <c r="R73" s="277"/>
      <c r="S73" s="277"/>
      <c r="T73" s="277"/>
      <c r="U73" s="277"/>
      <c r="V73" s="277"/>
      <c r="W73" s="277"/>
      <c r="X73" s="277"/>
      <c r="Y73" s="277"/>
      <c r="Z73" s="239"/>
      <c r="AB73" s="238"/>
      <c r="AC73" s="277"/>
      <c r="AD73" s="277"/>
      <c r="AE73" s="277"/>
      <c r="AF73" s="277"/>
      <c r="AG73" s="277"/>
      <c r="AH73" s="277"/>
      <c r="AI73" s="277"/>
      <c r="AJ73" s="277"/>
      <c r="AK73" s="277"/>
      <c r="AL73" s="277"/>
      <c r="AM73" s="277"/>
      <c r="AN73" s="277"/>
      <c r="AO73" s="277"/>
      <c r="AP73" s="277"/>
      <c r="AQ73" s="277"/>
      <c r="AR73" s="277"/>
      <c r="AS73" s="277"/>
      <c r="AT73" s="277"/>
      <c r="AU73" s="277"/>
      <c r="AV73" s="277"/>
      <c r="AW73" s="277"/>
      <c r="AX73" s="239"/>
      <c r="AZ73" s="238"/>
      <c r="BA73" s="277"/>
      <c r="BB73" s="277"/>
      <c r="BC73" s="277"/>
      <c r="BD73" s="277"/>
      <c r="BE73" s="277"/>
      <c r="BF73" s="277"/>
      <c r="BG73" s="277"/>
      <c r="BH73" s="239"/>
    </row>
    <row r="74" spans="2:60">
      <c r="E74" s="169"/>
    </row>
    <row r="75" spans="2:60">
      <c r="E75" s="169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</sheetData>
  <pageMargins left="0.25" right="0.25" top="0.25" bottom="0.75" header="0.3" footer="0.3"/>
  <pageSetup paperSize="5" scale="48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3CE1-97BB-48F2-B118-EDBFB4077972}">
  <sheetPr codeName="Sheet19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311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323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80</v>
      </c>
      <c r="H11" s="252"/>
      <c r="AB11" s="122" t="s">
        <v>99</v>
      </c>
      <c r="AC11" s="123"/>
      <c r="AD11" s="123"/>
      <c r="AE11" s="123"/>
      <c r="AF11" s="281">
        <f>+G11*(G12/AJ16)</f>
        <v>28.780636583003606</v>
      </c>
      <c r="AG11" s="127"/>
      <c r="AH11" s="123" t="s">
        <v>100</v>
      </c>
      <c r="AI11" s="124"/>
      <c r="AJ11" s="166">
        <f>'(2.1)_Proxy Resources'!N40</f>
        <v>19.215270973980179</v>
      </c>
      <c r="AK11" s="235"/>
      <c r="AZ11" s="122" t="s">
        <v>99</v>
      </c>
      <c r="BA11" s="123"/>
      <c r="BB11" s="123"/>
      <c r="BC11" s="123"/>
      <c r="BD11" s="134">
        <f>(AF11*AF13-G11*G19)</f>
        <v>-18.979363416996392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0.251</v>
      </c>
      <c r="H12" s="252"/>
      <c r="AB12" s="122" t="s">
        <v>32</v>
      </c>
      <c r="AC12" s="123"/>
      <c r="AD12" s="123"/>
      <c r="AE12" s="123"/>
      <c r="AF12" s="131">
        <f>+AD58/8760/AF11</f>
        <v>0.66735796622644439</v>
      </c>
      <c r="AG12" s="127"/>
      <c r="AH12" s="117" t="s">
        <v>101</v>
      </c>
      <c r="AI12" s="118"/>
      <c r="AJ12" s="117">
        <v>2018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2018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Resources'!O40</f>
        <v>2.2102879231948753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20</v>
      </c>
      <c r="H14" s="252"/>
      <c r="AB14" s="122" t="s">
        <v>104</v>
      </c>
      <c r="AC14" s="123"/>
      <c r="AD14" s="123"/>
      <c r="AE14" s="123"/>
      <c r="AF14" s="134">
        <f>'(2.1)_Proxy Resources'!H40</f>
        <v>6500.8988201101647</v>
      </c>
      <c r="AG14" s="127"/>
      <c r="AH14" s="117" t="s">
        <v>148</v>
      </c>
      <c r="AI14" s="118"/>
      <c r="AJ14" s="166">
        <v>0</v>
      </c>
      <c r="AK14" s="235"/>
      <c r="AZ14" s="122" t="s">
        <v>192</v>
      </c>
      <c r="BA14" s="123"/>
      <c r="BB14" s="123"/>
      <c r="BC14" s="123"/>
      <c r="BD14" s="167">
        <f>'(2.1)_Proxy Resources'!J41</f>
        <v>843</v>
      </c>
      <c r="BE14" s="132"/>
    </row>
    <row r="15" spans="1:57" ht="12">
      <c r="A15" t="s">
        <v>283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244</v>
      </c>
      <c r="AC15" s="123"/>
      <c r="AD15" s="123"/>
      <c r="AE15" s="123"/>
      <c r="AF15" s="167">
        <f>'(2.1)_Proxy Resources'!J40</f>
        <v>1350.7921550317262</v>
      </c>
      <c r="AG15" s="127"/>
      <c r="AH15" s="117" t="s">
        <v>145</v>
      </c>
      <c r="AI15" s="118"/>
      <c r="AJ15" s="166">
        <f>'(2.1)_Proxy Resources'!P40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Resources'!K41</f>
        <v>6.9599999999999995E-2</v>
      </c>
      <c r="BE15" s="132"/>
    </row>
    <row r="16" spans="1:57" ht="12">
      <c r="A16" t="s">
        <v>283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Resources'!K39</f>
        <v>6.7898535686010855E-2</v>
      </c>
      <c r="AG16" s="127"/>
      <c r="AH16" s="117" t="s">
        <v>110</v>
      </c>
      <c r="AI16" s="124"/>
      <c r="AJ16" s="137">
        <f>'(2.1)_Proxy Resources'!D40</f>
        <v>0.6976913086021953</v>
      </c>
      <c r="AK16" s="235"/>
      <c r="AZ16" s="122" t="s">
        <v>100</v>
      </c>
      <c r="BA16" s="124"/>
      <c r="BB16" s="166">
        <f>'(2.1)_Proxy Resources'!O41</f>
        <v>6.61</v>
      </c>
      <c r="BE16" s="130"/>
    </row>
    <row r="17" spans="1:60" ht="12">
      <c r="A17" t="s">
        <v>283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2018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'(2.2)_Forward_Price_Curve'!AA9</f>
        <v>6.9099999999999995E-2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'(2.2)_Forward_Price_Curve'!L107</f>
        <v>0.59699999999999998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2018</v>
      </c>
      <c r="E28" s="169">
        <f>'(2.2)_Forward_Price_Curve'!S33</f>
        <v>2.3E-2</v>
      </c>
      <c r="G28" s="18">
        <v>12436</v>
      </c>
      <c r="I28" s="268">
        <f>$G$15*(1+E28)</f>
        <v>0</v>
      </c>
      <c r="J28" s="268"/>
      <c r="K28" s="268">
        <v>41.535285493727883</v>
      </c>
      <c r="L28" s="269"/>
      <c r="M28" s="268">
        <f>$G$17</f>
        <v>0</v>
      </c>
      <c r="O28" s="270">
        <f>'(2.2)_Forward_Price_Curve'!AD32</f>
        <v>0.15667200000000001</v>
      </c>
      <c r="Q28" s="28"/>
      <c r="S28" s="18">
        <f>(I28*$G$11*1000+(K28+M28+O28+Q28)*G28)/1000</f>
        <v>518.48118339199993</v>
      </c>
      <c r="U28" s="18">
        <f t="shared" ref="U28:U47" si="0">AX28</f>
        <v>4769.3963731094773</v>
      </c>
      <c r="W28" s="18">
        <f t="shared" ref="W28:W47" si="1">S28-U28</f>
        <v>-4250.915189717477</v>
      </c>
      <c r="Y28" s="271">
        <f>+W28*1000/G28</f>
        <v>-341.82335073315193</v>
      </c>
      <c r="Z28" s="235"/>
      <c r="AB28" s="146">
        <f>$C$28</f>
        <v>2018</v>
      </c>
      <c r="AC28" s="117"/>
      <c r="AD28" s="151">
        <f t="shared" ref="AD28:AD47" si="2">G28</f>
        <v>12436</v>
      </c>
      <c r="AF28" s="152">
        <f>$AF$15*$AF$16*(1+E28)</f>
        <v>93.826295957689695</v>
      </c>
      <c r="AG28" s="272"/>
      <c r="AH28" s="152">
        <f>$AJ$11*(1+E28)</f>
        <v>19.657222206381721</v>
      </c>
      <c r="AI28" s="272"/>
      <c r="AJ28" s="152">
        <f>$AJ$13*(1+E28)</f>
        <v>2.2611245454283573</v>
      </c>
      <c r="AK28" s="272"/>
      <c r="AL28" s="153">
        <f>((AF28+AH28)*$AF$11*1000+AJ28*AD28)/1000</f>
        <v>3294.2472392877748</v>
      </c>
      <c r="AN28" s="154">
        <f>INDEX('(2.2)_Forward_Price_Curve'!$L:$L,MATCH($AB28,'(2.2)_Forward_Price_Curve'!$C:$C,0),1)</f>
        <v>2.2091508096518182</v>
      </c>
      <c r="AO28" s="279"/>
      <c r="AP28" s="154">
        <f>AN28*$AF$14/1000+$AJ$14/(1+E29)</f>
        <v>14.361465891910921</v>
      </c>
      <c r="AQ28" s="272"/>
      <c r="AR28" s="152">
        <f>$AJ$15*(1+E28)</f>
        <v>2.3340592015911139</v>
      </c>
      <c r="AS28" s="152"/>
      <c r="AT28" s="153">
        <f t="shared" ref="AT28:AT47" si="3">AL28-BF28</f>
        <v>4561.770823046686</v>
      </c>
      <c r="AU28" s="272"/>
      <c r="AV28" s="153">
        <f t="shared" ref="AV28:AV47" si="4">(AP28+AR28)*AD28/1000</f>
        <v>207.62555006279129</v>
      </c>
      <c r="AW28" s="273"/>
      <c r="AX28" s="155">
        <f>AT28+AV28</f>
        <v>4769.3963731094773</v>
      </c>
      <c r="AZ28" s="146">
        <f>$C$28</f>
        <v>2018</v>
      </c>
      <c r="BA28" s="117"/>
      <c r="BB28" s="152">
        <f>$BD$14*$BD$15*(1+E28)</f>
        <v>60.022274399999986</v>
      </c>
      <c r="BD28" s="152">
        <f>$BB$16*(1+E28)</f>
        <v>6.7620299999999993</v>
      </c>
      <c r="BE28" s="272"/>
      <c r="BF28" s="153">
        <f>(BB28+BD28)*$BD$11</f>
        <v>-1267.5235837589109</v>
      </c>
      <c r="BG28" s="272"/>
      <c r="BH28" s="156"/>
    </row>
    <row r="29" spans="1:60" ht="12">
      <c r="B29" s="2"/>
      <c r="C29">
        <f>+IF(C28&gt;$G$13+$G$14,XX,C28+1)</f>
        <v>2019</v>
      </c>
      <c r="E29" s="169">
        <f>'(2.2)_Forward_Price_Curve'!S34</f>
        <v>2.5999999999999999E-2</v>
      </c>
      <c r="G29" s="18">
        <v>185672.59438948965</v>
      </c>
      <c r="I29" s="28">
        <f>I28*(1+$E29)</f>
        <v>0</v>
      </c>
      <c r="K29" s="28">
        <v>43.134195684202112</v>
      </c>
      <c r="M29" s="28">
        <f>M28*(1+$E29)</f>
        <v>0</v>
      </c>
      <c r="O29" s="270">
        <f>'(2.2)_Forward_Price_Curve'!AD33</f>
        <v>0.85</v>
      </c>
      <c r="Q29" s="28"/>
      <c r="S29" s="18">
        <f t="shared" ref="S29:S47" si="5">(I29*$G$11*1000+(K29+M29+O29+Q29)*G29)/1000</f>
        <v>8166.6597248208</v>
      </c>
      <c r="U29" s="18">
        <f t="shared" si="0"/>
        <v>7909.9156069625187</v>
      </c>
      <c r="W29" s="18">
        <f t="shared" si="1"/>
        <v>256.74411785828124</v>
      </c>
      <c r="Y29" s="271">
        <f t="shared" ref="Y29:Y47" si="6">+W29*1000/G29</f>
        <v>1.3827787493489925</v>
      </c>
      <c r="Z29" s="235"/>
      <c r="AB29" s="146">
        <f>+IF(AB28&gt;$G$13+$G$14,XX,AB28+1)</f>
        <v>2019</v>
      </c>
      <c r="AC29" s="117"/>
      <c r="AD29" s="151">
        <f t="shared" si="2"/>
        <v>185672.59438948965</v>
      </c>
      <c r="AF29" s="154">
        <f>AF28*(1+$E29)</f>
        <v>96.265779652589629</v>
      </c>
      <c r="AH29" s="154">
        <f>AH28*(1+$E29)</f>
        <v>20.168309983747648</v>
      </c>
      <c r="AJ29" s="154">
        <f>AJ28*(1+$E29)</f>
        <v>2.3199137836094947</v>
      </c>
      <c r="AL29" s="153">
        <f>((AF29+AH29)*$AF$11*1000+AJ29*AD29)/1000</f>
        <v>3781.7916306590018</v>
      </c>
      <c r="AN29" s="154">
        <f>INDEX('(2.2)_Forward_Price_Curve'!$L:$L,MATCH($AB29,'(2.2)_Forward_Price_Curve'!$C:$C,0),1)</f>
        <v>1.9742583333333332</v>
      </c>
      <c r="AP29" s="154">
        <f>AN29*$AF$14/1000+$AJ$14</f>
        <v>12.834453669759327</v>
      </c>
      <c r="AR29" s="154">
        <f>AR28*(1+$E29)</f>
        <v>2.3947447408324831</v>
      </c>
      <c r="AS29" s="154"/>
      <c r="AT29" s="153">
        <f t="shared" si="3"/>
        <v>5082.2708275956447</v>
      </c>
      <c r="AV29" s="153">
        <f t="shared" si="4"/>
        <v>2827.6447793668735</v>
      </c>
      <c r="AW29" s="273"/>
      <c r="AX29" s="155">
        <f t="shared" ref="AX29:AX47" si="7">AT29+AV29</f>
        <v>7909.9156069625187</v>
      </c>
      <c r="AZ29" s="146">
        <f>+IF(AZ28&gt;$G$13+$G$14,XX,AZ28+1)</f>
        <v>2019</v>
      </c>
      <c r="BA29" s="117"/>
      <c r="BB29" s="154">
        <f>BB28*(1+$E29)</f>
        <v>61.582853534399987</v>
      </c>
      <c r="BD29" s="154">
        <f>BD28*(1+$E29)</f>
        <v>6.9378427799999995</v>
      </c>
      <c r="BF29" s="153">
        <f t="shared" ref="BF29:BF47" si="8">(BB29+BD29)*$BD$11</f>
        <v>-1300.4791969366427</v>
      </c>
      <c r="BH29" s="157"/>
    </row>
    <row r="30" spans="1:60" ht="12">
      <c r="B30" s="2"/>
      <c r="C30">
        <f>+IF(C29&gt;$G$13+$G$14,XX,C29+1)</f>
        <v>2020</v>
      </c>
      <c r="E30" s="169">
        <f>'(2.2)_Forward_Price_Curve'!S35</f>
        <v>2.4E-2</v>
      </c>
      <c r="G30" s="18">
        <v>184739.70842059041</v>
      </c>
      <c r="I30" s="28">
        <f t="shared" ref="I30:I48" si="9">I29*(1+$E30)</f>
        <v>0</v>
      </c>
      <c r="K30" s="28">
        <v>43.134195973233247</v>
      </c>
      <c r="M30" s="28">
        <f t="shared" ref="M30:M46" si="10">M29*(1+$E30)</f>
        <v>0</v>
      </c>
      <c r="O30" s="270">
        <f>'(2.2)_Forward_Price_Curve'!AD34</f>
        <v>0.87222518878125355</v>
      </c>
      <c r="Q30" s="28"/>
      <c r="S30" s="18">
        <f t="shared" si="5"/>
        <v>8129.7334141042575</v>
      </c>
      <c r="U30" s="18">
        <f t="shared" si="0"/>
        <v>7918.8775924692909</v>
      </c>
      <c r="W30" s="18">
        <f t="shared" si="1"/>
        <v>210.85582163496656</v>
      </c>
      <c r="Y30" s="271">
        <f t="shared" si="6"/>
        <v>1.1413670804054672</v>
      </c>
      <c r="Z30" s="235"/>
      <c r="AB30" s="146">
        <f>+IF(AB29&gt;$G$13+$G$14,XX,AB29+1)</f>
        <v>2020</v>
      </c>
      <c r="AC30" s="117"/>
      <c r="AD30" s="151">
        <f t="shared" si="2"/>
        <v>184739.70842059041</v>
      </c>
      <c r="AF30" s="154">
        <f t="shared" ref="AF30:AF48" si="11">AF29*(1+$E30)</f>
        <v>98.576158364251782</v>
      </c>
      <c r="AH30" s="154">
        <f t="shared" ref="AH30:AH48" si="12">AH29*(1+$E30)</f>
        <v>20.652349423357592</v>
      </c>
      <c r="AJ30" s="154">
        <f t="shared" ref="AJ30:AJ48" si="13">AJ29*(1+$E30)</f>
        <v>2.3755917144161227</v>
      </c>
      <c r="AL30" s="153">
        <f t="shared" ref="AL30:AL47" si="14">((AF30+AH30)*$AF$11*1000+AJ30*AD30)/1000</f>
        <v>3870.3384736166058</v>
      </c>
      <c r="AN30" s="154">
        <f>INDEX('(2.2)_Forward_Price_Curve'!$L:$L,MATCH($AB30,'(2.2)_Forward_Price_Curve'!$C:$C,0),1)</f>
        <v>1.8849916666666668</v>
      </c>
      <c r="AP30" s="154">
        <f>AN30*$AF$14/1000+$AJ$14*(1+E30)</f>
        <v>12.254140101750828</v>
      </c>
      <c r="AR30" s="154">
        <f t="shared" ref="AR30:AR48" si="15">AR29*(1+$E30)</f>
        <v>2.4522186146124629</v>
      </c>
      <c r="AS30" s="154"/>
      <c r="AT30" s="153">
        <f t="shared" si="3"/>
        <v>5202.029171279728</v>
      </c>
      <c r="AV30" s="153">
        <f t="shared" si="4"/>
        <v>2716.8484211895625</v>
      </c>
      <c r="AW30" s="273"/>
      <c r="AX30" s="155">
        <f t="shared" si="7"/>
        <v>7918.8775924692909</v>
      </c>
      <c r="AZ30" s="146">
        <f>+IF(AZ29&gt;$G$13+$G$14,XX,AZ29+1)</f>
        <v>2020</v>
      </c>
      <c r="BA30" s="117"/>
      <c r="BB30" s="154">
        <f t="shared" ref="BB30:BB48" si="16">BB29*(1+$E30)</f>
        <v>63.060842019225589</v>
      </c>
      <c r="BD30" s="154">
        <f t="shared" ref="BD30:BD48" si="17">BD29*(1+$E30)</f>
        <v>7.10435100672</v>
      </c>
      <c r="BF30" s="153">
        <f t="shared" si="8"/>
        <v>-1331.6906976631219</v>
      </c>
      <c r="BH30" s="157"/>
    </row>
    <row r="31" spans="1:60" ht="12">
      <c r="B31" s="2"/>
      <c r="C31">
        <f>+IF(C30&gt;$G$13+$G$14,XX,C30+1)</f>
        <v>2021</v>
      </c>
      <c r="E31" s="169">
        <f>'(2.2)_Forward_Price_Curve'!S36</f>
        <v>2.3E-2</v>
      </c>
      <c r="G31" s="18">
        <v>183806.82245169117</v>
      </c>
      <c r="I31" s="28">
        <f t="shared" si="9"/>
        <v>0</v>
      </c>
      <c r="K31" s="28">
        <v>43.134196265198256</v>
      </c>
      <c r="M31" s="28">
        <f t="shared" si="10"/>
        <v>0</v>
      </c>
      <c r="O31" s="270">
        <f>'(2.2)_Forward_Price_Curve'!AD35</f>
        <v>0.89441110644161892</v>
      </c>
      <c r="Q31" s="28"/>
      <c r="S31" s="18">
        <f t="shared" si="5"/>
        <v>8092.7584179542309</v>
      </c>
      <c r="U31" s="18">
        <f t="shared" si="0"/>
        <v>8111.390316320696</v>
      </c>
      <c r="W31" s="18">
        <f t="shared" si="1"/>
        <v>-18.631898366465066</v>
      </c>
      <c r="Y31" s="271">
        <f t="shared" si="6"/>
        <v>-0.10136673991718656</v>
      </c>
      <c r="Z31" s="235"/>
      <c r="AB31" s="146">
        <f>+IF(AB30&gt;$G$13+$G$14,XX,AB30+1)</f>
        <v>2021</v>
      </c>
      <c r="AC31" s="117"/>
      <c r="AD31" s="151">
        <f t="shared" si="2"/>
        <v>183806.82245169117</v>
      </c>
      <c r="AF31" s="154">
        <f t="shared" si="11"/>
        <v>100.84341000662957</v>
      </c>
      <c r="AH31" s="154">
        <f t="shared" si="12"/>
        <v>21.127353460094813</v>
      </c>
      <c r="AJ31" s="154">
        <f t="shared" si="13"/>
        <v>2.4302303238476934</v>
      </c>
      <c r="AL31" s="153">
        <f t="shared" si="14"/>
        <v>3957.0891307394763</v>
      </c>
      <c r="AN31" s="154">
        <f>INDEX('(2.2)_Forward_Price_Curve'!$L:$L,MATCH($AB31,'(2.2)_Forward_Price_Curve'!$C:$C,0),1)</f>
        <v>1.9506749999999997</v>
      </c>
      <c r="AP31" s="154">
        <f>AN31*$AF$14/1000+$AJ$14*(1+E31)</f>
        <v>12.681140805918394</v>
      </c>
      <c r="AR31" s="154">
        <f t="shared" si="15"/>
        <v>2.5086196427485494</v>
      </c>
      <c r="AS31" s="154"/>
      <c r="AT31" s="153">
        <f t="shared" si="3"/>
        <v>5319.4087144488503</v>
      </c>
      <c r="AV31" s="153">
        <f t="shared" si="4"/>
        <v>2791.9816018718457</v>
      </c>
      <c r="AW31" s="273"/>
      <c r="AX31" s="155">
        <f t="shared" si="7"/>
        <v>8111.390316320696</v>
      </c>
      <c r="AZ31" s="146">
        <f>+IF(AZ30&gt;$G$13+$G$14,XX,AZ30+1)</f>
        <v>2021</v>
      </c>
      <c r="BA31" s="117"/>
      <c r="BB31" s="154">
        <f t="shared" si="16"/>
        <v>64.511241385667773</v>
      </c>
      <c r="BD31" s="154">
        <f t="shared" si="17"/>
        <v>7.267751079874559</v>
      </c>
      <c r="BF31" s="153">
        <f t="shared" si="8"/>
        <v>-1362.3195837093738</v>
      </c>
      <c r="BH31" s="157"/>
    </row>
    <row r="32" spans="1:60" ht="12">
      <c r="B32" s="2"/>
      <c r="C32">
        <f>+IF(C31&gt;$G$13+$G$14,XX,C31+1)</f>
        <v>2022</v>
      </c>
      <c r="E32" s="169">
        <f>'(2.2)_Forward_Price_Curve'!S37</f>
        <v>2.3E-2</v>
      </c>
      <c r="G32" s="18">
        <v>182873.93648279196</v>
      </c>
      <c r="I32" s="28">
        <f t="shared" si="9"/>
        <v>0</v>
      </c>
      <c r="K32" s="28">
        <v>43.134196560142044</v>
      </c>
      <c r="M32" s="28">
        <f t="shared" si="10"/>
        <v>0</v>
      </c>
      <c r="O32" s="270">
        <f>'(2.2)_Forward_Price_Curve'!AD36</f>
        <v>0.91699200095245803</v>
      </c>
      <c r="Q32" s="28"/>
      <c r="S32" s="18">
        <f t="shared" si="5"/>
        <v>8055.8142589130875</v>
      </c>
      <c r="U32" s="18">
        <f t="shared" si="0"/>
        <v>8799.1822914570403</v>
      </c>
      <c r="W32" s="18">
        <f t="shared" si="1"/>
        <v>-743.36803254395272</v>
      </c>
      <c r="Y32" s="271">
        <f t="shared" si="6"/>
        <v>-4.064920605096189</v>
      </c>
      <c r="Z32" s="235"/>
      <c r="AB32" s="146">
        <f>+IF(AB31&gt;$G$13+$G$14,XX,AB31+1)</f>
        <v>2022</v>
      </c>
      <c r="AC32" s="117"/>
      <c r="AD32" s="151">
        <f t="shared" si="2"/>
        <v>182873.93648279196</v>
      </c>
      <c r="AF32" s="154">
        <f t="shared" si="11"/>
        <v>103.16280843678204</v>
      </c>
      <c r="AH32" s="154">
        <f t="shared" si="12"/>
        <v>21.613282589676992</v>
      </c>
      <c r="AJ32" s="154">
        <f t="shared" si="13"/>
        <v>2.48612562129619</v>
      </c>
      <c r="AL32" s="153">
        <f t="shared" si="14"/>
        <v>4045.7829090374557</v>
      </c>
      <c r="AN32" s="154">
        <f>INDEX('(2.2)_Forward_Price_Curve'!$L:$L,MATCH($AB32,'(2.2)_Forward_Price_Curve'!$C:$C,0),1)</f>
        <v>2.431295833333333</v>
      </c>
      <c r="AP32" s="154">
        <f t="shared" ref="AP32:AP47" si="18">AN32*$AF$14/1000+$AJ$14*(1+E32)</f>
        <v>15.805608214255424</v>
      </c>
      <c r="AR32" s="154">
        <f t="shared" si="15"/>
        <v>2.5663178945317657</v>
      </c>
      <c r="AS32" s="154"/>
      <c r="AT32" s="153">
        <f t="shared" si="3"/>
        <v>5439.4358431721448</v>
      </c>
      <c r="AV32" s="153">
        <f t="shared" si="4"/>
        <v>3359.7464482848955</v>
      </c>
      <c r="AW32" s="273"/>
      <c r="AX32" s="155">
        <f t="shared" si="7"/>
        <v>8799.1822914570403</v>
      </c>
      <c r="AZ32" s="146">
        <f>+IF(AZ31&gt;$G$13+$G$14,XX,AZ31+1)</f>
        <v>2022</v>
      </c>
      <c r="BA32" s="117"/>
      <c r="BB32" s="154">
        <f t="shared" si="16"/>
        <v>65.994999937538125</v>
      </c>
      <c r="BD32" s="154">
        <f t="shared" si="17"/>
        <v>7.4349093547116736</v>
      </c>
      <c r="BF32" s="153">
        <f t="shared" si="8"/>
        <v>-1393.6529341346893</v>
      </c>
      <c r="BH32" s="157"/>
    </row>
    <row r="33" spans="2:60" ht="12">
      <c r="B33" s="2"/>
      <c r="C33">
        <f>+IF(C32&gt;$G$13+$G$14,XX,C32+1)</f>
        <v>2023</v>
      </c>
      <c r="E33" s="169">
        <f>'(2.2)_Forward_Price_Curve'!S38</f>
        <v>2.3E-2</v>
      </c>
      <c r="G33" s="18">
        <v>181941.0505138927</v>
      </c>
      <c r="I33" s="28">
        <f t="shared" si="9"/>
        <v>0</v>
      </c>
      <c r="K33" s="28">
        <v>43.134196858110421</v>
      </c>
      <c r="M33" s="28">
        <f t="shared" si="10"/>
        <v>0</v>
      </c>
      <c r="O33" s="270">
        <f>'(2.2)_Forward_Price_Curve'!AD37</f>
        <v>0.93952909305922927</v>
      </c>
      <c r="Q33" s="28"/>
      <c r="S33" s="18">
        <f t="shared" si="5"/>
        <v>8018.8199996172207</v>
      </c>
      <c r="U33" s="18">
        <f t="shared" si="0"/>
        <v>9513.8904286846646</v>
      </c>
      <c r="W33" s="18">
        <f t="shared" si="1"/>
        <v>-1495.0704290674439</v>
      </c>
      <c r="Y33" s="271">
        <f t="shared" si="6"/>
        <v>-8.2173342675807124</v>
      </c>
      <c r="Z33" s="235"/>
      <c r="AB33" s="146">
        <f>+IF(AB32&gt;$G$13+$G$14,XX,AB32+1)</f>
        <v>2023</v>
      </c>
      <c r="AC33" s="117"/>
      <c r="AD33" s="151">
        <f t="shared" si="2"/>
        <v>181941.0505138927</v>
      </c>
      <c r="AF33" s="154">
        <f t="shared" si="11"/>
        <v>105.53555303082803</v>
      </c>
      <c r="AH33" s="154">
        <f t="shared" si="12"/>
        <v>22.11038808923956</v>
      </c>
      <c r="AJ33" s="154">
        <f t="shared" si="13"/>
        <v>2.5433065105860022</v>
      </c>
      <c r="AL33" s="153">
        <f t="shared" si="14"/>
        <v>4136.4633009869813</v>
      </c>
      <c r="AN33" s="154">
        <f>INDEX('(2.2)_Forward_Price_Curve'!$L:$L,MATCH($AB33,'(2.2)_Forward_Price_Curve'!$C:$C,0),1)</f>
        <v>2.9371999999999994</v>
      </c>
      <c r="AP33" s="154">
        <f t="shared" si="18"/>
        <v>19.094440014427573</v>
      </c>
      <c r="AR33" s="154">
        <f t="shared" si="15"/>
        <v>2.6253432061059963</v>
      </c>
      <c r="AS33" s="154"/>
      <c r="AT33" s="153">
        <f t="shared" si="3"/>
        <v>5562.1702526067684</v>
      </c>
      <c r="AV33" s="153">
        <f t="shared" si="4"/>
        <v>3951.7201760778967</v>
      </c>
      <c r="AW33" s="273"/>
      <c r="AX33" s="155">
        <f t="shared" si="7"/>
        <v>9513.8904286846646</v>
      </c>
      <c r="AZ33" s="146">
        <f>+IF(AZ32&gt;$G$13+$G$14,XX,AZ32+1)</f>
        <v>2023</v>
      </c>
      <c r="BA33" s="117"/>
      <c r="BB33" s="154">
        <f t="shared" si="16"/>
        <v>67.5128849361015</v>
      </c>
      <c r="BD33" s="154">
        <f t="shared" si="17"/>
        <v>7.605912269870041</v>
      </c>
      <c r="BF33" s="153">
        <f t="shared" si="8"/>
        <v>-1425.7069516197871</v>
      </c>
      <c r="BH33" s="157"/>
    </row>
    <row r="34" spans="2:60" ht="12">
      <c r="B34" s="2"/>
      <c r="C34">
        <f>+IF(C33&gt;$G$13+$G$14,XX,C33+1)</f>
        <v>2024</v>
      </c>
      <c r="E34" s="169">
        <f>'(2.2)_Forward_Price_Curve'!S39</f>
        <v>2.3E-2</v>
      </c>
      <c r="G34" s="18">
        <v>181008.16454499343</v>
      </c>
      <c r="I34" s="28">
        <f t="shared" si="9"/>
        <v>0</v>
      </c>
      <c r="K34" s="28">
        <v>43.134197159150162</v>
      </c>
      <c r="M34" s="28">
        <f t="shared" si="10"/>
        <v>0</v>
      </c>
      <c r="O34" s="270">
        <f>'(2.2)_Forward_Price_Curve'!AD38</f>
        <v>0.961379129353919</v>
      </c>
      <c r="Q34" s="28"/>
      <c r="S34" s="18">
        <f t="shared" si="5"/>
        <v>7981.6593285358576</v>
      </c>
      <c r="U34" s="18">
        <f t="shared" si="0"/>
        <v>10254.146789168402</v>
      </c>
      <c r="W34" s="18">
        <f t="shared" si="1"/>
        <v>-2272.4874606325448</v>
      </c>
      <c r="Y34" s="271">
        <f t="shared" si="6"/>
        <v>-12.554613027235408</v>
      </c>
      <c r="Z34" s="235"/>
      <c r="AB34" s="146">
        <f>+IF(AB33&gt;$G$13+$G$14,XX,AB33+1)</f>
        <v>2024</v>
      </c>
      <c r="AC34" s="117"/>
      <c r="AD34" s="151">
        <f t="shared" si="2"/>
        <v>181008.16454499343</v>
      </c>
      <c r="AF34" s="154">
        <f t="shared" si="11"/>
        <v>107.96287075053706</v>
      </c>
      <c r="AH34" s="154">
        <f t="shared" si="12"/>
        <v>22.618927015292069</v>
      </c>
      <c r="AJ34" s="154">
        <f t="shared" si="13"/>
        <v>2.6018025603294799</v>
      </c>
      <c r="AL34" s="153">
        <f t="shared" si="14"/>
        <v>4229.1747718073038</v>
      </c>
      <c r="AN34" s="154">
        <f>INDEX('(2.2)_Forward_Price_Curve'!$L:$L,MATCH($AB34,'(2.2)_Forward_Price_Curve'!$C:$C,0),1)</f>
        <v>3.4675625000000001</v>
      </c>
      <c r="AP34" s="154">
        <f t="shared" si="18"/>
        <v>22.542272964908253</v>
      </c>
      <c r="AR34" s="154">
        <f t="shared" si="15"/>
        <v>2.6857260998464341</v>
      </c>
      <c r="AS34" s="154"/>
      <c r="AT34" s="153">
        <f t="shared" si="3"/>
        <v>5687.6729833143454</v>
      </c>
      <c r="AV34" s="153">
        <f t="shared" si="4"/>
        <v>4566.473805854057</v>
      </c>
      <c r="AW34" s="273"/>
      <c r="AX34" s="155">
        <f t="shared" si="7"/>
        <v>10254.146789168402</v>
      </c>
      <c r="AZ34" s="146">
        <f>+IF(AZ33&gt;$G$13+$G$14,XX,AZ33+1)</f>
        <v>2024</v>
      </c>
      <c r="BA34" s="117"/>
      <c r="BB34" s="154">
        <f t="shared" si="16"/>
        <v>69.065681289631826</v>
      </c>
      <c r="BD34" s="154">
        <f t="shared" si="17"/>
        <v>7.7808482520770514</v>
      </c>
      <c r="BF34" s="153">
        <f t="shared" si="8"/>
        <v>-1458.498211507042</v>
      </c>
      <c r="BH34" s="157"/>
    </row>
    <row r="35" spans="2:60" ht="12">
      <c r="B35" s="2"/>
      <c r="C35">
        <f>+IF(C34&gt;$G$13+$G$14,XX,C34+1)</f>
        <v>2025</v>
      </c>
      <c r="E35" s="169">
        <f>'(2.2)_Forward_Price_Curve'!S40</f>
        <v>2.1999999999999999E-2</v>
      </c>
      <c r="G35" s="18">
        <v>180075.27857609422</v>
      </c>
      <c r="I35" s="28">
        <f t="shared" si="9"/>
        <v>0</v>
      </c>
      <c r="K35" s="28">
        <v>43.134197463308993</v>
      </c>
      <c r="M35" s="28">
        <f t="shared" si="10"/>
        <v>0</v>
      </c>
      <c r="O35" s="270">
        <f>'(2.2)_Forward_Price_Curve'!AD39</f>
        <v>0.98282248298325492</v>
      </c>
      <c r="Q35" s="28"/>
      <c r="S35" s="18">
        <f t="shared" si="5"/>
        <v>7944.3846567756809</v>
      </c>
      <c r="U35" s="18">
        <f t="shared" si="0"/>
        <v>10782.524945510191</v>
      </c>
      <c r="W35" s="18">
        <f t="shared" si="1"/>
        <v>-2838.1402887345102</v>
      </c>
      <c r="Y35" s="271">
        <f t="shared" si="6"/>
        <v>-15.760854633553713</v>
      </c>
      <c r="Z35" s="235"/>
      <c r="AB35" s="146">
        <f>+IF(AB34&gt;$G$13+$G$14,XX,AB34+1)</f>
        <v>2025</v>
      </c>
      <c r="AC35" s="117"/>
      <c r="AD35" s="151">
        <f t="shared" si="2"/>
        <v>180075.27857609422</v>
      </c>
      <c r="AF35" s="154">
        <f t="shared" si="11"/>
        <v>110.33805390704889</v>
      </c>
      <c r="AH35" s="154">
        <f t="shared" si="12"/>
        <v>23.116543409628495</v>
      </c>
      <c r="AJ35" s="154">
        <f t="shared" si="13"/>
        <v>2.6590422166567285</v>
      </c>
      <c r="AL35" s="153">
        <f t="shared" si="14"/>
        <v>4319.7360336124357</v>
      </c>
      <c r="AN35" s="154">
        <f>INDEX('(2.2)_Forward_Price_Curve'!$L:$L,MATCH($AB35,'(2.2)_Forward_Price_Curve'!$C:$C,0),1)</f>
        <v>3.8251624999999998</v>
      </c>
      <c r="AP35" s="154">
        <f t="shared" si="18"/>
        <v>24.866994382979648</v>
      </c>
      <c r="AR35" s="154">
        <f t="shared" si="15"/>
        <v>2.7448120740430557</v>
      </c>
      <c r="AS35" s="154"/>
      <c r="AT35" s="153">
        <f t="shared" si="3"/>
        <v>5810.3212057726323</v>
      </c>
      <c r="AV35" s="153">
        <f t="shared" si="4"/>
        <v>4972.2037397375598</v>
      </c>
      <c r="AW35" s="273"/>
      <c r="AX35" s="155">
        <f t="shared" si="7"/>
        <v>10782.524945510191</v>
      </c>
      <c r="AZ35" s="146">
        <f>+IF(AZ34&gt;$G$13+$G$14,XX,AZ34+1)</f>
        <v>2025</v>
      </c>
      <c r="BA35" s="117"/>
      <c r="BB35" s="154">
        <f t="shared" si="16"/>
        <v>70.585126278003727</v>
      </c>
      <c r="BD35" s="154">
        <f t="shared" si="17"/>
        <v>7.9520269136227464</v>
      </c>
      <c r="BF35" s="153">
        <f t="shared" si="8"/>
        <v>-1490.5851721601969</v>
      </c>
      <c r="BH35" s="157"/>
    </row>
    <row r="36" spans="2:60" ht="12">
      <c r="B36" s="2"/>
      <c r="C36">
        <f>+IF(C35&gt;$G$13+$G$14,XX,C35+1)</f>
        <v>2026</v>
      </c>
      <c r="E36" s="169">
        <f>'(2.2)_Forward_Price_Curve'!S41</f>
        <v>2.1999999999999999E-2</v>
      </c>
      <c r="G36" s="18">
        <v>179142.39260719492</v>
      </c>
      <c r="I36" s="28">
        <f t="shared" si="9"/>
        <v>0</v>
      </c>
      <c r="K36" s="28">
        <v>43.134197770635652</v>
      </c>
      <c r="M36" s="28">
        <f t="shared" si="10"/>
        <v>0</v>
      </c>
      <c r="O36" s="270">
        <f>'(2.2)_Forward_Price_Curve'!AD40</f>
        <v>1.0045007081240578</v>
      </c>
      <c r="Q36" s="28"/>
      <c r="S36" s="18">
        <f t="shared" si="5"/>
        <v>7907.1120520525683</v>
      </c>
      <c r="U36" s="18">
        <f t="shared" si="0"/>
        <v>11136.575302056634</v>
      </c>
      <c r="W36" s="18">
        <f t="shared" si="1"/>
        <v>-3229.4632500040652</v>
      </c>
      <c r="Y36" s="271">
        <f t="shared" si="6"/>
        <v>-18.027353564967179</v>
      </c>
      <c r="Z36" s="235"/>
      <c r="AB36" s="146">
        <f>+IF(AB35&gt;$G$13+$G$14,XX,AB35+1)</f>
        <v>2026</v>
      </c>
      <c r="AC36" s="117"/>
      <c r="AD36" s="151">
        <f t="shared" si="2"/>
        <v>179142.39260719492</v>
      </c>
      <c r="AF36" s="154">
        <f t="shared" si="11"/>
        <v>112.76549109300396</v>
      </c>
      <c r="AH36" s="154">
        <f t="shared" si="12"/>
        <v>23.625107364640321</v>
      </c>
      <c r="AJ36" s="154">
        <f t="shared" si="13"/>
        <v>2.7175411454231764</v>
      </c>
      <c r="AL36" s="153">
        <f t="shared" si="14"/>
        <v>4412.2350703474376</v>
      </c>
      <c r="AN36" s="154">
        <f>INDEX('(2.2)_Forward_Price_Curve'!$L:$L,MATCH($AB36,'(2.2)_Forward_Price_Curve'!$C:$C,0),1)</f>
        <v>4.0344208333333329</v>
      </c>
      <c r="AP36" s="154">
        <f t="shared" si="18"/>
        <v>26.227361635244531</v>
      </c>
      <c r="AR36" s="154">
        <f t="shared" si="15"/>
        <v>2.805197939672003</v>
      </c>
      <c r="AS36" s="154"/>
      <c r="AT36" s="153">
        <f t="shared" si="3"/>
        <v>5935.6131162951588</v>
      </c>
      <c r="AV36" s="153">
        <f t="shared" si="4"/>
        <v>5200.9621857614738</v>
      </c>
      <c r="AW36" s="273"/>
      <c r="AX36" s="155">
        <f t="shared" si="7"/>
        <v>11136.575302056634</v>
      </c>
      <c r="AZ36" s="146">
        <f>+IF(AZ35&gt;$G$13+$G$14,XX,AZ35+1)</f>
        <v>2026</v>
      </c>
      <c r="BA36" s="117"/>
      <c r="BB36" s="154">
        <f t="shared" si="16"/>
        <v>72.13799905611981</v>
      </c>
      <c r="BD36" s="154">
        <f t="shared" si="17"/>
        <v>8.1269715057224463</v>
      </c>
      <c r="BF36" s="153">
        <f t="shared" si="8"/>
        <v>-1523.3780459477214</v>
      </c>
      <c r="BH36" s="157"/>
    </row>
    <row r="37" spans="2:60" ht="12">
      <c r="B37" s="2"/>
      <c r="C37">
        <f>+IF(C36&gt;$G$13+$G$14,XX,C36+1)</f>
        <v>2027</v>
      </c>
      <c r="E37" s="169">
        <f>'(2.2)_Forward_Price_Curve'!S42</f>
        <v>2.1999999999999999E-2</v>
      </c>
      <c r="G37" s="18">
        <v>178209.50663829566</v>
      </c>
      <c r="I37" s="28">
        <f t="shared" si="9"/>
        <v>0</v>
      </c>
      <c r="K37" s="28">
        <v>43.134198081179875</v>
      </c>
      <c r="M37" s="28">
        <f t="shared" si="10"/>
        <v>0</v>
      </c>
      <c r="O37" s="270">
        <f>'(2.2)_Forward_Price_Curve'!AD41</f>
        <v>1.026779705893067</v>
      </c>
      <c r="Q37" s="28"/>
      <c r="S37" s="18">
        <f t="shared" si="5"/>
        <v>7869.9060640990028</v>
      </c>
      <c r="U37" s="18">
        <f t="shared" si="0"/>
        <v>11199.944634980278</v>
      </c>
      <c r="W37" s="18">
        <f t="shared" si="1"/>
        <v>-3330.0385708812755</v>
      </c>
      <c r="Y37" s="271">
        <f t="shared" si="6"/>
        <v>-18.686088265987486</v>
      </c>
      <c r="Z37" s="235"/>
      <c r="AB37" s="146">
        <f>+IF(AB36&gt;$G$13+$G$14,XX,AB36+1)</f>
        <v>2027</v>
      </c>
      <c r="AC37" s="117"/>
      <c r="AD37" s="151">
        <f t="shared" si="2"/>
        <v>178209.50663829566</v>
      </c>
      <c r="AF37" s="154">
        <f t="shared" si="11"/>
        <v>115.24633189705006</v>
      </c>
      <c r="AH37" s="154">
        <f t="shared" si="12"/>
        <v>24.144859726662411</v>
      </c>
      <c r="AJ37" s="154">
        <f t="shared" si="13"/>
        <v>2.7773270506224863</v>
      </c>
      <c r="AL37" s="153">
        <f t="shared" si="14"/>
        <v>4506.7133124585116</v>
      </c>
      <c r="AN37" s="154">
        <f>INDEX('(2.2)_Forward_Price_Curve'!$L:$L,MATCH($AB37,'(2.2)_Forward_Price_Curve'!$C:$C,0),1)</f>
        <v>3.9925249999999992</v>
      </c>
      <c r="AP37" s="154">
        <f t="shared" si="18"/>
        <v>25.955001061760328</v>
      </c>
      <c r="AR37" s="154">
        <f t="shared" si="15"/>
        <v>2.8669122943447873</v>
      </c>
      <c r="AS37" s="154"/>
      <c r="AT37" s="153">
        <f t="shared" si="3"/>
        <v>6063.6056754170822</v>
      </c>
      <c r="AV37" s="153">
        <f t="shared" si="4"/>
        <v>5136.338959563197</v>
      </c>
      <c r="AW37" s="273"/>
      <c r="AX37" s="155">
        <f t="shared" si="7"/>
        <v>11199.944634980278</v>
      </c>
      <c r="AZ37" s="146">
        <f>+IF(AZ36&gt;$G$13+$G$14,XX,AZ36+1)</f>
        <v>2027</v>
      </c>
      <c r="BA37" s="117"/>
      <c r="BB37" s="154">
        <f t="shared" si="16"/>
        <v>73.725035035354452</v>
      </c>
      <c r="BD37" s="154">
        <f t="shared" si="17"/>
        <v>8.3057648788483398</v>
      </c>
      <c r="BF37" s="153">
        <f t="shared" si="8"/>
        <v>-1556.8923629585711</v>
      </c>
      <c r="BH37" s="157"/>
    </row>
    <row r="38" spans="2:60" ht="12">
      <c r="B38" s="2"/>
      <c r="C38">
        <f>+IF(C37&gt;$G$13+$G$14,XX,C37+1)</f>
        <v>2028</v>
      </c>
      <c r="E38" s="169">
        <f>'(2.2)_Forward_Price_Curve'!S43</f>
        <v>2.1999999999999999E-2</v>
      </c>
      <c r="G38" s="18">
        <v>177276.62066939645</v>
      </c>
      <c r="I38" s="28">
        <f t="shared" si="9"/>
        <v>0</v>
      </c>
      <c r="K38" s="28">
        <v>43.134198394992453</v>
      </c>
      <c r="M38" s="28">
        <f t="shared" si="10"/>
        <v>0</v>
      </c>
      <c r="O38" s="270">
        <f>'(2.2)_Forward_Price_Curve'!AD42</f>
        <v>1.0498288329991143</v>
      </c>
      <c r="Q38" s="28"/>
      <c r="S38" s="18">
        <f t="shared" si="5"/>
        <v>7832.7950345429444</v>
      </c>
      <c r="U38" s="18">
        <f t="shared" si="0"/>
        <v>11245.842232452509</v>
      </c>
      <c r="W38" s="18">
        <f t="shared" si="1"/>
        <v>-3413.0471979095646</v>
      </c>
      <c r="Y38" s="271">
        <f t="shared" si="6"/>
        <v>-19.25266391598565</v>
      </c>
      <c r="Z38" s="235"/>
      <c r="AB38" s="146">
        <f>+IF(AB37&gt;$G$13+$G$14,XX,AB37+1)</f>
        <v>2028</v>
      </c>
      <c r="AC38" s="117"/>
      <c r="AD38" s="151">
        <f t="shared" si="2"/>
        <v>177276.62066939645</v>
      </c>
      <c r="AF38" s="154">
        <f t="shared" si="11"/>
        <v>117.78175119878516</v>
      </c>
      <c r="AH38" s="154">
        <f t="shared" si="12"/>
        <v>24.676046640648984</v>
      </c>
      <c r="AJ38" s="154">
        <f t="shared" si="13"/>
        <v>2.8384282457361811</v>
      </c>
      <c r="AL38" s="153">
        <f t="shared" si="14"/>
        <v>4603.2130754484233</v>
      </c>
      <c r="AN38" s="154">
        <f>INDEX('(2.2)_Forward_Price_Curve'!$L:$L,MATCH($AB38,'(2.2)_Forward_Price_Curve'!$C:$C,0),1)</f>
        <v>3.9325250000000005</v>
      </c>
      <c r="AP38" s="154">
        <f t="shared" si="18"/>
        <v>25.564947132553726</v>
      </c>
      <c r="AR38" s="154">
        <f t="shared" si="15"/>
        <v>2.9299843648203727</v>
      </c>
      <c r="AS38" s="154"/>
      <c r="AT38" s="153">
        <f t="shared" si="3"/>
        <v>6194.3570703920832</v>
      </c>
      <c r="AV38" s="153">
        <f t="shared" si="4"/>
        <v>5051.4851620604259</v>
      </c>
      <c r="AW38" s="273"/>
      <c r="AX38" s="155">
        <f t="shared" si="7"/>
        <v>11245.842232452509</v>
      </c>
      <c r="AZ38" s="146">
        <f>+IF(AZ37&gt;$G$13+$G$14,XX,AZ37+1)</f>
        <v>2028</v>
      </c>
      <c r="BA38" s="117"/>
      <c r="BB38" s="154">
        <f t="shared" si="16"/>
        <v>75.346985806132253</v>
      </c>
      <c r="BD38" s="154">
        <f t="shared" si="17"/>
        <v>8.4884917061830034</v>
      </c>
      <c r="BF38" s="153">
        <f t="shared" si="8"/>
        <v>-1591.1439949436599</v>
      </c>
      <c r="BH38" s="157"/>
    </row>
    <row r="39" spans="2:60" ht="12">
      <c r="B39" s="2"/>
      <c r="C39">
        <f>+IF(C38&gt;$G$13+$G$14,XX,C38+1)</f>
        <v>2029</v>
      </c>
      <c r="E39" s="169">
        <f>'(2.2)_Forward_Price_Curve'!S44</f>
        <v>2.1999999999999999E-2</v>
      </c>
      <c r="G39" s="18">
        <v>176343.73470049718</v>
      </c>
      <c r="I39" s="28">
        <f t="shared" si="9"/>
        <v>0</v>
      </c>
      <c r="K39" s="28">
        <v>43.134198712125276</v>
      </c>
      <c r="M39" s="28">
        <f t="shared" si="10"/>
        <v>0</v>
      </c>
      <c r="O39" s="270">
        <f>'(2.2)_Forward_Price_Curve'!AD43</f>
        <v>1.0737281421117022</v>
      </c>
      <c r="Q39" s="28"/>
      <c r="S39" s="18">
        <f t="shared" si="5"/>
        <v>7795.7909248425512</v>
      </c>
      <c r="U39" s="18">
        <f t="shared" si="0"/>
        <v>11729.910064086318</v>
      </c>
      <c r="W39" s="18">
        <f t="shared" si="1"/>
        <v>-3934.1191392437668</v>
      </c>
      <c r="Y39" s="271">
        <f t="shared" si="6"/>
        <v>-22.309378589069176</v>
      </c>
      <c r="Z39" s="235"/>
      <c r="AB39" s="146">
        <f>+IF(AB38&gt;$G$13+$G$14,XX,AB38+1)</f>
        <v>2029</v>
      </c>
      <c r="AC39" s="117"/>
      <c r="AD39" s="151">
        <f t="shared" si="2"/>
        <v>176343.73470049718</v>
      </c>
      <c r="AF39" s="154">
        <f t="shared" si="11"/>
        <v>120.37294972515843</v>
      </c>
      <c r="AH39" s="154">
        <f t="shared" si="12"/>
        <v>25.218919666743261</v>
      </c>
      <c r="AJ39" s="154">
        <f t="shared" si="13"/>
        <v>2.9008736671423772</v>
      </c>
      <c r="AL39" s="153">
        <f t="shared" si="14"/>
        <v>4701.7775787666624</v>
      </c>
      <c r="AN39" s="154">
        <f>INDEX('(2.2)_Forward_Price_Curve'!$L:$L,MATCH($AB39,'(2.2)_Forward_Price_Curve'!$C:$C,0),1)</f>
        <v>4.2515375000000004</v>
      </c>
      <c r="AP39" s="154">
        <f t="shared" si="18"/>
        <v>27.638815117404125</v>
      </c>
      <c r="AR39" s="154">
        <f t="shared" si="15"/>
        <v>2.9944440208464211</v>
      </c>
      <c r="AS39" s="154"/>
      <c r="AT39" s="153">
        <f t="shared" si="3"/>
        <v>6327.9267415990835</v>
      </c>
      <c r="AV39" s="153">
        <f t="shared" si="4"/>
        <v>5401.9833224872355</v>
      </c>
      <c r="AW39" s="273"/>
      <c r="AX39" s="155">
        <f t="shared" si="7"/>
        <v>11729.910064086318</v>
      </c>
      <c r="AZ39" s="146">
        <f>+IF(AZ38&gt;$G$13+$G$14,XX,AZ38+1)</f>
        <v>2029</v>
      </c>
      <c r="BA39" s="117"/>
      <c r="BB39" s="154">
        <f t="shared" si="16"/>
        <v>77.004619493867168</v>
      </c>
      <c r="BD39" s="154">
        <f t="shared" si="17"/>
        <v>8.6752385237190293</v>
      </c>
      <c r="BF39" s="153">
        <f t="shared" si="8"/>
        <v>-1626.1491628324206</v>
      </c>
      <c r="BH39" s="157"/>
    </row>
    <row r="40" spans="2:60" ht="12">
      <c r="B40" s="2"/>
      <c r="C40">
        <f>+IF(C39&gt;$G$13+$G$14,XX,C39+1)</f>
        <v>2030</v>
      </c>
      <c r="E40" s="169">
        <f>'(2.2)_Forward_Price_Curve'!S45</f>
        <v>2.1999999999999999E-2</v>
      </c>
      <c r="G40" s="18">
        <v>175410.84873159794</v>
      </c>
      <c r="I40" s="28">
        <f t="shared" si="9"/>
        <v>0</v>
      </c>
      <c r="K40" s="28">
        <v>43.134199032631315</v>
      </c>
      <c r="M40" s="28">
        <f t="shared" si="10"/>
        <v>0</v>
      </c>
      <c r="O40" s="270">
        <f>'(2.2)_Forward_Price_Curve'!AD44</f>
        <v>1.0977895859175892</v>
      </c>
      <c r="Q40" s="28"/>
      <c r="S40" s="18">
        <f t="shared" si="5"/>
        <v>7758.7706646660436</v>
      </c>
      <c r="U40" s="18">
        <f t="shared" si="0"/>
        <v>12486.177098359374</v>
      </c>
      <c r="W40" s="18">
        <f t="shared" si="1"/>
        <v>-4727.4064336933307</v>
      </c>
      <c r="Y40" s="271">
        <f t="shared" si="6"/>
        <v>-26.950479219942061</v>
      </c>
      <c r="Z40" s="235"/>
      <c r="AB40" s="146">
        <f>+IF(AB39&gt;$G$13+$G$14,XX,AB39+1)</f>
        <v>2030</v>
      </c>
      <c r="AC40" s="117"/>
      <c r="AD40" s="151">
        <f t="shared" si="2"/>
        <v>175410.84873159794</v>
      </c>
      <c r="AF40" s="154">
        <f t="shared" si="11"/>
        <v>123.02115461911193</v>
      </c>
      <c r="AH40" s="154">
        <f t="shared" si="12"/>
        <v>25.773735899411612</v>
      </c>
      <c r="AJ40" s="154">
        <f t="shared" si="13"/>
        <v>2.9646928878195093</v>
      </c>
      <c r="AL40" s="153">
        <f t="shared" si="14"/>
        <v>4802.4509651023873</v>
      </c>
      <c r="AN40" s="154">
        <f>INDEX('(2.2)_Forward_Price_Curve'!$L:$L,MATCH($AB40,'(2.2)_Forward_Price_Curve'!$C:$C,0),1)</f>
        <v>4.8100083333333341</v>
      </c>
      <c r="AP40" s="154">
        <f t="shared" si="18"/>
        <v>31.26937749888673</v>
      </c>
      <c r="AR40" s="154">
        <f t="shared" si="15"/>
        <v>3.0603217893050423</v>
      </c>
      <c r="AS40" s="154"/>
      <c r="AT40" s="153">
        <f t="shared" si="3"/>
        <v>6464.3754095171216</v>
      </c>
      <c r="AV40" s="153">
        <f t="shared" si="4"/>
        <v>6021.8016888422517</v>
      </c>
      <c r="AW40" s="273"/>
      <c r="AX40" s="155">
        <f t="shared" si="7"/>
        <v>12486.177098359374</v>
      </c>
      <c r="AZ40" s="146">
        <f>+IF(AZ39&gt;$G$13+$G$14,XX,AZ39+1)</f>
        <v>2030</v>
      </c>
      <c r="BA40" s="117"/>
      <c r="BB40" s="154">
        <f t="shared" si="16"/>
        <v>78.698721122732252</v>
      </c>
      <c r="BD40" s="154">
        <f t="shared" si="17"/>
        <v>8.8660937712408483</v>
      </c>
      <c r="BF40" s="153">
        <f t="shared" si="8"/>
        <v>-1661.9244444147341</v>
      </c>
      <c r="BH40" s="157"/>
    </row>
    <row r="41" spans="2:60" ht="12">
      <c r="B41" s="2"/>
      <c r="C41">
        <f>+IF(C40&gt;$G$13+$G$14,XX,C40+1)</f>
        <v>2031</v>
      </c>
      <c r="E41" s="169">
        <f>'(2.2)_Forward_Price_Curve'!S46</f>
        <v>2.1999999999999999E-2</v>
      </c>
      <c r="G41" s="18">
        <v>174477.96276269871</v>
      </c>
      <c r="I41" s="28">
        <f t="shared" si="9"/>
        <v>0</v>
      </c>
      <c r="K41" s="28">
        <v>43.13419935656465</v>
      </c>
      <c r="M41" s="28">
        <f t="shared" si="10"/>
        <v>0</v>
      </c>
      <c r="O41" s="270">
        <f>'(2.2)_Forward_Price_Curve'!AD45</f>
        <v>1.1218057776996744</v>
      </c>
      <c r="Q41" s="28"/>
      <c r="S41" s="18">
        <f t="shared" si="5"/>
        <v>7721.6976158419748</v>
      </c>
      <c r="U41" s="18">
        <f t="shared" si="0"/>
        <v>12958.086696953666</v>
      </c>
      <c r="W41" s="18">
        <f t="shared" si="1"/>
        <v>-5236.3890811116908</v>
      </c>
      <c r="Y41" s="271">
        <f t="shared" si="6"/>
        <v>-30.011750470937802</v>
      </c>
      <c r="Z41" s="235"/>
      <c r="AB41" s="146">
        <f>+IF(AB40&gt;$G$13+$G$14,XX,AB40+1)</f>
        <v>2031</v>
      </c>
      <c r="AC41" s="117"/>
      <c r="AD41" s="151">
        <f t="shared" si="2"/>
        <v>174477.96276269871</v>
      </c>
      <c r="AF41" s="154">
        <f t="shared" si="11"/>
        <v>125.72762002073239</v>
      </c>
      <c r="AH41" s="154">
        <f t="shared" si="12"/>
        <v>26.340758089198669</v>
      </c>
      <c r="AJ41" s="154">
        <f t="shared" si="13"/>
        <v>3.0299161313515386</v>
      </c>
      <c r="AL41" s="153">
        <f t="shared" si="14"/>
        <v>4905.2783200887598</v>
      </c>
      <c r="AN41" s="154">
        <f>INDEX('(2.2)_Forward_Price_Curve'!$L:$L,MATCH($AB41,'(2.2)_Forward_Price_Curve'!$C:$C,0),1)</f>
        <v>5.1210458333333335</v>
      </c>
      <c r="AP41" s="154">
        <f t="shared" si="18"/>
        <v>33.291400815646746</v>
      </c>
      <c r="AR41" s="154">
        <f t="shared" si="15"/>
        <v>3.1276488686697532</v>
      </c>
      <c r="AS41" s="154"/>
      <c r="AT41" s="153">
        <f t="shared" si="3"/>
        <v>6603.7651022806176</v>
      </c>
      <c r="AV41" s="153">
        <f t="shared" si="4"/>
        <v>6354.3215946730479</v>
      </c>
      <c r="AW41" s="273"/>
      <c r="AX41" s="155">
        <f t="shared" si="7"/>
        <v>12958.086696953666</v>
      </c>
      <c r="AZ41" s="146">
        <f>+IF(AZ40&gt;$G$13+$G$14,XX,AZ40+1)</f>
        <v>2031</v>
      </c>
      <c r="BA41" s="117"/>
      <c r="BB41" s="154">
        <f t="shared" si="16"/>
        <v>80.43009298743236</v>
      </c>
      <c r="BD41" s="154">
        <f t="shared" si="17"/>
        <v>9.061147834208148</v>
      </c>
      <c r="BF41" s="153">
        <f t="shared" si="8"/>
        <v>-1698.4867821918579</v>
      </c>
      <c r="BH41" s="157"/>
    </row>
    <row r="42" spans="2:60" ht="12">
      <c r="B42" s="2"/>
      <c r="C42">
        <f>+IF(C41&gt;$G$13+$G$14,XX,C41+1)</f>
        <v>2032</v>
      </c>
      <c r="E42" s="169">
        <f>'(2.2)_Forward_Price_Curve'!S47</f>
        <v>2.1999999999999999E-2</v>
      </c>
      <c r="G42" s="18">
        <v>173545.07679379947</v>
      </c>
      <c r="I42" s="28">
        <f t="shared" si="9"/>
        <v>0</v>
      </c>
      <c r="K42" s="28">
        <v>43.13419968398059</v>
      </c>
      <c r="M42" s="28">
        <f t="shared" si="10"/>
        <v>0</v>
      </c>
      <c r="O42" s="270">
        <f>'(2.2)_Forward_Price_Curve'!AD46</f>
        <v>1.1460041088775619</v>
      </c>
      <c r="Q42" s="28"/>
      <c r="S42" s="18">
        <f t="shared" si="5"/>
        <v>7684.6113676766581</v>
      </c>
      <c r="U42" s="18">
        <f t="shared" si="0"/>
        <v>13419.285610453604</v>
      </c>
      <c r="W42" s="18">
        <f t="shared" si="1"/>
        <v>-5734.6742427769459</v>
      </c>
      <c r="Y42" s="271">
        <f t="shared" si="6"/>
        <v>-33.044292288341296</v>
      </c>
      <c r="Z42" s="235"/>
      <c r="AB42" s="146">
        <f>+IF(AB41&gt;$G$13+$G$14,XX,AB41+1)</f>
        <v>2032</v>
      </c>
      <c r="AC42" s="117"/>
      <c r="AD42" s="151">
        <f t="shared" si="2"/>
        <v>173545.07679379947</v>
      </c>
      <c r="AF42" s="154">
        <f t="shared" si="11"/>
        <v>128.4936276611885</v>
      </c>
      <c r="AH42" s="154">
        <f t="shared" si="12"/>
        <v>26.92025476716104</v>
      </c>
      <c r="AJ42" s="154">
        <f t="shared" si="13"/>
        <v>3.0965742862412724</v>
      </c>
      <c r="AL42" s="153">
        <f t="shared" si="14"/>
        <v>5010.3056924274251</v>
      </c>
      <c r="AN42" s="154">
        <f>INDEX('(2.2)_Forward_Price_Curve'!$L:$L,MATCH($AB42,'(2.2)_Forward_Price_Curve'!$C:$C,0),1)</f>
        <v>5.4231541666666665</v>
      </c>
      <c r="AP42" s="154">
        <f t="shared" si="18"/>
        <v>35.255376523358855</v>
      </c>
      <c r="AR42" s="154">
        <f t="shared" si="15"/>
        <v>3.1964571437804881</v>
      </c>
      <c r="AS42" s="154"/>
      <c r="AT42" s="153">
        <f t="shared" si="3"/>
        <v>6746.1591838275044</v>
      </c>
      <c r="AV42" s="153">
        <f t="shared" si="4"/>
        <v>6673.1264266261005</v>
      </c>
      <c r="AW42" s="273"/>
      <c r="AX42" s="155">
        <f t="shared" si="7"/>
        <v>13419.285610453604</v>
      </c>
      <c r="AZ42" s="146">
        <f>+IF(AZ41&gt;$G$13+$G$14,XX,AZ41+1)</f>
        <v>2032</v>
      </c>
      <c r="BA42" s="117"/>
      <c r="BB42" s="154">
        <f t="shared" si="16"/>
        <v>82.199555033155875</v>
      </c>
      <c r="BD42" s="154">
        <f t="shared" si="17"/>
        <v>9.2604930865607269</v>
      </c>
      <c r="BF42" s="153">
        <f t="shared" si="8"/>
        <v>-1735.8534914000791</v>
      </c>
      <c r="BH42" s="157"/>
    </row>
    <row r="43" spans="2:60" ht="12">
      <c r="B43" s="2"/>
      <c r="C43">
        <f>+IF(C42&gt;$G$13+$G$14,XX,C42+1)</f>
        <v>2033</v>
      </c>
      <c r="E43" s="169">
        <f>'(2.2)_Forward_Price_Curve'!S48</f>
        <v>2.1999999999999999E-2</v>
      </c>
      <c r="G43" s="18">
        <v>172612.1908249002</v>
      </c>
      <c r="I43" s="28">
        <f t="shared" si="9"/>
        <v>0</v>
      </c>
      <c r="K43" s="28">
        <v>43.134200014935573</v>
      </c>
      <c r="M43" s="28">
        <f t="shared" si="10"/>
        <v>0</v>
      </c>
      <c r="O43" s="270">
        <f>'(2.2)_Forward_Price_Curve'!AD47</f>
        <v>1.1705802944541936</v>
      </c>
      <c r="Q43" s="28"/>
      <c r="S43" s="18">
        <f t="shared" si="5"/>
        <v>7647.5451932196684</v>
      </c>
      <c r="U43" s="18">
        <f t="shared" si="0"/>
        <v>13896.877620772644</v>
      </c>
      <c r="W43" s="18">
        <f t="shared" si="1"/>
        <v>-6249.3324275529758</v>
      </c>
      <c r="Y43" s="271">
        <f t="shared" si="6"/>
        <v>-36.204467353597117</v>
      </c>
      <c r="Z43" s="235"/>
      <c r="AB43" s="146">
        <f>+IF(AB42&gt;$G$13+$G$14,XX,AB42+1)</f>
        <v>2033</v>
      </c>
      <c r="AC43" s="117"/>
      <c r="AD43" s="151">
        <f t="shared" si="2"/>
        <v>172612.1908249002</v>
      </c>
      <c r="AF43" s="154">
        <f t="shared" si="11"/>
        <v>131.32048746973464</v>
      </c>
      <c r="AH43" s="154">
        <f t="shared" si="12"/>
        <v>27.512500372038584</v>
      </c>
      <c r="AJ43" s="154">
        <f t="shared" si="13"/>
        <v>3.1646989205385805</v>
      </c>
      <c r="AL43" s="153">
        <f t="shared" si="14"/>
        <v>5117.5801144420666</v>
      </c>
      <c r="AN43" s="154">
        <f>INDEX('(2.2)_Forward_Price_Curve'!$L:$L,MATCH($AB43,'(2.2)_Forward_Price_Curve'!$C:$C,0),1)</f>
        <v>5.7402833333333332</v>
      </c>
      <c r="AP43" s="154">
        <f t="shared" si="18"/>
        <v>37.317001148764703</v>
      </c>
      <c r="AR43" s="154">
        <f t="shared" si="15"/>
        <v>3.2667792009436587</v>
      </c>
      <c r="AS43" s="154"/>
      <c r="AT43" s="153">
        <f t="shared" si="3"/>
        <v>6891.6223826529476</v>
      </c>
      <c r="AV43" s="153">
        <f t="shared" si="4"/>
        <v>7005.2552381196956</v>
      </c>
      <c r="AW43" s="273"/>
      <c r="AX43" s="155">
        <f t="shared" si="7"/>
        <v>13896.877620772644</v>
      </c>
      <c r="AZ43" s="146">
        <f>+IF(AZ42&gt;$G$13+$G$14,XX,AZ42+1)</f>
        <v>2033</v>
      </c>
      <c r="BA43" s="117"/>
      <c r="BB43" s="154">
        <f t="shared" si="16"/>
        <v>84.007945243885302</v>
      </c>
      <c r="BD43" s="154">
        <f t="shared" si="17"/>
        <v>9.4642239344650623</v>
      </c>
      <c r="BF43" s="153">
        <f t="shared" si="8"/>
        <v>-1774.0422682108808</v>
      </c>
      <c r="BH43" s="157"/>
    </row>
    <row r="44" spans="2:60" ht="12">
      <c r="B44" s="2"/>
      <c r="C44">
        <f>+IF(C43&gt;$G$13+$G$14,XX,C43+1)</f>
        <v>2034</v>
      </c>
      <c r="E44" s="169">
        <f>'(2.2)_Forward_Price_Curve'!S49</f>
        <v>2.1999999999999999E-2</v>
      </c>
      <c r="G44" s="18">
        <v>171679.30485600099</v>
      </c>
      <c r="I44" s="28">
        <f t="shared" si="9"/>
        <v>0</v>
      </c>
      <c r="K44" s="28">
        <v>43.134200349487301</v>
      </c>
      <c r="M44" s="28">
        <f t="shared" si="10"/>
        <v>0</v>
      </c>
      <c r="O44" s="270">
        <f>'(2.2)_Forward_Price_Curve'!AD48</f>
        <v>1.1951742037401478</v>
      </c>
      <c r="Q44" s="28"/>
      <c r="S44" s="18">
        <f t="shared" si="5"/>
        <v>7610.436207999388</v>
      </c>
      <c r="U44" s="18">
        <f t="shared" si="0"/>
        <v>14364.313147989331</v>
      </c>
      <c r="W44" s="18">
        <f t="shared" si="1"/>
        <v>-6753.8769399899429</v>
      </c>
      <c r="Y44" s="271">
        <f t="shared" si="6"/>
        <v>-39.340076229076502</v>
      </c>
      <c r="Z44" s="235"/>
      <c r="AB44" s="146">
        <f>+IF(AB43&gt;$G$13+$G$14,XX,AB43+1)</f>
        <v>2034</v>
      </c>
      <c r="AC44" s="117"/>
      <c r="AD44" s="151">
        <f t="shared" si="2"/>
        <v>171679.30485600099</v>
      </c>
      <c r="AF44" s="154">
        <f t="shared" si="11"/>
        <v>134.20953819406881</v>
      </c>
      <c r="AH44" s="154">
        <f t="shared" si="12"/>
        <v>28.117775380223435</v>
      </c>
      <c r="AJ44" s="154">
        <f t="shared" si="13"/>
        <v>3.2343222967904293</v>
      </c>
      <c r="AL44" s="153">
        <f t="shared" si="14"/>
        <v>5227.1496230702187</v>
      </c>
      <c r="AN44" s="154">
        <f>INDEX('(2.2)_Forward_Price_Curve'!$L:$L,MATCH($AB44,'(2.2)_Forward_Price_Curve'!$C:$C,0),1)</f>
        <v>6.0488291666666667</v>
      </c>
      <c r="AP44" s="154">
        <f t="shared" si="18"/>
        <v>39.322826392631285</v>
      </c>
      <c r="AR44" s="154">
        <f t="shared" si="15"/>
        <v>3.3386483433644192</v>
      </c>
      <c r="AS44" s="154"/>
      <c r="AT44" s="153">
        <f t="shared" si="3"/>
        <v>7040.2208211817388</v>
      </c>
      <c r="AV44" s="153">
        <f t="shared" si="4"/>
        <v>7324.0923268075912</v>
      </c>
      <c r="AW44" s="273"/>
      <c r="AX44" s="155">
        <f t="shared" si="7"/>
        <v>14364.313147989331</v>
      </c>
      <c r="AZ44" s="146">
        <f>+IF(AZ43&gt;$G$13+$G$14,XX,AZ43+1)</f>
        <v>2034</v>
      </c>
      <c r="BA44" s="117"/>
      <c r="BB44" s="154">
        <f t="shared" si="16"/>
        <v>85.856120039250783</v>
      </c>
      <c r="BD44" s="154">
        <f t="shared" si="17"/>
        <v>9.6724368610232947</v>
      </c>
      <c r="BF44" s="153">
        <f t="shared" si="8"/>
        <v>-1813.0711981115203</v>
      </c>
      <c r="BH44" s="157"/>
    </row>
    <row r="45" spans="2:60" ht="12">
      <c r="B45" s="2"/>
      <c r="C45">
        <f>+IF(C44&gt;$G$13+$G$14,XX,C44+1)</f>
        <v>2035</v>
      </c>
      <c r="E45" s="169">
        <f>'(2.2)_Forward_Price_Curve'!S50</f>
        <v>2.1999999999999999E-2</v>
      </c>
      <c r="G45" s="18">
        <v>170746.41888710175</v>
      </c>
      <c r="I45" s="28">
        <f t="shared" si="9"/>
        <v>0</v>
      </c>
      <c r="K45" s="28">
        <v>43.134200687694729</v>
      </c>
      <c r="M45" s="28">
        <f t="shared" si="10"/>
        <v>0</v>
      </c>
      <c r="O45" s="270">
        <f>'(2.2)_Forward_Price_Curve'!AD49</f>
        <v>1.2202670165885168</v>
      </c>
      <c r="Q45" s="28"/>
      <c r="S45" s="18">
        <f t="shared" si="5"/>
        <v>7573.3665221499732</v>
      </c>
      <c r="U45" s="18">
        <f t="shared" si="0"/>
        <v>14134.886044824267</v>
      </c>
      <c r="W45" s="18">
        <f t="shared" si="1"/>
        <v>-6561.5195226742935</v>
      </c>
      <c r="Y45" s="271">
        <f t="shared" si="6"/>
        <v>-38.428445910849803</v>
      </c>
      <c r="Z45" s="235"/>
      <c r="AB45" s="146">
        <f>+IF(AB44&gt;$G$13+$G$14,XX,AB44+1)</f>
        <v>2035</v>
      </c>
      <c r="AC45" s="117"/>
      <c r="AD45" s="151">
        <f t="shared" si="2"/>
        <v>170746.41888710175</v>
      </c>
      <c r="AF45" s="154">
        <f t="shared" si="11"/>
        <v>137.16214803433832</v>
      </c>
      <c r="AH45" s="154">
        <f t="shared" si="12"/>
        <v>28.736366438588352</v>
      </c>
      <c r="AJ45" s="154">
        <f t="shared" si="13"/>
        <v>3.3054773873198187</v>
      </c>
      <c r="AL45" s="153">
        <f t="shared" si="14"/>
        <v>5339.0632813026195</v>
      </c>
      <c r="AN45" s="154">
        <f>INDEX('(2.2)_Forward_Price_Curve'!$L:$L,MATCH($AB45,'(2.2)_Forward_Price_Curve'!$C:$C,0),1)</f>
        <v>5.7299374999999992</v>
      </c>
      <c r="AP45" s="154">
        <f t="shared" si="18"/>
        <v>37.24974393305498</v>
      </c>
      <c r="AR45" s="154">
        <f t="shared" si="15"/>
        <v>3.4120986069184362</v>
      </c>
      <c r="AS45" s="154"/>
      <c r="AT45" s="153">
        <f t="shared" si="3"/>
        <v>7192.0220457725936</v>
      </c>
      <c r="AV45" s="153">
        <f t="shared" si="4"/>
        <v>6942.863999051674</v>
      </c>
      <c r="AW45" s="273"/>
      <c r="AX45" s="155">
        <f t="shared" si="7"/>
        <v>14134.886044824267</v>
      </c>
      <c r="AZ45" s="146">
        <f>+IF(AZ44&gt;$G$13+$G$14,XX,AZ44+1)</f>
        <v>2035</v>
      </c>
      <c r="BA45" s="117"/>
      <c r="BB45" s="154">
        <f t="shared" si="16"/>
        <v>87.744954680114304</v>
      </c>
      <c r="BD45" s="154">
        <f t="shared" si="17"/>
        <v>9.8852304719658068</v>
      </c>
      <c r="BF45" s="153">
        <f t="shared" si="8"/>
        <v>-1852.9587644699736</v>
      </c>
      <c r="BH45" s="157"/>
    </row>
    <row r="46" spans="2:60" ht="12">
      <c r="B46" s="2"/>
      <c r="C46">
        <f>+IF(C45&gt;$G$13+$G$14,XX,C45+1)</f>
        <v>2036</v>
      </c>
      <c r="E46" s="169">
        <f>'(2.2)_Forward_Price_Curve'!S51</f>
        <v>2.1999999999999999E-2</v>
      </c>
      <c r="G46" s="18">
        <v>169813.53291820252</v>
      </c>
      <c r="I46" s="28">
        <f t="shared" si="9"/>
        <v>0</v>
      </c>
      <c r="K46" s="28">
        <v>43.13420102961809</v>
      </c>
      <c r="M46" s="28">
        <f t="shared" si="10"/>
        <v>0</v>
      </c>
      <c r="O46" s="270">
        <f>'(2.2)_Forward_Price_Curve'!AD50</f>
        <v>1.2456969570142082</v>
      </c>
      <c r="Q46" s="28"/>
      <c r="S46" s="18">
        <f t="shared" si="5"/>
        <v>7536.3072676594538</v>
      </c>
      <c r="U46" s="18">
        <f t="shared" si="0"/>
        <v>14317.68439827043</v>
      </c>
      <c r="W46" s="18">
        <f t="shared" si="1"/>
        <v>-6781.3771306109766</v>
      </c>
      <c r="Y46" s="271">
        <f t="shared" si="6"/>
        <v>-39.934256204877961</v>
      </c>
      <c r="Z46" s="235"/>
      <c r="AB46" s="146">
        <f>+IF(AB45&gt;$G$13+$G$14,XX,AB45+1)</f>
        <v>2036</v>
      </c>
      <c r="AC46" s="117"/>
      <c r="AD46" s="151">
        <f t="shared" si="2"/>
        <v>169813.53291820252</v>
      </c>
      <c r="AF46" s="154">
        <f t="shared" si="11"/>
        <v>140.17971529109377</v>
      </c>
      <c r="AH46" s="154">
        <f t="shared" si="12"/>
        <v>29.368566500237296</v>
      </c>
      <c r="AJ46" s="154">
        <f t="shared" si="13"/>
        <v>3.3781978898408549</v>
      </c>
      <c r="AL46" s="153">
        <f t="shared" si="14"/>
        <v>5453.3712000796795</v>
      </c>
      <c r="AN46" s="154">
        <f>INDEX('(2.2)_Forward_Price_Curve'!$L:$L,MATCH($AB46,'(2.2)_Forward_Price_Curve'!$C:$C,0),1)</f>
        <v>5.7778666666666672</v>
      </c>
      <c r="AP46" s="154">
        <f t="shared" si="18"/>
        <v>37.561326596087184</v>
      </c>
      <c r="AR46" s="154">
        <f t="shared" si="15"/>
        <v>3.4871647762706419</v>
      </c>
      <c r="AS46" s="154"/>
      <c r="AT46" s="153">
        <f t="shared" si="3"/>
        <v>7347.0950573679929</v>
      </c>
      <c r="AV46" s="153">
        <f t="shared" si="4"/>
        <v>6970.5893409024375</v>
      </c>
      <c r="AW46" s="273"/>
      <c r="AX46" s="155">
        <f t="shared" si="7"/>
        <v>14317.68439827043</v>
      </c>
      <c r="AZ46" s="146">
        <f>+IF(AZ45&gt;$G$13+$G$14,XX,AZ45+1)</f>
        <v>2036</v>
      </c>
      <c r="BA46" s="117"/>
      <c r="BB46" s="154">
        <f t="shared" si="16"/>
        <v>89.675343683076818</v>
      </c>
      <c r="BD46" s="154">
        <f t="shared" si="17"/>
        <v>10.102705542349055</v>
      </c>
      <c r="BF46" s="153">
        <f t="shared" si="8"/>
        <v>-1893.723857288313</v>
      </c>
      <c r="BH46" s="157"/>
    </row>
    <row r="47" spans="2:60" ht="12">
      <c r="B47" s="2"/>
      <c r="C47">
        <f>+IF(C46&gt;$G$13+$G$14,XX,C46+1)</f>
        <v>2037</v>
      </c>
      <c r="E47" s="169">
        <f>'(2.2)_Forward_Price_Curve'!S52</f>
        <v>2.1999999999999999E-2</v>
      </c>
      <c r="G47" s="18">
        <v>168880.64694930325</v>
      </c>
      <c r="I47" s="28">
        <f t="shared" si="9"/>
        <v>0</v>
      </c>
      <c r="K47" s="28">
        <v>43.134201375318987</v>
      </c>
      <c r="M47" s="28"/>
      <c r="O47" s="270">
        <f>'(2.2)_Forward_Price_Curve'!AD51</f>
        <v>1.2716748240280993</v>
      </c>
      <c r="Q47" s="28"/>
      <c r="S47" s="18">
        <f t="shared" si="5"/>
        <v>7499.2931008964033</v>
      </c>
      <c r="U47" s="18">
        <f t="shared" si="0"/>
        <v>14824.488383069085</v>
      </c>
      <c r="W47" s="18">
        <f t="shared" si="1"/>
        <v>-7325.1952821726818</v>
      </c>
      <c r="Y47" s="271">
        <f t="shared" si="6"/>
        <v>-43.374983543091545</v>
      </c>
      <c r="Z47" s="235"/>
      <c r="AB47" s="146">
        <f>+IF(AB46&gt;$G$13+$G$14,XX,AB46+1)</f>
        <v>2037</v>
      </c>
      <c r="AC47" s="117"/>
      <c r="AD47" s="151">
        <f t="shared" si="2"/>
        <v>168880.64694930325</v>
      </c>
      <c r="AF47" s="154">
        <f t="shared" si="11"/>
        <v>143.26366902749783</v>
      </c>
      <c r="AH47" s="154">
        <f t="shared" si="12"/>
        <v>30.014674963242516</v>
      </c>
      <c r="AJ47" s="154">
        <f t="shared" si="13"/>
        <v>3.4525182434173538</v>
      </c>
      <c r="AL47" s="153">
        <f t="shared" si="14"/>
        <v>5570.12456065478</v>
      </c>
      <c r="AN47" s="154">
        <f>INDEX('(2.2)_Forward_Price_Curve'!$L:$L,MATCH($AB47,'(2.2)_Forward_Price_Curve'!$C:$C,0),1)</f>
        <v>6.1182749999999997</v>
      </c>
      <c r="AP47" s="154">
        <f t="shared" si="18"/>
        <v>39.774286728609511</v>
      </c>
      <c r="AR47" s="154">
        <f t="shared" si="15"/>
        <v>3.5638824013485961</v>
      </c>
      <c r="AS47" s="154"/>
      <c r="AT47" s="153">
        <f t="shared" si="3"/>
        <v>7505.5103428034363</v>
      </c>
      <c r="AV47" s="153">
        <f t="shared" si="4"/>
        <v>7318.9780402656479</v>
      </c>
      <c r="AW47" s="273"/>
      <c r="AX47" s="155">
        <f t="shared" si="7"/>
        <v>14824.488383069085</v>
      </c>
      <c r="AZ47" s="146">
        <f>+IF(AZ46&gt;$G$13+$G$14,XX,AZ46+1)</f>
        <v>2037</v>
      </c>
      <c r="BA47" s="117"/>
      <c r="BB47" s="154">
        <f t="shared" si="16"/>
        <v>91.648201244104513</v>
      </c>
      <c r="BD47" s="154">
        <f t="shared" si="17"/>
        <v>10.324965064280734</v>
      </c>
      <c r="BF47" s="153">
        <f t="shared" si="8"/>
        <v>-1935.3857821486561</v>
      </c>
      <c r="BH47" s="157"/>
    </row>
    <row r="48" spans="2:60" ht="12">
      <c r="B48" s="2"/>
      <c r="C48">
        <f>+IF(C47&gt;$G$13+$G$14,XX,C47+1)</f>
        <v>2038</v>
      </c>
      <c r="E48" s="169">
        <f>'(2.2)_Forward_Price_Curve'!S53</f>
        <v>2.1999999999999999E-2</v>
      </c>
      <c r="G48" s="18">
        <v>163499.06679246551</v>
      </c>
      <c r="I48" s="28">
        <f t="shared" si="9"/>
        <v>0</v>
      </c>
      <c r="K48" s="28">
        <v>43.165535994839473</v>
      </c>
      <c r="M48" s="28"/>
      <c r="O48" s="270">
        <f>'(2.2)_Forward_Price_Curve'!AD52</f>
        <v>1.2982351222983386</v>
      </c>
      <c r="Q48" s="28"/>
      <c r="S48" s="18">
        <f t="shared" ref="S48" si="19">(I48*$G$11*1000+(K48+M48+O48+Q48)*G48)/1000</f>
        <v>7269.7850837258138</v>
      </c>
      <c r="U48" s="18">
        <f t="shared" ref="U48" si="20">AX48</f>
        <v>15274.84188503123</v>
      </c>
      <c r="W48" s="18">
        <f t="shared" ref="W48" si="21">S48-U48</f>
        <v>-8005.0568013054162</v>
      </c>
      <c r="Y48" s="271">
        <f t="shared" ref="Y48" si="22">+W48*1000/G48</f>
        <v>-48.9608715104563</v>
      </c>
      <c r="Z48" s="235"/>
      <c r="AB48" s="146">
        <f>+IF(AB47&gt;$G$13+$G$14,XX,AB47+1)</f>
        <v>2038</v>
      </c>
      <c r="AC48" s="117"/>
      <c r="AD48" s="151">
        <f t="shared" ref="AD48" si="23">G48</f>
        <v>163499.06679246551</v>
      </c>
      <c r="AF48" s="154">
        <f t="shared" si="11"/>
        <v>146.41546974610279</v>
      </c>
      <c r="AH48" s="154">
        <f t="shared" si="12"/>
        <v>30.674997812433851</v>
      </c>
      <c r="AJ48" s="154">
        <f t="shared" si="13"/>
        <v>3.5284736447725358</v>
      </c>
      <c r="AL48" s="153">
        <f t="shared" ref="AL48" si="24">((AF48+AH48)*$AF$11*1000+AJ48*AD48)/1000</f>
        <v>5673.6785372385511</v>
      </c>
      <c r="AN48" s="154">
        <f>INDEX('(2.2)_Forward_Price_Curve'!$L:$L,MATCH($AB48,'(2.2)_Forward_Price_Curve'!$C:$C,0),1)</f>
        <v>6.6118625</v>
      </c>
      <c r="AP48" s="154">
        <f t="shared" ref="AP48" si="25">AN48*$AF$14/1000+$AJ$14*(1+E48)</f>
        <v>42.983049124980646</v>
      </c>
      <c r="AR48" s="154">
        <f t="shared" si="15"/>
        <v>3.6422878141782653</v>
      </c>
      <c r="AS48" s="154"/>
      <c r="AT48" s="153">
        <f t="shared" ref="AT48" si="26">AL48-BF48</f>
        <v>7651.6428065944774</v>
      </c>
      <c r="AV48" s="153">
        <f t="shared" ref="AV48" si="27">(AP48+AR48)*AD48/1000</f>
        <v>7623.1990784367526</v>
      </c>
      <c r="AW48" s="273"/>
      <c r="AX48" s="155">
        <f t="shared" ref="AX48" si="28">AT48+AV48</f>
        <v>15274.84188503123</v>
      </c>
      <c r="AZ48" s="146">
        <f>+IF(AZ47&gt;$G$13+$G$14,XX,AZ47+1)</f>
        <v>2038</v>
      </c>
      <c r="BA48" s="117"/>
      <c r="BB48" s="154">
        <f t="shared" si="16"/>
        <v>93.664461671474811</v>
      </c>
      <c r="BD48" s="154">
        <f t="shared" si="17"/>
        <v>10.55211429569491</v>
      </c>
      <c r="BF48" s="153">
        <f t="shared" ref="BF48" si="29">(BB48+BD48)*$BD$11</f>
        <v>-1977.9642693559263</v>
      </c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E50" s="169"/>
      <c r="G50" s="18"/>
      <c r="I50" s="28"/>
      <c r="K50" s="28"/>
      <c r="M50" s="28"/>
      <c r="O50" s="270"/>
      <c r="Q50" s="28"/>
      <c r="S50" s="18"/>
      <c r="U50" s="18"/>
      <c r="W50" s="18"/>
      <c r="Y50" s="271"/>
      <c r="Z50" s="235"/>
      <c r="AB50" s="146"/>
      <c r="AC50" s="117"/>
      <c r="AD50" s="151"/>
      <c r="AF50" s="154"/>
      <c r="AH50" s="154"/>
      <c r="AJ50" s="154"/>
      <c r="AL50" s="153"/>
      <c r="AN50" s="154"/>
      <c r="AP50" s="154"/>
      <c r="AR50" s="154"/>
      <c r="AS50" s="154"/>
      <c r="AT50" s="153"/>
      <c r="AV50" s="153"/>
      <c r="AW50" s="273"/>
      <c r="AX50" s="155"/>
      <c r="AZ50" s="146"/>
      <c r="BA50" s="117"/>
      <c r="BB50" s="154"/>
      <c r="BD50" s="154"/>
      <c r="BF50" s="153"/>
      <c r="BH50" s="157"/>
    </row>
    <row r="51" spans="2:60" ht="12">
      <c r="B51" s="2"/>
      <c r="E51" s="169"/>
      <c r="G51" s="18"/>
      <c r="I51" s="28"/>
      <c r="K51" s="28"/>
      <c r="M51" s="28"/>
      <c r="O51" s="270"/>
      <c r="Q51" s="28"/>
      <c r="S51" s="18"/>
      <c r="U51" s="18"/>
      <c r="W51" s="18"/>
      <c r="Y51" s="271"/>
      <c r="Z51" s="235"/>
      <c r="AB51" s="146"/>
      <c r="AC51" s="117"/>
      <c r="AD51" s="151"/>
      <c r="AF51" s="154"/>
      <c r="AH51" s="154"/>
      <c r="AJ51" s="154"/>
      <c r="AL51" s="153"/>
      <c r="AN51" s="154"/>
      <c r="AP51" s="154"/>
      <c r="AR51" s="154"/>
      <c r="AS51" s="154"/>
      <c r="AT51" s="153"/>
      <c r="AV51" s="153"/>
      <c r="AW51" s="273"/>
      <c r="AX51" s="155"/>
      <c r="AZ51" s="146"/>
      <c r="BA51" s="117"/>
      <c r="BB51" s="154"/>
      <c r="BD51" s="154"/>
      <c r="BF51" s="153"/>
      <c r="BH51" s="157"/>
    </row>
    <row r="52" spans="2:60" ht="12">
      <c r="B52" s="2"/>
      <c r="E52" s="169"/>
      <c r="G52" s="18"/>
      <c r="I52" s="28"/>
      <c r="K52" s="28"/>
      <c r="M52" s="28"/>
      <c r="O52" s="270"/>
      <c r="Q52" s="28" t="s">
        <v>299</v>
      </c>
      <c r="S52" s="18"/>
      <c r="U52" s="18"/>
      <c r="W52" s="18"/>
      <c r="Y52" s="271"/>
      <c r="Z52" s="235"/>
      <c r="AB52" s="146"/>
      <c r="AC52" s="117"/>
      <c r="AD52" s="151"/>
      <c r="AF52" s="154"/>
      <c r="AH52" s="154"/>
      <c r="AJ52" s="154"/>
      <c r="AL52" s="153"/>
      <c r="AN52" s="154"/>
      <c r="AP52" s="154"/>
      <c r="AR52" s="154"/>
      <c r="AS52" s="154"/>
      <c r="AT52" s="153"/>
      <c r="AV52" s="153"/>
      <c r="AW52" s="273"/>
      <c r="AX52" s="155"/>
      <c r="AZ52" s="146"/>
      <c r="BA52" s="117"/>
      <c r="BB52" s="154"/>
      <c r="BD52" s="154"/>
      <c r="BF52" s="153"/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20-year Nominal Levelized at 6.91%</v>
      </c>
      <c r="E58" s="169"/>
      <c r="G58" s="18">
        <f>+-PMT($G$18,$G$14,NPV($G$18,G28:G56))</f>
        <v>168253.20696740467</v>
      </c>
      <c r="I58" s="28">
        <f>+-PMT($G$18,$G$14,NPV($G$18,I28:I56))</f>
        <v>0</v>
      </c>
      <c r="J58" s="28"/>
      <c r="K58" s="28">
        <f>+-PMT($G$18,$G$14,NPV($G$18,K28:K56))</f>
        <v>43.98861122903331</v>
      </c>
      <c r="M58" s="28">
        <f>+-PMT($G$18,$G$14,NPV($G$18,M28:M56))</f>
        <v>0</v>
      </c>
      <c r="O58" s="28">
        <f>+-PMT($G$18,$G$14,NPV($G$18,O28:O56))</f>
        <v>0.96465304491348314</v>
      </c>
      <c r="Q58" s="28">
        <f>+-PMT($G$18,$G$14,NPV($G$18,Q28:Q56))</f>
        <v>0</v>
      </c>
      <c r="S58" s="18">
        <f>+-PMT($G$18,$G$14,NPV($G$18,S28:S56))</f>
        <v>7425.3085253970248</v>
      </c>
      <c r="U58" s="18">
        <f>+-PMT($G$18,$G$14,NPV($G$18,U28:U56))</f>
        <v>10548.341187205147</v>
      </c>
      <c r="W58" s="18">
        <f>+-PMT($G$18,$G$14,NPV($G$18,W28:W56))</f>
        <v>-3123.0326618081258</v>
      </c>
      <c r="Y58" s="271">
        <f>+-PMT($G$18,$G$14,NPV($G$18,Y28:Y56))</f>
        <v>-45.774671421023719</v>
      </c>
      <c r="Z58" s="235"/>
      <c r="AB58" s="2"/>
      <c r="AD58" s="151">
        <f>+-PMT($G$18,$G$14,NPV($G$18,AD28:AD56))</f>
        <v>168253.20696740467</v>
      </c>
      <c r="AF58" s="154">
        <f>+-PMT($G$18,$G$14,NPV($G$18,AF28:AF56))</f>
        <v>115.15649507069267</v>
      </c>
      <c r="AH58" s="154">
        <f>+-PMT($G$18,$G$14,NPV($G$18,AH28:AH56))</f>
        <v>24.126038324410541</v>
      </c>
      <c r="AJ58" s="154">
        <f>+-PMT($G$18,$G$14,NPV($G$18,AJ28:AJ56))</f>
        <v>2.7751620685022118</v>
      </c>
      <c r="AL58" s="153">
        <f>+-PMT($G$18,$G$14,NPV($G$18,AL28:AL56))</f>
        <v>4469.9042726354091</v>
      </c>
      <c r="AN58" s="154">
        <f>+-PMT($G$18,$G$14,NPV($G$18,AN28:AN56))</f>
        <v>3.7034548139941164</v>
      </c>
      <c r="AP58" s="154">
        <f>+-PMT($G$18,$G$14,NPV($G$18,AP28:AP56))</f>
        <v>24.075785030625656</v>
      </c>
      <c r="AR58" s="154">
        <f>+-PMT($G$18,$G$14,NPV($G$18,AR28:AR56))</f>
        <v>2.8646774787308824</v>
      </c>
      <c r="AS58" s="154"/>
      <c r="AT58" s="153">
        <f>+-PMT($G$18,$G$14,NPV($G$18,AT28:AT56))</f>
        <v>6025.5830067819734</v>
      </c>
      <c r="AV58" s="153">
        <f>+-PMT($G$18,$G$14,NPV($G$18,AV28:AV56))</f>
        <v>4522.7581804231722</v>
      </c>
      <c r="AW58" s="273"/>
      <c r="AX58" s="155">
        <f>+-PMT($G$18,$G$14,NPV($G$18,AX28:AX56))</f>
        <v>10548.341187205147</v>
      </c>
      <c r="AZ58" s="2"/>
      <c r="BB58" s="154">
        <f>+-PMT($G$18,$G$14,NPV($G$18,BB28:BB56))</f>
        <v>73.667564892386423</v>
      </c>
      <c r="BD58" s="154">
        <f>+-PMT($G$18,$G$14,NPV($G$18,BD28:BD56))</f>
        <v>8.2992903685979584</v>
      </c>
      <c r="BF58" s="153">
        <f>+-PMT($G$18,$G$14,NPV($G$18,BF28:BF56))</f>
        <v>-1555.6787341465656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E13F1-F3C9-4464-8086-878E6BDCEABD}">
  <sheetPr codeName="Sheet8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184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314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200.2</v>
      </c>
      <c r="H11" s="252"/>
      <c r="AB11" s="122" t="s">
        <v>99</v>
      </c>
      <c r="AC11" s="123"/>
      <c r="AD11" s="123"/>
      <c r="AE11" s="123"/>
      <c r="AF11" s="281">
        <f>+G11*(G12/AJ16)</f>
        <v>146.73512300865136</v>
      </c>
      <c r="AG11" s="127"/>
      <c r="AH11" s="123" t="s">
        <v>100</v>
      </c>
      <c r="AI11" s="124"/>
      <c r="AJ11" s="166">
        <f>'(2.1)_Proxy Resources'!N94</f>
        <v>7.5808934397681389</v>
      </c>
      <c r="AK11" s="235"/>
      <c r="AZ11" s="122" t="s">
        <v>99</v>
      </c>
      <c r="BA11" s="123"/>
      <c r="BB11" s="123"/>
      <c r="BC11" s="123"/>
      <c r="BD11" s="134">
        <f>(AF11*AF13-G11*G19)</f>
        <v>137.38578300865134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0.35687733575640224</v>
      </c>
      <c r="H12" s="252"/>
      <c r="AB12" s="122" t="s">
        <v>32</v>
      </c>
      <c r="AC12" s="123"/>
      <c r="AD12" s="123"/>
      <c r="AE12" s="123"/>
      <c r="AF12" s="131">
        <f>+AD58/8760/AF11</f>
        <v>0.46535596003058832</v>
      </c>
      <c r="AG12" s="127"/>
      <c r="AH12" s="117" t="s">
        <v>101</v>
      </c>
      <c r="AI12" s="118"/>
      <c r="AJ12" s="117">
        <v>2008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2010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Resources'!$O$94</f>
        <v>2.8538881199911357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20</v>
      </c>
      <c r="H14" s="252"/>
      <c r="AB14" s="122" t="s">
        <v>104</v>
      </c>
      <c r="AC14" s="123"/>
      <c r="AD14" s="123"/>
      <c r="AE14" s="123"/>
      <c r="AF14" s="134">
        <f>'(2.1)_Proxy Resources'!H94*(1+E28)</f>
        <v>7277.4747099407059</v>
      </c>
      <c r="AG14" s="127"/>
      <c r="AH14" s="117"/>
      <c r="AI14" s="118"/>
      <c r="AJ14" s="166"/>
      <c r="AK14" s="235"/>
      <c r="AZ14" s="122" t="s">
        <v>192</v>
      </c>
      <c r="BA14" s="123"/>
      <c r="BB14" s="123"/>
      <c r="BC14" s="123"/>
      <c r="BD14" s="167">
        <f>'(2.1)_Proxy Resources'!J95</f>
        <v>747</v>
      </c>
      <c r="BE14" s="132"/>
    </row>
    <row r="15" spans="1:57" ht="12">
      <c r="A15" t="s">
        <v>138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192</v>
      </c>
      <c r="AC15" s="123"/>
      <c r="AD15" s="123"/>
      <c r="AE15" s="123"/>
      <c r="AF15" s="167">
        <f>'(2.1)_Proxy Resources'!J94</f>
        <v>1174.8198494434653</v>
      </c>
      <c r="AG15" s="127"/>
      <c r="AH15" s="117" t="s">
        <v>145</v>
      </c>
      <c r="AI15" s="118"/>
      <c r="AJ15" s="166">
        <f>'(2.1)_Proxy Resources'!$P$81</f>
        <v>2.302423580786026</v>
      </c>
      <c r="AK15" s="235"/>
      <c r="AZ15" s="122" t="s">
        <v>108</v>
      </c>
      <c r="BA15" s="123"/>
      <c r="BB15" s="123"/>
      <c r="BC15" s="123"/>
      <c r="BD15" s="136">
        <f>'(2.1)_Proxy Resources'!K95</f>
        <v>8.6199999999999999E-2</v>
      </c>
      <c r="BE15" s="132"/>
    </row>
    <row r="16" spans="1:57" ht="12">
      <c r="A16" t="s">
        <v>138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Resources'!K92</f>
        <v>8.5860000000000006E-2</v>
      </c>
      <c r="AG16" s="127"/>
      <c r="AH16" s="117" t="s">
        <v>110</v>
      </c>
      <c r="AI16" s="124"/>
      <c r="AJ16" s="137">
        <f>'(2.1)_Proxy Resources'!$D$81</f>
        <v>0.48691029900332239</v>
      </c>
      <c r="AK16" s="235"/>
      <c r="AZ16" s="122" t="s">
        <v>100</v>
      </c>
      <c r="BA16" s="124"/>
      <c r="BB16" s="166">
        <f>'(2.1)_Proxy Resources'!N95</f>
        <v>4.24</v>
      </c>
      <c r="BE16" s="130"/>
    </row>
    <row r="17" spans="1:60" ht="12">
      <c r="A17" t="s">
        <v>138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'(2.2)_Forward_Price_Curve'!AA5</f>
        <v>7.3164524549999999E-2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'(2.2)_Forward_Price_Curve'!I103</f>
        <v>4.6699999999999998E-2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2010</v>
      </c>
      <c r="E28" s="169">
        <f>+INDEX('(2.2)_Forward_Price_Curve'!$U:$U,MATCH($C28,'(2.2)_Forward_Price_Curve'!C:C,0))</f>
        <v>1.7999999999999999E-2</v>
      </c>
      <c r="G28" s="18">
        <v>188825.12099999998</v>
      </c>
      <c r="I28" s="268">
        <f>$G$15*(1+E28)</f>
        <v>0</v>
      </c>
      <c r="J28" s="268"/>
      <c r="K28" s="268">
        <v>63.8</v>
      </c>
      <c r="L28" s="269"/>
      <c r="M28" s="268">
        <f>$G$17</f>
        <v>0</v>
      </c>
      <c r="O28" s="270">
        <f>'(2.2)_Forward_Price_Curve'!Y23</f>
        <v>5.2748738999999985</v>
      </c>
      <c r="Q28" s="28"/>
      <c r="S28" s="18">
        <f>(I28*$G$11*1000+(K28+M28+O28+Q28)*G28)/1000</f>
        <v>13043.071422227242</v>
      </c>
      <c r="U28" s="18">
        <f t="shared" ref="U28:U47" si="0">AX28</f>
        <v>22484.179463585893</v>
      </c>
      <c r="W28" s="18">
        <f t="shared" ref="W28:W47" si="1">S28-U28</f>
        <v>-9441.1080413586515</v>
      </c>
      <c r="Y28" s="271">
        <f>+W28*1000/G28</f>
        <v>-49.999216160219767</v>
      </c>
      <c r="Z28" s="235"/>
      <c r="AB28" s="146">
        <f>$C$28</f>
        <v>2010</v>
      </c>
      <c r="AC28" s="117"/>
      <c r="AD28" s="151">
        <f t="shared" ref="AD28:AD47" si="2">G28</f>
        <v>188825.12099999998</v>
      </c>
      <c r="AF28" s="152">
        <f>$AF$15*$AF$16*(1+E28)</f>
        <v>102.68569285413383</v>
      </c>
      <c r="AG28" s="272"/>
      <c r="AH28" s="152">
        <f>$AJ$11*(1+E28)</f>
        <v>7.7173495216839658</v>
      </c>
      <c r="AI28" s="272"/>
      <c r="AJ28" s="152">
        <f>$AJ$13*(1+E28)</f>
        <v>2.9052581061509763</v>
      </c>
      <c r="AK28" s="272"/>
      <c r="AL28" s="153">
        <f>((AF28+AH28)*$AF$11*1000+AJ28*AD28)/1000</f>
        <v>16748.589716975162</v>
      </c>
      <c r="AN28" s="154">
        <f>INDEX('(2.2)_Forward_Price_Curve'!$J:$J,MATCH($AB28,'(2.2)_Forward_Price_Curve'!$C:$C,0),1)</f>
        <v>10.836874999999999</v>
      </c>
      <c r="AO28" s="279"/>
      <c r="AP28" s="154">
        <f>AN28*$AF$14/1000+$AJ$14/(1+E29)</f>
        <v>78.865083747288679</v>
      </c>
      <c r="AQ28" s="272"/>
      <c r="AR28" s="152">
        <f>$AJ$15*(1+E28)</f>
        <v>2.3438672052401746</v>
      </c>
      <c r="AS28" s="152"/>
      <c r="AT28" s="153">
        <f>AL28-BF28</f>
        <v>7149.8894736915681</v>
      </c>
      <c r="AU28" s="272"/>
      <c r="AV28" s="153">
        <f t="shared" ref="AV28:AV47" si="3">(AP28+AR28)*AD28/1000</f>
        <v>15334.289989894325</v>
      </c>
      <c r="AW28" s="273"/>
      <c r="AX28" s="155">
        <f>AT28+AV28</f>
        <v>22484.179463585893</v>
      </c>
      <c r="AZ28" s="146">
        <f>$C$28</f>
        <v>2010</v>
      </c>
      <c r="BA28" s="117"/>
      <c r="BB28" s="152">
        <f>$BD$14*$BD$15*(1+E28)</f>
        <v>65.550445199999999</v>
      </c>
      <c r="BD28" s="152">
        <f>$BB$16*(1+E28)</f>
        <v>4.3163200000000002</v>
      </c>
      <c r="BE28" s="272"/>
      <c r="BF28" s="153">
        <f>(BB28+BD28)*$BD$11</f>
        <v>9598.7002432835943</v>
      </c>
      <c r="BG28" s="272"/>
      <c r="BH28" s="156"/>
    </row>
    <row r="29" spans="1:60" ht="12">
      <c r="B29" s="2"/>
      <c r="C29">
        <f>+IF(C28&gt;$G$13+$G$14,XX,C28+1)</f>
        <v>2011</v>
      </c>
      <c r="E29" s="169">
        <f>+INDEX('(2.2)_Forward_Price_Curve'!$U:$U,MATCH($C29,'(2.2)_Forward_Price_Curve'!C:C,0))</f>
        <v>1.9E-2</v>
      </c>
      <c r="G29" s="18">
        <v>638183</v>
      </c>
      <c r="I29" s="28">
        <f>I28*(1+$E29)</f>
        <v>0</v>
      </c>
      <c r="K29" s="28">
        <v>63.8</v>
      </c>
      <c r="M29" s="28">
        <f>M28*(1+$E29)</f>
        <v>0</v>
      </c>
      <c r="O29" s="270">
        <f>'(2.2)_Forward_Price_Curve'!Y24</f>
        <v>5.3750965040999983</v>
      </c>
      <c r="Q29" s="28"/>
      <c r="S29" s="18">
        <f t="shared" ref="S29:S47" si="4">(I29*$G$11*1000+(K29+M29+O29+Q29)*G29)/1000</f>
        <v>44146.370612276049</v>
      </c>
      <c r="U29" s="18">
        <f t="shared" si="0"/>
        <v>58532.098178827284</v>
      </c>
      <c r="W29" s="18">
        <f t="shared" si="1"/>
        <v>-14385.727566551235</v>
      </c>
      <c r="Y29" s="271">
        <f t="shared" ref="Y29:Y47" si="5">+W29*1000/G29</f>
        <v>-22.541696608263202</v>
      </c>
      <c r="Z29" s="235"/>
      <c r="AB29" s="146">
        <f>+IF(AB28&gt;$G$13+$G$14,XX,AB28+1)</f>
        <v>2011</v>
      </c>
      <c r="AC29" s="117"/>
      <c r="AD29" s="151">
        <f t="shared" si="2"/>
        <v>638183</v>
      </c>
      <c r="AF29" s="154">
        <f>AF28*(1+$E29)</f>
        <v>104.63672101836237</v>
      </c>
      <c r="AH29" s="154">
        <f>AH28*(1+$E29)</f>
        <v>7.8639791625959603</v>
      </c>
      <c r="AJ29" s="154">
        <f>AJ28*(1+$E29)</f>
        <v>2.9604580101678448</v>
      </c>
      <c r="AL29" s="153">
        <f t="shared" ref="AL29:AL47" si="6">((AF29+AH29)*$AF$11*1000+AJ29*AD29)/1000</f>
        <v>18397.11805391527</v>
      </c>
      <c r="AN29" s="154">
        <f>INDEX('(2.2)_Forward_Price_Curve'!$J:$J,MATCH($AB29,'(2.2)_Forward_Price_Curve'!$C:$C,0),1)</f>
        <v>10.419479166666667</v>
      </c>
      <c r="AP29" s="154">
        <f>AN29*$AF$14/1000+$AJ$14</f>
        <v>75.827496126170729</v>
      </c>
      <c r="AR29" s="154">
        <f>AR28*(1+$E29)</f>
        <v>2.3884006821397374</v>
      </c>
      <c r="AS29" s="154"/>
      <c r="AT29" s="153">
        <f t="shared" ref="AT29:AT47" si="7">AL29-BF29</f>
        <v>8616.0425060092912</v>
      </c>
      <c r="AV29" s="153">
        <f t="shared" si="3"/>
        <v>49916.055672817994</v>
      </c>
      <c r="AW29" s="273"/>
      <c r="AX29" s="155">
        <f t="shared" ref="AX29:AX47" si="8">AT29+AV29</f>
        <v>58532.098178827284</v>
      </c>
      <c r="AZ29" s="146">
        <f>+IF(AZ28&gt;$G$13+$G$14,XX,AZ28+1)</f>
        <v>2011</v>
      </c>
      <c r="BA29" s="117"/>
      <c r="BB29" s="154">
        <f>BB28*(1+$E29)</f>
        <v>66.795903658799986</v>
      </c>
      <c r="BD29" s="154">
        <f>BD28*(1+$E29)</f>
        <v>4.39833008</v>
      </c>
      <c r="BF29" s="153">
        <f t="shared" ref="BF29:BF47" si="9">(BB29+BD29)*$BD$11</f>
        <v>9781.075547905979</v>
      </c>
      <c r="BH29" s="157"/>
    </row>
    <row r="30" spans="1:60" ht="12">
      <c r="B30" s="2"/>
      <c r="C30">
        <f>+IF(C29&gt;$G$13+$G$14,XX,C29+1)</f>
        <v>2012</v>
      </c>
      <c r="E30" s="169">
        <f>+INDEX('(2.2)_Forward_Price_Curve'!$U:$U,MATCH($C30,'(2.2)_Forward_Price_Curve'!C:C,0))</f>
        <v>0.02</v>
      </c>
      <c r="G30" s="18">
        <v>640208</v>
      </c>
      <c r="I30" s="28">
        <f t="shared" ref="I30:I47" si="10">I29*(1+$E30)</f>
        <v>0</v>
      </c>
      <c r="K30" s="28">
        <v>63.8</v>
      </c>
      <c r="M30" s="28">
        <f t="shared" ref="M30:M46" si="11">M29*(1+$E30)</f>
        <v>0</v>
      </c>
      <c r="O30" s="270">
        <f>'(2.2)_Forward_Price_Curve'!Y25</f>
        <v>5.4772233376778976</v>
      </c>
      <c r="Q30" s="28"/>
      <c r="S30" s="18">
        <f t="shared" si="4"/>
        <v>44351.832598568086</v>
      </c>
      <c r="U30" s="18">
        <f t="shared" si="0"/>
        <v>58942.378344699311</v>
      </c>
      <c r="W30" s="18">
        <f t="shared" si="1"/>
        <v>-14590.545746131225</v>
      </c>
      <c r="Y30" s="271">
        <f t="shared" si="5"/>
        <v>-22.790320874045975</v>
      </c>
      <c r="Z30" s="235"/>
      <c r="AB30" s="146">
        <f>+IF(AB29&gt;$G$13+$G$14,XX,AB29+1)</f>
        <v>2012</v>
      </c>
      <c r="AC30" s="117"/>
      <c r="AD30" s="151">
        <f t="shared" si="2"/>
        <v>640208</v>
      </c>
      <c r="AF30" s="154">
        <f t="shared" ref="AF30:AF47" si="12">AF29*(1+$E30)</f>
        <v>106.72945543872962</v>
      </c>
      <c r="AH30" s="154">
        <f t="shared" ref="AH30:AH47" si="13">AH29*(1+$E30)</f>
        <v>8.021258745847879</v>
      </c>
      <c r="AJ30" s="154">
        <f t="shared" ref="AJ30:AJ47" si="14">AJ29*(1+$E30)</f>
        <v>3.0196671703712017</v>
      </c>
      <c r="AL30" s="153">
        <f t="shared" si="6"/>
        <v>18771.175241013578</v>
      </c>
      <c r="AN30" s="154">
        <f>INDEX('(2.2)_Forward_Price_Curve'!$J:$J,MATCH($AB30,'(2.2)_Forward_Price_Curve'!$C:$C,0),1)</f>
        <v>10.428681771666666</v>
      </c>
      <c r="AP30" s="154">
        <f>AN30*$AF$14/1000+$AJ$14*(1+E30)</f>
        <v>75.894467851323782</v>
      </c>
      <c r="AR30" s="154">
        <f t="shared" ref="AR30:AR47" si="15">AR29*(1+$E30)</f>
        <v>2.4361686957825324</v>
      </c>
      <c r="AS30" s="154"/>
      <c r="AT30" s="153">
        <f t="shared" si="7"/>
        <v>8794.478182149478</v>
      </c>
      <c r="AV30" s="153">
        <f t="shared" si="3"/>
        <v>50147.900162549835</v>
      </c>
      <c r="AW30" s="273"/>
      <c r="AX30" s="155">
        <f t="shared" si="8"/>
        <v>58942.378344699311</v>
      </c>
      <c r="AZ30" s="146">
        <f>+IF(AZ29&gt;$G$13+$G$14,XX,AZ29+1)</f>
        <v>2012</v>
      </c>
      <c r="BA30" s="117"/>
      <c r="BB30" s="154">
        <f t="shared" ref="BB30:BB47" si="16">BB29*(1+$E30)</f>
        <v>68.13182173197599</v>
      </c>
      <c r="BD30" s="154">
        <f t="shared" ref="BD30:BD47" si="17">BD29*(1+$E30)</f>
        <v>4.4862966815999998</v>
      </c>
      <c r="BF30" s="153">
        <f t="shared" si="9"/>
        <v>9976.6970588640997</v>
      </c>
      <c r="BH30" s="157"/>
    </row>
    <row r="31" spans="1:60" ht="12">
      <c r="B31" s="2"/>
      <c r="C31">
        <f>+IF(C30&gt;$G$13+$G$14,XX,C30+1)</f>
        <v>2013</v>
      </c>
      <c r="E31" s="169">
        <f>+INDEX('(2.2)_Forward_Price_Curve'!$U:$U,MATCH($C31,'(2.2)_Forward_Price_Curve'!C:C,0))</f>
        <v>0.02</v>
      </c>
      <c r="G31" s="18">
        <v>638183</v>
      </c>
      <c r="I31" s="28">
        <f t="shared" si="10"/>
        <v>0</v>
      </c>
      <c r="K31" s="28">
        <v>63.8</v>
      </c>
      <c r="M31" s="28">
        <f t="shared" si="11"/>
        <v>0</v>
      </c>
      <c r="O31" s="270">
        <f>'(2.2)_Forward_Price_Curve'!Y26</f>
        <v>5.5867678044314557</v>
      </c>
      <c r="Q31" s="28"/>
      <c r="S31" s="18">
        <f t="shared" si="4"/>
        <v>44281.455637735482</v>
      </c>
      <c r="U31" s="18">
        <f t="shared" si="0"/>
        <v>59932.729306970847</v>
      </c>
      <c r="W31" s="18">
        <f t="shared" si="1"/>
        <v>-15651.273669235365</v>
      </c>
      <c r="Y31" s="271">
        <f t="shared" si="5"/>
        <v>-24.524742384606554</v>
      </c>
      <c r="Z31" s="235"/>
      <c r="AB31" s="146">
        <f>+IF(AB30&gt;$G$13+$G$14,XX,AB30+1)</f>
        <v>2013</v>
      </c>
      <c r="AC31" s="117"/>
      <c r="AD31" s="151">
        <f t="shared" si="2"/>
        <v>638183</v>
      </c>
      <c r="AF31" s="154">
        <f t="shared" si="12"/>
        <v>108.86404454750421</v>
      </c>
      <c r="AH31" s="154">
        <f t="shared" si="13"/>
        <v>8.1816839207648364</v>
      </c>
      <c r="AJ31" s="154">
        <f t="shared" si="14"/>
        <v>3.0800605137786259</v>
      </c>
      <c r="AL31" s="153">
        <f t="shared" si="6"/>
        <v>19140.361623293447</v>
      </c>
      <c r="AN31" s="154">
        <f>INDEX('(2.2)_Forward_Price_Curve'!$J:$J,MATCH($AB31,'(2.2)_Forward_Price_Curve'!$C:$C,0),1)</f>
        <v>10.632848438333333</v>
      </c>
      <c r="AP31" s="154">
        <f>AN31*$AF$14/1000+$AJ$14*(1+E31)</f>
        <v>77.380285604603358</v>
      </c>
      <c r="AR31" s="154">
        <f t="shared" si="15"/>
        <v>2.4848920696981831</v>
      </c>
      <c r="AS31" s="154"/>
      <c r="AT31" s="153">
        <f t="shared" si="7"/>
        <v>8964.1306232520637</v>
      </c>
      <c r="AV31" s="153">
        <f t="shared" si="3"/>
        <v>50968.598683718781</v>
      </c>
      <c r="AW31" s="273"/>
      <c r="AX31" s="155">
        <f t="shared" si="8"/>
        <v>59932.729306970847</v>
      </c>
      <c r="AZ31" s="146">
        <f>+IF(AZ30&gt;$G$13+$G$14,XX,AZ30+1)</f>
        <v>2013</v>
      </c>
      <c r="BA31" s="117"/>
      <c r="BB31" s="154">
        <f t="shared" si="16"/>
        <v>69.494458166615516</v>
      </c>
      <c r="BD31" s="154">
        <f t="shared" si="17"/>
        <v>4.5760226152319996</v>
      </c>
      <c r="BF31" s="153">
        <f t="shared" si="9"/>
        <v>10176.231000041384</v>
      </c>
      <c r="BH31" s="157"/>
    </row>
    <row r="32" spans="1:60" ht="12">
      <c r="B32" s="2"/>
      <c r="C32">
        <f>+IF(C31&gt;$G$13+$G$14,XX,C31+1)</f>
        <v>2014</v>
      </c>
      <c r="E32" s="169">
        <f>+INDEX('(2.2)_Forward_Price_Curve'!$U:$U,MATCH($C32,'(2.2)_Forward_Price_Curve'!C:C,0))</f>
        <v>0.02</v>
      </c>
      <c r="G32" s="18">
        <v>638183</v>
      </c>
      <c r="I32" s="28">
        <f t="shared" si="10"/>
        <v>0</v>
      </c>
      <c r="K32" s="28">
        <v>63.8</v>
      </c>
      <c r="M32" s="28">
        <f t="shared" si="11"/>
        <v>0</v>
      </c>
      <c r="O32" s="270">
        <f>'(2.2)_Forward_Price_Curve'!Y27</f>
        <v>5.6929163927156532</v>
      </c>
      <c r="Q32" s="28"/>
      <c r="S32" s="18">
        <f t="shared" si="4"/>
        <v>44349.197862252462</v>
      </c>
      <c r="U32" s="18">
        <f t="shared" si="0"/>
        <v>58815.935723319286</v>
      </c>
      <c r="W32" s="18">
        <f t="shared" si="1"/>
        <v>-14466.737861066824</v>
      </c>
      <c r="Y32" s="271">
        <f t="shared" si="5"/>
        <v>-22.668635581121439</v>
      </c>
      <c r="Z32" s="235"/>
      <c r="AB32" s="146">
        <f>+IF(AB31&gt;$G$13+$G$14,XX,AB31+1)</f>
        <v>2014</v>
      </c>
      <c r="AC32" s="117"/>
      <c r="AD32" s="151">
        <f t="shared" si="2"/>
        <v>638183</v>
      </c>
      <c r="AF32" s="154">
        <f t="shared" si="12"/>
        <v>111.04132543845429</v>
      </c>
      <c r="AH32" s="154">
        <f t="shared" si="13"/>
        <v>8.3453175991801327</v>
      </c>
      <c r="AJ32" s="154">
        <f t="shared" si="14"/>
        <v>3.1416617240541984</v>
      </c>
      <c r="AL32" s="153">
        <f t="shared" si="6"/>
        <v>19523.168855759319</v>
      </c>
      <c r="AN32" s="154">
        <f>INDEX('(2.2)_Forward_Price_Curve'!$J:$J,MATCH($AB32,'(2.2)_Forward_Price_Curve'!$C:$C,0),1)</f>
        <v>10.346954939583332</v>
      </c>
      <c r="AP32" s="154">
        <f t="shared" ref="AP32:AP47" si="18">AN32*$AF$14/1000+$AJ$14*(1+E32)</f>
        <v>75.299702897713772</v>
      </c>
      <c r="AR32" s="154">
        <f t="shared" si="15"/>
        <v>2.5345899110921466</v>
      </c>
      <c r="AS32" s="154"/>
      <c r="AT32" s="153">
        <f t="shared" si="7"/>
        <v>9143.4132357171075</v>
      </c>
      <c r="AV32" s="153">
        <f t="shared" si="3"/>
        <v>49672.522487602182</v>
      </c>
      <c r="AW32" s="273"/>
      <c r="AX32" s="155">
        <f t="shared" si="8"/>
        <v>58815.935723319286</v>
      </c>
      <c r="AZ32" s="146">
        <f>+IF(AZ31&gt;$G$13+$G$14,XX,AZ31+1)</f>
        <v>2014</v>
      </c>
      <c r="BA32" s="117"/>
      <c r="BB32" s="154">
        <f t="shared" si="16"/>
        <v>70.884347329947829</v>
      </c>
      <c r="BD32" s="154">
        <f t="shared" si="17"/>
        <v>4.6675430675366396</v>
      </c>
      <c r="BF32" s="153">
        <f t="shared" si="9"/>
        <v>10379.755620042211</v>
      </c>
      <c r="BH32" s="157"/>
    </row>
    <row r="33" spans="2:60" ht="12">
      <c r="B33" s="2"/>
      <c r="C33">
        <f>+IF(C32&gt;$G$13+$G$14,XX,C32+1)</f>
        <v>2015</v>
      </c>
      <c r="E33" s="169">
        <f>+INDEX('(2.2)_Forward_Price_Curve'!$U:$U,MATCH($C33,'(2.2)_Forward_Price_Curve'!C:C,0))</f>
        <v>0.02</v>
      </c>
      <c r="G33" s="18">
        <v>638183</v>
      </c>
      <c r="I33" s="28">
        <f t="shared" si="10"/>
        <v>0</v>
      </c>
      <c r="K33" s="28">
        <v>63.8</v>
      </c>
      <c r="M33" s="28">
        <f t="shared" si="11"/>
        <v>0</v>
      </c>
      <c r="O33" s="270">
        <f>'(2.2)_Forward_Price_Curve'!Y28</f>
        <v>5.7953888877845348</v>
      </c>
      <c r="Q33" s="28"/>
      <c r="S33" s="18">
        <f t="shared" si="4"/>
        <v>44414.594066573001</v>
      </c>
      <c r="U33" s="18">
        <f t="shared" si="0"/>
        <v>54322.065987630427</v>
      </c>
      <c r="W33" s="18">
        <f t="shared" si="1"/>
        <v>-9907.4719210574258</v>
      </c>
      <c r="Y33" s="271">
        <f t="shared" si="5"/>
        <v>-15.524499902155691</v>
      </c>
      <c r="Z33" s="235"/>
      <c r="AB33" s="146">
        <f>+IF(AB32&gt;$G$13+$G$14,XX,AB32+1)</f>
        <v>2015</v>
      </c>
      <c r="AC33" s="117"/>
      <c r="AD33" s="151">
        <f t="shared" si="2"/>
        <v>638183</v>
      </c>
      <c r="AF33" s="154">
        <f t="shared" si="12"/>
        <v>113.26215194722339</v>
      </c>
      <c r="AH33" s="154">
        <f t="shared" si="13"/>
        <v>8.512223951163735</v>
      </c>
      <c r="AJ33" s="154">
        <f t="shared" si="14"/>
        <v>3.2044949585352827</v>
      </c>
      <c r="AL33" s="153">
        <f t="shared" si="6"/>
        <v>19913.632232874508</v>
      </c>
      <c r="AN33" s="154">
        <f>INDEX('(2.2)_Forward_Price_Curve'!$J:$J,MATCH($AB33,'(2.2)_Forward_Price_Curve'!$C:$C,0),1)</f>
        <v>9.3330180370833329</v>
      </c>
      <c r="AP33" s="154">
        <f>AN33*$AF$14/1000+$AJ$14*(1+E33)</f>
        <v>67.920802732294405</v>
      </c>
      <c r="AR33" s="154">
        <f t="shared" si="15"/>
        <v>2.5852817093139895</v>
      </c>
      <c r="AS33" s="154"/>
      <c r="AT33" s="153">
        <f t="shared" si="7"/>
        <v>9326.2815004314525</v>
      </c>
      <c r="AV33" s="153">
        <f t="shared" si="3"/>
        <v>44995.784487198973</v>
      </c>
      <c r="AW33" s="273"/>
      <c r="AX33" s="155">
        <f t="shared" si="8"/>
        <v>54322.065987630427</v>
      </c>
      <c r="AZ33" s="146">
        <f>+IF(AZ32&gt;$G$13+$G$14,XX,AZ32+1)</f>
        <v>2015</v>
      </c>
      <c r="BA33" s="117"/>
      <c r="BB33" s="154">
        <f t="shared" si="16"/>
        <v>72.302034276546792</v>
      </c>
      <c r="BD33" s="154">
        <f t="shared" si="17"/>
        <v>4.7608939288873726</v>
      </c>
      <c r="BF33" s="153">
        <f t="shared" si="9"/>
        <v>10587.350732443056</v>
      </c>
      <c r="BH33" s="157"/>
    </row>
    <row r="34" spans="2:60" ht="12">
      <c r="B34" s="2"/>
      <c r="C34">
        <f>+IF(C33&gt;$G$13+$G$14,XX,C33+1)</f>
        <v>2016</v>
      </c>
      <c r="E34" s="169">
        <f>+INDEX('(2.2)_Forward_Price_Curve'!$U:$U,MATCH($C34,'(2.2)_Forward_Price_Curve'!C:C,0))</f>
        <v>0.02</v>
      </c>
      <c r="G34" s="18">
        <v>640208</v>
      </c>
      <c r="I34" s="28">
        <f t="shared" si="10"/>
        <v>0</v>
      </c>
      <c r="K34" s="28">
        <v>63.8</v>
      </c>
      <c r="M34" s="28">
        <f t="shared" si="11"/>
        <v>0</v>
      </c>
      <c r="O34" s="270">
        <f>'(2.2)_Forward_Price_Curve'!Y29</f>
        <v>5.8997058877646564</v>
      </c>
      <c r="Q34" s="28"/>
      <c r="S34" s="18">
        <f t="shared" si="4"/>
        <v>44622.30930699403</v>
      </c>
      <c r="U34" s="18">
        <f t="shared" si="0"/>
        <v>52925.982199816208</v>
      </c>
      <c r="W34" s="18">
        <f t="shared" si="1"/>
        <v>-8303.6728928221783</v>
      </c>
      <c r="Y34" s="271">
        <f t="shared" si="5"/>
        <v>-12.970273556128911</v>
      </c>
      <c r="Z34" s="235"/>
      <c r="AB34" s="146">
        <f>+IF(AB33&gt;$G$13+$G$14,XX,AB33+1)</f>
        <v>2016</v>
      </c>
      <c r="AC34" s="117"/>
      <c r="AD34" s="151">
        <f t="shared" si="2"/>
        <v>640208</v>
      </c>
      <c r="AF34" s="154">
        <f t="shared" si="12"/>
        <v>115.52739498616786</v>
      </c>
      <c r="AH34" s="154">
        <f t="shared" si="13"/>
        <v>8.6824684301870096</v>
      </c>
      <c r="AJ34" s="154">
        <f t="shared" si="14"/>
        <v>3.2685848577059882</v>
      </c>
      <c r="AL34" s="153">
        <f t="shared" si="6"/>
        <v>20318.523761868852</v>
      </c>
      <c r="AN34" s="154">
        <f>INDEX('(2.2)_Forward_Price_Curve'!$J:$J,MATCH($AB34,'(2.2)_Forward_Price_Curve'!$C:$C,0),1)</f>
        <v>8.9541666666666657</v>
      </c>
      <c r="AP34" s="154">
        <f t="shared" si="18"/>
        <v>65.163721465260735</v>
      </c>
      <c r="AR34" s="154">
        <f t="shared" si="15"/>
        <v>2.6369873435002695</v>
      </c>
      <c r="AS34" s="154"/>
      <c r="AT34" s="153">
        <f t="shared" si="7"/>
        <v>9519.4260147769346</v>
      </c>
      <c r="AV34" s="153">
        <f t="shared" si="3"/>
        <v>43406.55618503927</v>
      </c>
      <c r="AW34" s="273"/>
      <c r="AX34" s="155">
        <f t="shared" si="8"/>
        <v>52925.982199816208</v>
      </c>
      <c r="AZ34" s="146">
        <f>+IF(AZ33&gt;$G$13+$G$14,XX,AZ33+1)</f>
        <v>2016</v>
      </c>
      <c r="BA34" s="117"/>
      <c r="BB34" s="154">
        <f t="shared" si="16"/>
        <v>73.748074962077723</v>
      </c>
      <c r="BD34" s="154">
        <f t="shared" si="17"/>
        <v>4.8561118074651199</v>
      </c>
      <c r="BF34" s="153">
        <f t="shared" si="9"/>
        <v>10799.097747091917</v>
      </c>
      <c r="BH34" s="157"/>
    </row>
    <row r="35" spans="2:60" ht="12">
      <c r="B35" s="2"/>
      <c r="C35">
        <f>+IF(C34&gt;$G$13+$G$14,XX,C34+1)</f>
        <v>2017</v>
      </c>
      <c r="E35" s="169">
        <f>+INDEX('(2.2)_Forward_Price_Curve'!$U:$U,MATCH($C35,'(2.2)_Forward_Price_Curve'!C:C,0))</f>
        <v>1.9E-2</v>
      </c>
      <c r="G35" s="18">
        <v>638183</v>
      </c>
      <c r="I35" s="28">
        <f t="shared" si="10"/>
        <v>0</v>
      </c>
      <c r="K35" s="28">
        <v>63.8</v>
      </c>
      <c r="M35" s="28">
        <f t="shared" si="11"/>
        <v>0</v>
      </c>
      <c r="O35" s="270">
        <f>'(2.2)_Forward_Price_Curve'!Y30</f>
        <v>6.0059005937444203</v>
      </c>
      <c r="Q35" s="28"/>
      <c r="S35" s="18">
        <f t="shared" si="4"/>
        <v>44548.939058617594</v>
      </c>
      <c r="U35" s="18">
        <f t="shared" si="0"/>
        <v>56189.718037205392</v>
      </c>
      <c r="W35" s="18">
        <f t="shared" si="1"/>
        <v>-11640.778978587798</v>
      </c>
      <c r="Y35" s="271">
        <f t="shared" si="5"/>
        <v>-18.240503082325599</v>
      </c>
      <c r="Z35" s="235"/>
      <c r="AB35" s="146">
        <f>+IF(AB34&gt;$G$13+$G$14,XX,AB34+1)</f>
        <v>2017</v>
      </c>
      <c r="AC35" s="117"/>
      <c r="AD35" s="151">
        <f t="shared" si="2"/>
        <v>638183</v>
      </c>
      <c r="AF35" s="154">
        <f t="shared" si="12"/>
        <v>117.72241549090504</v>
      </c>
      <c r="AH35" s="154">
        <f t="shared" si="13"/>
        <v>8.8474353303605628</v>
      </c>
      <c r="AJ35" s="154">
        <f t="shared" si="14"/>
        <v>3.3306879700024017</v>
      </c>
      <c r="AL35" s="153">
        <f t="shared" si="6"/>
        <v>20697.831070205102</v>
      </c>
      <c r="AN35" s="154">
        <f>INDEX('(2.2)_Forward_Price_Curve'!$J:$J,MATCH($AB35,'(2.2)_Forward_Price_Curve'!$C:$C,0),1)</f>
        <v>9.6420833333333338</v>
      </c>
      <c r="AP35" s="154">
        <f t="shared" si="18"/>
        <v>70.170017609474115</v>
      </c>
      <c r="AR35" s="154">
        <f t="shared" si="15"/>
        <v>2.6870901030267742</v>
      </c>
      <c r="AS35" s="154"/>
      <c r="AT35" s="153">
        <f t="shared" si="7"/>
        <v>9693.5504659184389</v>
      </c>
      <c r="AV35" s="153">
        <f t="shared" si="3"/>
        <v>46496.167571286955</v>
      </c>
      <c r="AW35" s="273"/>
      <c r="AX35" s="155">
        <f t="shared" si="8"/>
        <v>56189.718037205392</v>
      </c>
      <c r="AZ35" s="146">
        <f>+IF(AZ34&gt;$G$13+$G$14,XX,AZ34+1)</f>
        <v>2017</v>
      </c>
      <c r="BA35" s="117"/>
      <c r="BB35" s="154">
        <f t="shared" si="16"/>
        <v>75.149288386357199</v>
      </c>
      <c r="BD35" s="154">
        <f t="shared" si="17"/>
        <v>4.9483779318069567</v>
      </c>
      <c r="BF35" s="153">
        <f t="shared" si="9"/>
        <v>11004.280604286663</v>
      </c>
      <c r="BH35" s="157"/>
    </row>
    <row r="36" spans="2:60" ht="12">
      <c r="B36" s="2"/>
      <c r="C36">
        <f>+IF(C35&gt;$G$13+$G$14,XX,C35+1)</f>
        <v>2018</v>
      </c>
      <c r="E36" s="169">
        <f>+INDEX('(2.2)_Forward_Price_Curve'!$U:$U,MATCH($C36,'(2.2)_Forward_Price_Curve'!C:C,0))</f>
        <v>1.9E-2</v>
      </c>
      <c r="G36" s="18">
        <v>638183</v>
      </c>
      <c r="I36" s="28">
        <f t="shared" si="10"/>
        <v>0</v>
      </c>
      <c r="K36" s="28">
        <v>63.8</v>
      </c>
      <c r="M36" s="28">
        <f t="shared" si="11"/>
        <v>0</v>
      </c>
      <c r="O36" s="270">
        <f>'(2.2)_Forward_Price_Curve'!Y31</f>
        <v>6.1140068044318197</v>
      </c>
      <c r="Q36" s="28"/>
      <c r="S36" s="18">
        <f t="shared" si="4"/>
        <v>44617.930604472713</v>
      </c>
      <c r="U36" s="18">
        <f t="shared" si="0"/>
        <v>64135.467915048808</v>
      </c>
      <c r="W36" s="18">
        <f t="shared" si="1"/>
        <v>-19517.537310576095</v>
      </c>
      <c r="Y36" s="271">
        <f t="shared" si="5"/>
        <v>-30.582979036696521</v>
      </c>
      <c r="Z36" s="235"/>
      <c r="AB36" s="146">
        <f>+IF(AB35&gt;$G$13+$G$14,XX,AB35+1)</f>
        <v>2018</v>
      </c>
      <c r="AC36" s="117"/>
      <c r="AD36" s="151">
        <f t="shared" si="2"/>
        <v>638183</v>
      </c>
      <c r="AF36" s="154">
        <f t="shared" si="12"/>
        <v>119.95914138523221</v>
      </c>
      <c r="AH36" s="154">
        <f t="shared" si="13"/>
        <v>9.0155366016374128</v>
      </c>
      <c r="AJ36" s="154">
        <f t="shared" si="14"/>
        <v>3.3939710414324469</v>
      </c>
      <c r="AL36" s="153">
        <f t="shared" si="6"/>
        <v>21091.089860538996</v>
      </c>
      <c r="AN36" s="154">
        <f>INDEX('(2.2)_Forward_Price_Curve'!$J:$J,MATCH($AB36,'(2.2)_Forward_Price_Curve'!$C:$C,0),1)</f>
        <v>11.30625</v>
      </c>
      <c r="AP36" s="154">
        <f t="shared" si="18"/>
        <v>82.280948439267121</v>
      </c>
      <c r="AR36" s="154">
        <f t="shared" si="15"/>
        <v>2.7381448149842829</v>
      </c>
      <c r="AS36" s="154"/>
      <c r="AT36" s="153">
        <f t="shared" si="7"/>
        <v>9877.7279247708884</v>
      </c>
      <c r="AV36" s="153">
        <f t="shared" si="3"/>
        <v>54257.739990277922</v>
      </c>
      <c r="AW36" s="273"/>
      <c r="AX36" s="155">
        <f t="shared" si="8"/>
        <v>64135.467915048808</v>
      </c>
      <c r="AZ36" s="146">
        <f>+IF(AZ35&gt;$G$13+$G$14,XX,AZ35+1)</f>
        <v>2018</v>
      </c>
      <c r="BA36" s="117"/>
      <c r="BB36" s="154">
        <f t="shared" si="16"/>
        <v>76.577124865697982</v>
      </c>
      <c r="BD36" s="154">
        <f t="shared" si="17"/>
        <v>5.0423971125112885</v>
      </c>
      <c r="BF36" s="153">
        <f t="shared" si="9"/>
        <v>11213.361935768107</v>
      </c>
      <c r="BH36" s="157"/>
    </row>
    <row r="37" spans="2:60" ht="12">
      <c r="B37" s="2"/>
      <c r="C37">
        <f>+IF(C36&gt;$G$13+$G$14,XX,C36+1)</f>
        <v>2019</v>
      </c>
      <c r="E37" s="169">
        <f>+INDEX('(2.2)_Forward_Price_Curve'!$U:$U,MATCH($C37,'(2.2)_Forward_Price_Curve'!C:C,0))</f>
        <v>1.9E-2</v>
      </c>
      <c r="G37" s="18">
        <v>638183</v>
      </c>
      <c r="I37" s="28">
        <f t="shared" si="10"/>
        <v>0</v>
      </c>
      <c r="K37" s="28">
        <v>63.8</v>
      </c>
      <c r="M37" s="28">
        <f t="shared" si="11"/>
        <v>0</v>
      </c>
      <c r="O37" s="270">
        <f>'(2.2)_Forward_Price_Curve'!Y32</f>
        <v>6.2240589269115922</v>
      </c>
      <c r="Q37" s="28"/>
      <c r="S37" s="18">
        <f t="shared" si="4"/>
        <v>44688.163998153228</v>
      </c>
      <c r="U37" s="18">
        <f t="shared" si="0"/>
        <v>66426.956844184155</v>
      </c>
      <c r="W37" s="18">
        <f t="shared" si="1"/>
        <v>-21738.792846030927</v>
      </c>
      <c r="Y37" s="271">
        <f t="shared" si="5"/>
        <v>-34.063572433033983</v>
      </c>
      <c r="Z37" s="235"/>
      <c r="AB37" s="146">
        <f>+IF(AB36&gt;$G$13+$G$14,XX,AB36+1)</f>
        <v>2019</v>
      </c>
      <c r="AC37" s="117"/>
      <c r="AD37" s="151">
        <f t="shared" si="2"/>
        <v>638183</v>
      </c>
      <c r="AF37" s="154">
        <f t="shared" si="12"/>
        <v>122.23836507155161</v>
      </c>
      <c r="AH37" s="154">
        <f t="shared" si="13"/>
        <v>9.1868317970685229</v>
      </c>
      <c r="AJ37" s="154">
        <f t="shared" si="14"/>
        <v>3.4584564912196631</v>
      </c>
      <c r="AL37" s="153">
        <f t="shared" si="6"/>
        <v>21491.820567889237</v>
      </c>
      <c r="AN37" s="154">
        <f>INDEX('(2.2)_Forward_Price_Curve'!$J:$J,MATCH($AB37,'(2.2)_Forward_Price_Curve'!$C:$C,0),1)</f>
        <v>11.752083333333331</v>
      </c>
      <c r="AP37" s="154">
        <f t="shared" si="18"/>
        <v>85.525489247448988</v>
      </c>
      <c r="AR37" s="154">
        <f t="shared" si="15"/>
        <v>2.7901695664689838</v>
      </c>
      <c r="AS37" s="154"/>
      <c r="AT37" s="153">
        <f t="shared" si="7"/>
        <v>10065.404755341535</v>
      </c>
      <c r="AV37" s="153">
        <f t="shared" si="3"/>
        <v>56361.552088842618</v>
      </c>
      <c r="AW37" s="273"/>
      <c r="AX37" s="155">
        <f t="shared" si="8"/>
        <v>66426.956844184155</v>
      </c>
      <c r="AZ37" s="146">
        <f>+IF(AZ36&gt;$G$13+$G$14,XX,AZ36+1)</f>
        <v>2019</v>
      </c>
      <c r="BA37" s="117"/>
      <c r="BB37" s="154">
        <f t="shared" si="16"/>
        <v>78.032090238146239</v>
      </c>
      <c r="BD37" s="154">
        <f t="shared" si="17"/>
        <v>5.1382026576490025</v>
      </c>
      <c r="BF37" s="153">
        <f t="shared" si="9"/>
        <v>11426.415812547702</v>
      </c>
      <c r="BH37" s="157"/>
    </row>
    <row r="38" spans="2:60" ht="12">
      <c r="B38" s="2"/>
      <c r="C38">
        <f>+IF(C37&gt;$G$13+$G$14,XX,C37+1)</f>
        <v>2020</v>
      </c>
      <c r="E38" s="169">
        <f>+INDEX('(2.2)_Forward_Price_Curve'!$U:$U,MATCH($C38,'(2.2)_Forward_Price_Curve'!C:C,0))</f>
        <v>1.9E-2</v>
      </c>
      <c r="G38" s="18">
        <v>640208</v>
      </c>
      <c r="I38" s="28">
        <f t="shared" si="10"/>
        <v>0</v>
      </c>
      <c r="K38" s="28">
        <v>63.8</v>
      </c>
      <c r="M38" s="28">
        <f t="shared" si="11"/>
        <v>0</v>
      </c>
      <c r="O38" s="270">
        <f>'(2.2)_Forward_Price_Curve'!Y33</f>
        <v>6.3360919875960011</v>
      </c>
      <c r="Q38" s="28"/>
      <c r="S38" s="18">
        <f t="shared" si="4"/>
        <v>44901.687179194858</v>
      </c>
      <c r="U38" s="18">
        <f t="shared" si="0"/>
        <v>65541.332525220481</v>
      </c>
      <c r="W38" s="18">
        <f t="shared" si="1"/>
        <v>-20639.645346025623</v>
      </c>
      <c r="Y38" s="271">
        <f t="shared" si="5"/>
        <v>-32.238968188503776</v>
      </c>
      <c r="Z38" s="235"/>
      <c r="AB38" s="146">
        <f>+IF(AB37&gt;$G$13+$G$14,XX,AB37+1)</f>
        <v>2020</v>
      </c>
      <c r="AC38" s="117"/>
      <c r="AD38" s="151">
        <f t="shared" si="2"/>
        <v>640208</v>
      </c>
      <c r="AF38" s="154">
        <f t="shared" si="12"/>
        <v>124.56089400791109</v>
      </c>
      <c r="AH38" s="154">
        <f t="shared" si="13"/>
        <v>9.3613816012128233</v>
      </c>
      <c r="AJ38" s="154">
        <f t="shared" si="14"/>
        <v>3.5241671645528365</v>
      </c>
      <c r="AL38" s="153">
        <f t="shared" si="6"/>
        <v>21907.301597187346</v>
      </c>
      <c r="AN38" s="154">
        <f>INDEX('(2.2)_Forward_Price_Curve'!$J:$J,MATCH($AB38,'(2.2)_Forward_Price_Curve'!$C:$C,0),1)</f>
        <v>11.473750000000003</v>
      </c>
      <c r="AP38" s="154">
        <f t="shared" si="18"/>
        <v>83.4999254531822</v>
      </c>
      <c r="AR38" s="154">
        <f t="shared" si="15"/>
        <v>2.8431827882318941</v>
      </c>
      <c r="AS38" s="154"/>
      <c r="AT38" s="153">
        <f t="shared" si="7"/>
        <v>10263.783884201239</v>
      </c>
      <c r="AV38" s="153">
        <f t="shared" si="3"/>
        <v>55277.548641019239</v>
      </c>
      <c r="AW38" s="273"/>
      <c r="AX38" s="155">
        <f t="shared" si="8"/>
        <v>65541.332525220481</v>
      </c>
      <c r="AZ38" s="146">
        <f>+IF(AZ37&gt;$G$13+$G$14,XX,AZ37+1)</f>
        <v>2020</v>
      </c>
      <c r="BA38" s="117"/>
      <c r="BB38" s="154">
        <f t="shared" si="16"/>
        <v>79.514699952671009</v>
      </c>
      <c r="BD38" s="154">
        <f t="shared" si="17"/>
        <v>5.2358285081443334</v>
      </c>
      <c r="BF38" s="153">
        <f t="shared" si="9"/>
        <v>11643.517712986108</v>
      </c>
      <c r="BH38" s="157"/>
    </row>
    <row r="39" spans="2:60" ht="12">
      <c r="B39" s="2"/>
      <c r="C39">
        <f>+IF(C38&gt;$G$13+$G$14,XX,C38+1)</f>
        <v>2021</v>
      </c>
      <c r="E39" s="169">
        <f>+INDEX('(2.2)_Forward_Price_Curve'!$U:$U,MATCH($C39,'(2.2)_Forward_Price_Curve'!C:C,0))</f>
        <v>1.7999999999999999E-2</v>
      </c>
      <c r="G39" s="18">
        <v>638183</v>
      </c>
      <c r="I39" s="28">
        <f t="shared" si="10"/>
        <v>0</v>
      </c>
      <c r="K39" s="28">
        <v>63.8</v>
      </c>
      <c r="M39" s="28">
        <f t="shared" si="11"/>
        <v>0</v>
      </c>
      <c r="O39" s="270">
        <f>'(2.2)_Forward_Price_Curve'!Y34</f>
        <v>6.4501416433727297</v>
      </c>
      <c r="Q39" s="28"/>
      <c r="S39" s="18">
        <f t="shared" si="4"/>
        <v>44832.446144392532</v>
      </c>
      <c r="U39" s="18">
        <f t="shared" si="0"/>
        <v>66590.650163477752</v>
      </c>
      <c r="W39" s="18">
        <f t="shared" si="1"/>
        <v>-21758.20401908522</v>
      </c>
      <c r="Y39" s="271">
        <f t="shared" si="5"/>
        <v>-34.093988744741274</v>
      </c>
      <c r="Z39" s="235"/>
      <c r="AB39" s="146">
        <f>+IF(AB38&gt;$G$13+$G$14,XX,AB38+1)</f>
        <v>2021</v>
      </c>
      <c r="AC39" s="117"/>
      <c r="AD39" s="151">
        <f t="shared" si="2"/>
        <v>638183</v>
      </c>
      <c r="AF39" s="154">
        <f t="shared" si="12"/>
        <v>126.80299010005349</v>
      </c>
      <c r="AH39" s="154">
        <f t="shared" si="13"/>
        <v>9.5298864700346542</v>
      </c>
      <c r="AJ39" s="154">
        <f t="shared" si="14"/>
        <v>3.5876021735147878</v>
      </c>
      <c r="AL39" s="153">
        <f t="shared" si="6"/>
        <v>22294.368131535353</v>
      </c>
      <c r="AN39" s="154">
        <f>INDEX('(2.2)_Forward_Price_Curve'!$J:$J,MATCH($AB39,'(2.2)_Forward_Price_Curve'!$C:$C,0),1)</f>
        <v>11.692083333333334</v>
      </c>
      <c r="AP39" s="154">
        <f t="shared" si="18"/>
        <v>85.088840764852577</v>
      </c>
      <c r="AR39" s="154">
        <f t="shared" si="15"/>
        <v>2.894360078420068</v>
      </c>
      <c r="AS39" s="154"/>
      <c r="AT39" s="153">
        <f t="shared" si="7"/>
        <v>10441.267099715496</v>
      </c>
      <c r="AV39" s="153">
        <f t="shared" si="3"/>
        <v>56149.38306376226</v>
      </c>
      <c r="AW39" s="273"/>
      <c r="AX39" s="155">
        <f t="shared" si="8"/>
        <v>66590.650163477752</v>
      </c>
      <c r="AZ39" s="146">
        <f>+IF(AZ38&gt;$G$13+$G$14,XX,AZ38+1)</f>
        <v>2021</v>
      </c>
      <c r="BA39" s="117"/>
      <c r="BB39" s="154">
        <f t="shared" si="16"/>
        <v>80.945964551819088</v>
      </c>
      <c r="BD39" s="154">
        <f t="shared" si="17"/>
        <v>5.3300734212909315</v>
      </c>
      <c r="BF39" s="153">
        <f t="shared" si="9"/>
        <v>11853.101031819857</v>
      </c>
      <c r="BH39" s="157"/>
    </row>
    <row r="40" spans="2:60" ht="12">
      <c r="B40" s="2"/>
      <c r="C40">
        <f>+IF(C39&gt;$G$13+$G$14,XX,C39+1)</f>
        <v>2022</v>
      </c>
      <c r="E40" s="169">
        <f>+INDEX('(2.2)_Forward_Price_Curve'!$U:$U,MATCH($C40,'(2.2)_Forward_Price_Curve'!C:C,0))</f>
        <v>1.7999999999999999E-2</v>
      </c>
      <c r="G40" s="18">
        <v>638183</v>
      </c>
      <c r="I40" s="28">
        <f t="shared" si="10"/>
        <v>0</v>
      </c>
      <c r="K40" s="28">
        <v>63.8</v>
      </c>
      <c r="M40" s="28">
        <f t="shared" si="11"/>
        <v>0</v>
      </c>
      <c r="O40" s="270">
        <f>'(2.2)_Forward_Price_Curve'!Y35</f>
        <v>6.5662441929534392</v>
      </c>
      <c r="Q40" s="28"/>
      <c r="S40" s="18">
        <f t="shared" si="4"/>
        <v>44906.540817791596</v>
      </c>
      <c r="U40" s="18">
        <f t="shared" si="0"/>
        <v>67837.470978390091</v>
      </c>
      <c r="W40" s="18">
        <f t="shared" si="1"/>
        <v>-22930.930160598495</v>
      </c>
      <c r="Y40" s="271">
        <f t="shared" si="5"/>
        <v>-35.931590406824519</v>
      </c>
      <c r="Z40" s="235"/>
      <c r="AB40" s="146">
        <f>+IF(AB39&gt;$G$13+$G$14,XX,AB39+1)</f>
        <v>2022</v>
      </c>
      <c r="AC40" s="117"/>
      <c r="AD40" s="151">
        <f t="shared" si="2"/>
        <v>638183</v>
      </c>
      <c r="AF40" s="154">
        <f t="shared" si="12"/>
        <v>129.08544392185445</v>
      </c>
      <c r="AH40" s="154">
        <f t="shared" si="13"/>
        <v>9.7014244264952776</v>
      </c>
      <c r="AJ40" s="154">
        <f t="shared" si="14"/>
        <v>3.652179012638054</v>
      </c>
      <c r="AL40" s="153">
        <f t="shared" si="6"/>
        <v>22695.666757902989</v>
      </c>
      <c r="AN40" s="154">
        <f>INDEX('(2.2)_Forward_Price_Curve'!$J:$J,MATCH($AB40,'(2.2)_Forward_Price_Curve'!$C:$C,0),1)</f>
        <v>11.912916666666668</v>
      </c>
      <c r="AP40" s="154">
        <f t="shared" si="18"/>
        <v>86.695949763297804</v>
      </c>
      <c r="AR40" s="154">
        <f t="shared" si="15"/>
        <v>2.9464585598316293</v>
      </c>
      <c r="AS40" s="154"/>
      <c r="AT40" s="153">
        <f t="shared" si="7"/>
        <v>10629.209907510374</v>
      </c>
      <c r="AV40" s="153">
        <f t="shared" si="3"/>
        <v>57208.261070879715</v>
      </c>
      <c r="AW40" s="273"/>
      <c r="AX40" s="155">
        <f t="shared" si="8"/>
        <v>67837.470978390091</v>
      </c>
      <c r="AZ40" s="146">
        <f>+IF(AZ39&gt;$G$13+$G$14,XX,AZ39+1)</f>
        <v>2022</v>
      </c>
      <c r="BA40" s="117"/>
      <c r="BB40" s="154">
        <f t="shared" si="16"/>
        <v>82.402991913751833</v>
      </c>
      <c r="BD40" s="154">
        <f t="shared" si="17"/>
        <v>5.4260147428741687</v>
      </c>
      <c r="BF40" s="153">
        <f t="shared" si="9"/>
        <v>12066.456850392615</v>
      </c>
      <c r="BH40" s="157"/>
    </row>
    <row r="41" spans="2:60" ht="12">
      <c r="B41" s="2"/>
      <c r="C41">
        <f>+IF(C40&gt;$G$13+$G$14,XX,C40+1)</f>
        <v>2023</v>
      </c>
      <c r="E41" s="169">
        <f>+INDEX('(2.2)_Forward_Price_Curve'!$U:$U,MATCH($C41,'(2.2)_Forward_Price_Curve'!C:C,0))</f>
        <v>1.9E-2</v>
      </c>
      <c r="G41" s="18">
        <v>638183</v>
      </c>
      <c r="I41" s="28">
        <f t="shared" si="10"/>
        <v>0</v>
      </c>
      <c r="K41" s="28">
        <v>63.8</v>
      </c>
      <c r="M41" s="28">
        <f t="shared" si="11"/>
        <v>0</v>
      </c>
      <c r="O41" s="270">
        <f>'(2.2)_Forward_Price_Curve'!Y36</f>
        <v>6.6910028326195539</v>
      </c>
      <c r="Q41" s="28"/>
      <c r="S41" s="18">
        <f t="shared" si="4"/>
        <v>44986.159660729645</v>
      </c>
      <c r="U41" s="18">
        <f t="shared" si="0"/>
        <v>69125.939777568172</v>
      </c>
      <c r="W41" s="18">
        <f t="shared" si="1"/>
        <v>-24139.780116838527</v>
      </c>
      <c r="Y41" s="271">
        <f t="shared" si="5"/>
        <v>-37.825796232175605</v>
      </c>
      <c r="Z41" s="235"/>
      <c r="AB41" s="146">
        <f>+IF(AB40&gt;$G$13+$G$14,XX,AB40+1)</f>
        <v>2023</v>
      </c>
      <c r="AC41" s="117"/>
      <c r="AD41" s="151">
        <f t="shared" si="2"/>
        <v>638183</v>
      </c>
      <c r="AF41" s="154">
        <f t="shared" si="12"/>
        <v>131.53806735636968</v>
      </c>
      <c r="AH41" s="154">
        <f t="shared" si="13"/>
        <v>9.8857514905986861</v>
      </c>
      <c r="AJ41" s="154">
        <f t="shared" si="14"/>
        <v>3.7215704138781769</v>
      </c>
      <c r="AL41" s="153">
        <f t="shared" si="6"/>
        <v>23126.88442630315</v>
      </c>
      <c r="AN41" s="154">
        <f>INDEX('(2.2)_Forward_Price_Curve'!$J:$J,MATCH($AB41,'(2.2)_Forward_Price_Curve'!$C:$C,0),1)</f>
        <v>12.139166666666668</v>
      </c>
      <c r="AP41" s="154">
        <f t="shared" si="18"/>
        <v>88.342478416421898</v>
      </c>
      <c r="AR41" s="154">
        <f t="shared" si="15"/>
        <v>3.0024412724684302</v>
      </c>
      <c r="AS41" s="154"/>
      <c r="AT41" s="153">
        <f t="shared" si="7"/>
        <v>10831.164895753076</v>
      </c>
      <c r="AV41" s="153">
        <f t="shared" si="3"/>
        <v>58294.774881815101</v>
      </c>
      <c r="AW41" s="273"/>
      <c r="AX41" s="155">
        <f t="shared" si="8"/>
        <v>69125.939777568172</v>
      </c>
      <c r="AZ41" s="146">
        <f>+IF(AZ40&gt;$G$13+$G$14,XX,AZ40+1)</f>
        <v>2023</v>
      </c>
      <c r="BA41" s="117"/>
      <c r="BB41" s="154">
        <f t="shared" si="16"/>
        <v>83.968648760113112</v>
      </c>
      <c r="BD41" s="154">
        <f t="shared" si="17"/>
        <v>5.5291090229887772</v>
      </c>
      <c r="BF41" s="153">
        <f t="shared" si="9"/>
        <v>12295.719530550074</v>
      </c>
      <c r="BH41" s="157"/>
    </row>
    <row r="42" spans="2:60" ht="12">
      <c r="B42" s="2"/>
      <c r="C42">
        <f>+IF(C41&gt;$G$13+$G$14,XX,C41+1)</f>
        <v>2024</v>
      </c>
      <c r="E42" s="169">
        <f>+INDEX('(2.2)_Forward_Price_Curve'!$U:$U,MATCH($C42,'(2.2)_Forward_Price_Curve'!C:C,0))</f>
        <v>1.9E-2</v>
      </c>
      <c r="G42" s="18">
        <v>640208</v>
      </c>
      <c r="I42" s="28">
        <f t="shared" si="10"/>
        <v>0</v>
      </c>
      <c r="K42" s="28">
        <v>63.8</v>
      </c>
      <c r="M42" s="28">
        <f t="shared" si="11"/>
        <v>0</v>
      </c>
      <c r="O42" s="270">
        <f>'(2.2)_Forward_Price_Curve'!Y37</f>
        <v>6.8181318864393248</v>
      </c>
      <c r="Q42" s="28"/>
      <c r="S42" s="18">
        <f t="shared" si="4"/>
        <v>45210.292978753554</v>
      </c>
      <c r="U42" s="18">
        <f t="shared" si="0"/>
        <v>70642.205176867399</v>
      </c>
      <c r="W42" s="18">
        <f t="shared" si="1"/>
        <v>-25431.912198113845</v>
      </c>
      <c r="Y42" s="271">
        <f t="shared" si="5"/>
        <v>-39.724452362535054</v>
      </c>
      <c r="Z42" s="235"/>
      <c r="AB42" s="146">
        <f>+IF(AB41&gt;$G$13+$G$14,XX,AB41+1)</f>
        <v>2024</v>
      </c>
      <c r="AC42" s="117"/>
      <c r="AD42" s="151">
        <f t="shared" si="2"/>
        <v>640208</v>
      </c>
      <c r="AF42" s="154">
        <f t="shared" si="12"/>
        <v>134.03729063614068</v>
      </c>
      <c r="AH42" s="154">
        <f t="shared" si="13"/>
        <v>10.07358076892006</v>
      </c>
      <c r="AJ42" s="154">
        <f t="shared" si="14"/>
        <v>3.7922802517418619</v>
      </c>
      <c r="AL42" s="153">
        <f t="shared" si="6"/>
        <v>23573.974597912682</v>
      </c>
      <c r="AN42" s="154">
        <f>INDEX('(2.2)_Forward_Price_Curve'!$J:$J,MATCH($AB42,'(2.2)_Forward_Price_Curve'!$C:$C,0),1)</f>
        <v>12.371250000000002</v>
      </c>
      <c r="AP42" s="154">
        <f t="shared" si="18"/>
        <v>90.031459005353966</v>
      </c>
      <c r="AR42" s="154">
        <f t="shared" si="15"/>
        <v>3.05948765664533</v>
      </c>
      <c r="AS42" s="154"/>
      <c r="AT42" s="153">
        <f t="shared" si="7"/>
        <v>11044.63639628216</v>
      </c>
      <c r="AV42" s="153">
        <f t="shared" si="3"/>
        <v>59597.568780585243</v>
      </c>
      <c r="AW42" s="273"/>
      <c r="AX42" s="155">
        <f t="shared" si="8"/>
        <v>70642.205176867399</v>
      </c>
      <c r="AZ42" s="146">
        <f>+IF(AZ41&gt;$G$13+$G$14,XX,AZ41+1)</f>
        <v>2024</v>
      </c>
      <c r="BA42" s="117"/>
      <c r="BB42" s="154">
        <f t="shared" si="16"/>
        <v>85.564053086555248</v>
      </c>
      <c r="BD42" s="154">
        <f t="shared" si="17"/>
        <v>5.6341620944255633</v>
      </c>
      <c r="BF42" s="153">
        <f t="shared" si="9"/>
        <v>12529.338201630522</v>
      </c>
      <c r="BH42" s="157"/>
    </row>
    <row r="43" spans="2:60" ht="12">
      <c r="B43" s="2"/>
      <c r="C43">
        <f>+IF(C42&gt;$G$13+$G$14,XX,C42+1)</f>
        <v>2025</v>
      </c>
      <c r="E43" s="169">
        <f>+INDEX('(2.2)_Forward_Price_Curve'!$U:$U,MATCH($C43,'(2.2)_Forward_Price_Curve'!C:C,0))</f>
        <v>1.9E-2</v>
      </c>
      <c r="G43" s="18">
        <v>638183</v>
      </c>
      <c r="I43" s="28">
        <f t="shared" si="10"/>
        <v>0</v>
      </c>
      <c r="K43" s="28">
        <v>63.8</v>
      </c>
      <c r="M43" s="28">
        <f t="shared" si="11"/>
        <v>0</v>
      </c>
      <c r="O43" s="270">
        <f>'(2.2)_Forward_Price_Curve'!Y38</f>
        <v>6.9476763922816716</v>
      </c>
      <c r="Q43" s="28"/>
      <c r="S43" s="18">
        <f t="shared" si="4"/>
        <v>45149.9643630555</v>
      </c>
      <c r="U43" s="18">
        <f t="shared" si="0"/>
        <v>71722.316515616636</v>
      </c>
      <c r="W43" s="18">
        <f t="shared" si="1"/>
        <v>-26572.352152561136</v>
      </c>
      <c r="Y43" s="271">
        <f t="shared" si="5"/>
        <v>-41.637511736541299</v>
      </c>
      <c r="Z43" s="235"/>
      <c r="AB43" s="146">
        <f>+IF(AB42&gt;$G$13+$G$14,XX,AB42+1)</f>
        <v>2025</v>
      </c>
      <c r="AC43" s="117"/>
      <c r="AD43" s="151">
        <f t="shared" si="2"/>
        <v>638183</v>
      </c>
      <c r="AF43" s="154">
        <f t="shared" si="12"/>
        <v>136.58399915822733</v>
      </c>
      <c r="AH43" s="154">
        <f t="shared" si="13"/>
        <v>10.264978803529541</v>
      </c>
      <c r="AJ43" s="154">
        <f t="shared" si="14"/>
        <v>3.8643335765249569</v>
      </c>
      <c r="AL43" s="153">
        <f t="shared" si="6"/>
        <v>24014.054839780551</v>
      </c>
      <c r="AN43" s="154">
        <f>INDEX('(2.2)_Forward_Price_Curve'!$J:$J,MATCH($AB43,'(2.2)_Forward_Price_Curve'!$C:$C,0),1)</f>
        <v>12.592916666666667</v>
      </c>
      <c r="AP43" s="154">
        <f t="shared" si="18"/>
        <v>91.644632566057481</v>
      </c>
      <c r="AR43" s="154">
        <f t="shared" si="15"/>
        <v>3.1176179221215907</v>
      </c>
      <c r="AS43" s="154"/>
      <c r="AT43" s="153">
        <f t="shared" si="7"/>
        <v>11246.659212319049</v>
      </c>
      <c r="AV43" s="153">
        <f t="shared" si="3"/>
        <v>60475.657303297587</v>
      </c>
      <c r="AW43" s="273"/>
      <c r="AX43" s="155">
        <f t="shared" si="8"/>
        <v>71722.316515616636</v>
      </c>
      <c r="AZ43" s="146">
        <f>+IF(AZ42&gt;$G$13+$G$14,XX,AZ42+1)</f>
        <v>2025</v>
      </c>
      <c r="BA43" s="117"/>
      <c r="BB43" s="154">
        <f t="shared" si="16"/>
        <v>87.18977009519979</v>
      </c>
      <c r="BD43" s="154">
        <f t="shared" si="17"/>
        <v>5.7412111742196483</v>
      </c>
      <c r="BF43" s="153">
        <f t="shared" si="9"/>
        <v>12767.395627461501</v>
      </c>
      <c r="BH43" s="157"/>
    </row>
    <row r="44" spans="2:60" ht="12">
      <c r="B44" s="2"/>
      <c r="C44">
        <f>+IF(C43&gt;$G$13+$G$14,XX,C43+1)</f>
        <v>2026</v>
      </c>
      <c r="E44" s="169">
        <f>+INDEX('(2.2)_Forward_Price_Curve'!$U:$U,MATCH($C44,'(2.2)_Forward_Price_Curve'!C:C,0))</f>
        <v>1.9E-2</v>
      </c>
      <c r="G44" s="18">
        <v>638183</v>
      </c>
      <c r="I44" s="28">
        <f t="shared" si="10"/>
        <v>0</v>
      </c>
      <c r="K44" s="28">
        <v>63.8</v>
      </c>
      <c r="M44" s="28">
        <f t="shared" si="11"/>
        <v>0</v>
      </c>
      <c r="O44" s="270">
        <f>'(2.2)_Forward_Price_Curve'!Y39</f>
        <v>7.0796822437350224</v>
      </c>
      <c r="Q44" s="28"/>
      <c r="S44" s="18">
        <f t="shared" si="4"/>
        <v>45234.208253353543</v>
      </c>
      <c r="U44" s="18">
        <f t="shared" si="0"/>
        <v>73024.592240496873</v>
      </c>
      <c r="W44" s="18">
        <f t="shared" si="1"/>
        <v>-27790.38398714333</v>
      </c>
      <c r="Y44" s="271">
        <f t="shared" si="5"/>
        <v>-43.546105093904615</v>
      </c>
      <c r="Z44" s="235"/>
      <c r="AB44" s="146">
        <f>+IF(AB43&gt;$G$13+$G$14,XX,AB43+1)</f>
        <v>2026</v>
      </c>
      <c r="AC44" s="117"/>
      <c r="AD44" s="151">
        <f t="shared" si="2"/>
        <v>638183</v>
      </c>
      <c r="AF44" s="154">
        <f t="shared" si="12"/>
        <v>139.17909514223365</v>
      </c>
      <c r="AH44" s="154">
        <f t="shared" si="13"/>
        <v>10.460013400796601</v>
      </c>
      <c r="AJ44" s="154">
        <f t="shared" si="14"/>
        <v>3.9377559144789309</v>
      </c>
      <c r="AL44" s="153">
        <f t="shared" si="6"/>
        <v>24470.321881736385</v>
      </c>
      <c r="AN44" s="154">
        <f>INDEX('(2.2)_Forward_Price_Curve'!$J:$J,MATCH($AB44,'(2.2)_Forward_Price_Curve'!$C:$C,0),1)</f>
        <v>12.819166666666668</v>
      </c>
      <c r="AP44" s="154">
        <f t="shared" si="18"/>
        <v>93.291161219181575</v>
      </c>
      <c r="AR44" s="154">
        <f t="shared" si="15"/>
        <v>3.1768526626419007</v>
      </c>
      <c r="AS44" s="154"/>
      <c r="AT44" s="153">
        <f t="shared" si="7"/>
        <v>11460.345737353116</v>
      </c>
      <c r="AV44" s="153">
        <f t="shared" si="3"/>
        <v>61564.24650314376</v>
      </c>
      <c r="AW44" s="273"/>
      <c r="AX44" s="155">
        <f t="shared" si="8"/>
        <v>73024.592240496873</v>
      </c>
      <c r="AZ44" s="146">
        <f>+IF(AZ43&gt;$G$13+$G$14,XX,AZ43+1)</f>
        <v>2026</v>
      </c>
      <c r="BA44" s="117"/>
      <c r="BB44" s="154">
        <f t="shared" si="16"/>
        <v>88.846375727008578</v>
      </c>
      <c r="BD44" s="154">
        <f t="shared" si="17"/>
        <v>5.8502941865298208</v>
      </c>
      <c r="BF44" s="153">
        <f t="shared" si="9"/>
        <v>13009.976144383269</v>
      </c>
      <c r="BH44" s="157"/>
    </row>
    <row r="45" spans="2:60" ht="12">
      <c r="B45" s="2"/>
      <c r="C45">
        <f>+IF(C44&gt;$G$13+$G$14,XX,C44+1)</f>
        <v>2027</v>
      </c>
      <c r="E45" s="169">
        <f>+INDEX('(2.2)_Forward_Price_Curve'!$U:$U,MATCH($C45,'(2.2)_Forward_Price_Curve'!C:C,0))</f>
        <v>1.9E-2</v>
      </c>
      <c r="G45" s="18">
        <v>638183</v>
      </c>
      <c r="I45" s="28">
        <f t="shared" si="10"/>
        <v>0</v>
      </c>
      <c r="K45" s="28">
        <v>63.8</v>
      </c>
      <c r="M45" s="28">
        <f t="shared" si="11"/>
        <v>0</v>
      </c>
      <c r="O45" s="270">
        <f>'(2.2)_Forward_Price_Curve'!Y40</f>
        <v>7.2141962063659868</v>
      </c>
      <c r="Q45" s="28"/>
      <c r="S45" s="18">
        <f t="shared" si="4"/>
        <v>45320.05277756726</v>
      </c>
      <c r="U45" s="18">
        <f t="shared" si="0"/>
        <v>74416.79287062143</v>
      </c>
      <c r="W45" s="18">
        <f t="shared" si="1"/>
        <v>-29096.74009305417</v>
      </c>
      <c r="Y45" s="271">
        <f t="shared" si="5"/>
        <v>-45.59309805033066</v>
      </c>
      <c r="Z45" s="235"/>
      <c r="AB45" s="146">
        <f>+IF(AB44&gt;$G$13+$G$14,XX,AB44+1)</f>
        <v>2027</v>
      </c>
      <c r="AC45" s="117"/>
      <c r="AD45" s="151">
        <f t="shared" si="2"/>
        <v>638183</v>
      </c>
      <c r="AF45" s="154">
        <f t="shared" si="12"/>
        <v>141.82349794993607</v>
      </c>
      <c r="AH45" s="154">
        <f t="shared" si="13"/>
        <v>10.658753655411736</v>
      </c>
      <c r="AJ45" s="154">
        <f t="shared" si="14"/>
        <v>4.0125732768540301</v>
      </c>
      <c r="AL45" s="153">
        <f t="shared" si="6"/>
        <v>24935.257997489374</v>
      </c>
      <c r="AN45" s="154">
        <f>INDEX('(2.2)_Forward_Price_Curve'!$J:$J,MATCH($AB45,'(2.2)_Forward_Price_Curve'!$C:$C,0),1)</f>
        <v>13.063749999999999</v>
      </c>
      <c r="AP45" s="154">
        <f t="shared" si="18"/>
        <v>95.071110241987881</v>
      </c>
      <c r="AR45" s="154">
        <f t="shared" si="15"/>
        <v>3.2372128632320964</v>
      </c>
      <c r="AS45" s="154"/>
      <c r="AT45" s="153">
        <f t="shared" si="7"/>
        <v>11678.092306362823</v>
      </c>
      <c r="AV45" s="153">
        <f t="shared" si="3"/>
        <v>62738.700564258608</v>
      </c>
      <c r="AW45" s="273"/>
      <c r="AX45" s="155">
        <f t="shared" si="8"/>
        <v>74416.79287062143</v>
      </c>
      <c r="AZ45" s="146">
        <f>+IF(AZ44&gt;$G$13+$G$14,XX,AZ44+1)</f>
        <v>2027</v>
      </c>
      <c r="BA45" s="117"/>
      <c r="BB45" s="154">
        <f t="shared" si="16"/>
        <v>90.534456865821738</v>
      </c>
      <c r="BD45" s="154">
        <f t="shared" si="17"/>
        <v>5.9614497760738869</v>
      </c>
      <c r="BF45" s="153">
        <f t="shared" si="9"/>
        <v>13257.165691126551</v>
      </c>
      <c r="BH45" s="157"/>
    </row>
    <row r="46" spans="2:60" ht="12">
      <c r="B46" s="2"/>
      <c r="C46">
        <f>+IF(C45&gt;$G$13+$G$14,XX,C45+1)</f>
        <v>2028</v>
      </c>
      <c r="E46" s="169">
        <f>+INDEX('(2.2)_Forward_Price_Curve'!$U:$U,MATCH($C46,'(2.2)_Forward_Price_Curve'!C:C,0))</f>
        <v>1.9E-2</v>
      </c>
      <c r="G46" s="18">
        <v>640208</v>
      </c>
      <c r="I46" s="28">
        <f t="shared" si="10"/>
        <v>0</v>
      </c>
      <c r="K46" s="28">
        <v>63.8</v>
      </c>
      <c r="M46" s="28">
        <f t="shared" si="11"/>
        <v>0</v>
      </c>
      <c r="O46" s="270">
        <f>'(2.2)_Forward_Price_Curve'!Y41</f>
        <v>7.35126593428694</v>
      </c>
      <c r="Q46" s="28"/>
      <c r="S46" s="18">
        <f t="shared" si="4"/>
        <v>45551.609661257971</v>
      </c>
      <c r="U46" s="18">
        <f t="shared" si="0"/>
        <v>76040.476054344792</v>
      </c>
      <c r="W46" s="18">
        <f t="shared" si="1"/>
        <v>-30488.866393086821</v>
      </c>
      <c r="Y46" s="271">
        <f t="shared" si="5"/>
        <v>-47.623376141952022</v>
      </c>
      <c r="Z46" s="235"/>
      <c r="AB46" s="146">
        <f>+IF(AB45&gt;$G$13+$G$14,XX,AB45+1)</f>
        <v>2028</v>
      </c>
      <c r="AC46" s="117"/>
      <c r="AD46" s="151">
        <f t="shared" si="2"/>
        <v>640208</v>
      </c>
      <c r="AF46" s="154">
        <f t="shared" si="12"/>
        <v>144.51814441098483</v>
      </c>
      <c r="AH46" s="154">
        <f t="shared" si="13"/>
        <v>10.861269974864559</v>
      </c>
      <c r="AJ46" s="154">
        <f t="shared" si="14"/>
        <v>4.0888121691142567</v>
      </c>
      <c r="AL46" s="153">
        <f t="shared" si="6"/>
        <v>25417.307744084123</v>
      </c>
      <c r="AN46" s="154">
        <f>INDEX('(2.2)_Forward_Price_Curve'!$J:$J,MATCH($AB46,'(2.2)_Forward_Price_Curve'!$C:$C,0),1)</f>
        <v>13.311666666666667</v>
      </c>
      <c r="AP46" s="154">
        <f t="shared" si="18"/>
        <v>96.875317513827369</v>
      </c>
      <c r="AR46" s="154">
        <f t="shared" si="15"/>
        <v>3.2987199076335059</v>
      </c>
      <c r="AS46" s="154"/>
      <c r="AT46" s="153">
        <f t="shared" si="7"/>
        <v>11908.255904826168</v>
      </c>
      <c r="AV46" s="153">
        <f t="shared" si="3"/>
        <v>64132.220149518624</v>
      </c>
      <c r="AW46" s="273"/>
      <c r="AX46" s="155">
        <f t="shared" si="8"/>
        <v>76040.476054344792</v>
      </c>
      <c r="AZ46" s="146">
        <f>+IF(AZ45&gt;$G$13+$G$14,XX,AZ45+1)</f>
        <v>2028</v>
      </c>
      <c r="BA46" s="117"/>
      <c r="BB46" s="154">
        <f t="shared" si="16"/>
        <v>92.254611546272344</v>
      </c>
      <c r="BD46" s="154">
        <f t="shared" si="17"/>
        <v>6.07471732181929</v>
      </c>
      <c r="BF46" s="153">
        <f t="shared" si="9"/>
        <v>13509.051839257954</v>
      </c>
      <c r="BH46" s="157"/>
    </row>
    <row r="47" spans="2:60" ht="12">
      <c r="B47" s="2"/>
      <c r="C47">
        <f>+IF(C46&gt;$G$13+$G$14,XX,C46+1)</f>
        <v>2029</v>
      </c>
      <c r="E47" s="169">
        <f>+INDEX('(2.2)_Forward_Price_Curve'!$U:$U,MATCH($C47,'(2.2)_Forward_Price_Curve'!C:C,0))</f>
        <v>1.7999999999999999E-2</v>
      </c>
      <c r="G47" s="18">
        <v>638183</v>
      </c>
      <c r="I47" s="28">
        <f t="shared" si="10"/>
        <v>0</v>
      </c>
      <c r="K47" s="28">
        <v>64.8</v>
      </c>
      <c r="M47" s="28"/>
      <c r="O47" s="270">
        <f>'(2.2)_Forward_Price_Curve'!Y42</f>
        <v>7.4909399870383915</v>
      </c>
      <c r="Q47" s="28"/>
      <c r="S47" s="18">
        <f t="shared" si="4"/>
        <v>46134.848953748115</v>
      </c>
      <c r="U47" s="18">
        <f t="shared" si="0"/>
        <v>77261.878381791743</v>
      </c>
      <c r="W47" s="18">
        <f t="shared" si="1"/>
        <v>-31127.029428043628</v>
      </c>
      <c r="Y47" s="271">
        <f t="shared" si="5"/>
        <v>-48.774457213751589</v>
      </c>
      <c r="Z47" s="235"/>
      <c r="AB47" s="146">
        <f>+IF(AB46&gt;$G$13+$G$14,XX,AB46+1)</f>
        <v>2029</v>
      </c>
      <c r="AC47" s="117"/>
      <c r="AD47" s="151">
        <f t="shared" si="2"/>
        <v>638183</v>
      </c>
      <c r="AF47" s="154">
        <f t="shared" si="12"/>
        <v>147.11947101038257</v>
      </c>
      <c r="AH47" s="154">
        <f t="shared" si="13"/>
        <v>11.05677283441212</v>
      </c>
      <c r="AJ47" s="154">
        <f t="shared" si="14"/>
        <v>4.1624107881583132</v>
      </c>
      <c r="AL47" s="153">
        <f t="shared" si="6"/>
        <v>25866.390401631616</v>
      </c>
      <c r="AN47" s="154">
        <f>INDEX('(2.2)_Forward_Price_Curve'!$J:$J,MATCH($AB47,'(2.2)_Forward_Price_Curve'!$C:$C,0),1)</f>
        <v>13.565833333333336</v>
      </c>
      <c r="AP47" s="154">
        <f t="shared" si="18"/>
        <v>98.725009002603983</v>
      </c>
      <c r="AR47" s="154">
        <f t="shared" si="15"/>
        <v>3.358096865970909</v>
      </c>
      <c r="AS47" s="154"/>
      <c r="AT47" s="153">
        <f t="shared" si="7"/>
        <v>12114.17562926702</v>
      </c>
      <c r="AV47" s="153">
        <f t="shared" si="3"/>
        <v>65147.702752524725</v>
      </c>
      <c r="AW47" s="273"/>
      <c r="AX47" s="155">
        <f t="shared" si="8"/>
        <v>77261.878381791743</v>
      </c>
      <c r="AZ47" s="146">
        <f>+IF(AZ46&gt;$G$13+$G$14,XX,AZ46+1)</f>
        <v>2029</v>
      </c>
      <c r="BA47" s="117"/>
      <c r="BB47" s="154">
        <f t="shared" si="16"/>
        <v>93.915194554105241</v>
      </c>
      <c r="BD47" s="154">
        <f t="shared" si="17"/>
        <v>6.1840622336120372</v>
      </c>
      <c r="BF47" s="153">
        <f t="shared" si="9"/>
        <v>13752.214772364596</v>
      </c>
      <c r="BH47" s="157"/>
    </row>
    <row r="48" spans="2:60" ht="12">
      <c r="B48" s="2"/>
      <c r="E48" s="169"/>
      <c r="G48" s="18"/>
      <c r="I48" s="28"/>
      <c r="K48" s="28"/>
      <c r="M48" s="28"/>
      <c r="O48" s="270"/>
      <c r="Q48" s="28"/>
      <c r="S48" s="18"/>
      <c r="U48" s="18"/>
      <c r="W48" s="18"/>
      <c r="Y48" s="271"/>
      <c r="Z48" s="235"/>
      <c r="AB48" s="146"/>
      <c r="AC48" s="117"/>
      <c r="AD48" s="151"/>
      <c r="AF48" s="154"/>
      <c r="AH48" s="154"/>
      <c r="AJ48" s="154"/>
      <c r="AL48" s="153"/>
      <c r="AN48" s="154"/>
      <c r="AP48" s="154"/>
      <c r="AR48" s="154"/>
      <c r="AS48" s="154"/>
      <c r="AT48" s="153"/>
      <c r="AV48" s="153"/>
      <c r="AW48" s="273"/>
      <c r="AX48" s="155"/>
      <c r="AZ48" s="146"/>
      <c r="BA48" s="117"/>
      <c r="BB48" s="154"/>
      <c r="BD48" s="154"/>
      <c r="BF48" s="153"/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E50" s="169"/>
      <c r="G50" s="18"/>
      <c r="I50" s="28"/>
      <c r="K50" s="28"/>
      <c r="M50" s="28"/>
      <c r="O50" s="270"/>
      <c r="Q50" s="28"/>
      <c r="S50" s="18"/>
      <c r="U50" s="18"/>
      <c r="W50" s="18"/>
      <c r="Y50" s="271"/>
      <c r="Z50" s="235"/>
      <c r="AB50" s="146"/>
      <c r="AC50" s="117"/>
      <c r="AD50" s="151"/>
      <c r="AF50" s="154"/>
      <c r="AH50" s="154"/>
      <c r="AJ50" s="154"/>
      <c r="AL50" s="153"/>
      <c r="AN50" s="154"/>
      <c r="AP50" s="154"/>
      <c r="AR50" s="154"/>
      <c r="AS50" s="154"/>
      <c r="AT50" s="153"/>
      <c r="AV50" s="153"/>
      <c r="AW50" s="273"/>
      <c r="AX50" s="155"/>
      <c r="AZ50" s="146"/>
      <c r="BA50" s="117"/>
      <c r="BB50" s="154"/>
      <c r="BD50" s="154"/>
      <c r="BF50" s="153"/>
      <c r="BH50" s="157"/>
    </row>
    <row r="51" spans="2:60" ht="12">
      <c r="B51" s="2"/>
      <c r="E51" s="169"/>
      <c r="G51" s="18"/>
      <c r="I51" s="28"/>
      <c r="K51" s="28"/>
      <c r="M51" s="28"/>
      <c r="O51" s="270"/>
      <c r="Q51" s="28"/>
      <c r="S51" s="18"/>
      <c r="U51" s="18"/>
      <c r="W51" s="18"/>
      <c r="Y51" s="271"/>
      <c r="Z51" s="235"/>
      <c r="AB51" s="146"/>
      <c r="AC51" s="117"/>
      <c r="AD51" s="151"/>
      <c r="AF51" s="154"/>
      <c r="AH51" s="154"/>
      <c r="AJ51" s="154"/>
      <c r="AL51" s="153"/>
      <c r="AN51" s="154"/>
      <c r="AP51" s="154"/>
      <c r="AR51" s="154"/>
      <c r="AS51" s="154"/>
      <c r="AT51" s="153"/>
      <c r="AV51" s="153"/>
      <c r="AW51" s="273"/>
      <c r="AX51" s="155"/>
      <c r="AZ51" s="146"/>
      <c r="BA51" s="117"/>
      <c r="BB51" s="154"/>
      <c r="BD51" s="154"/>
      <c r="BF51" s="153"/>
      <c r="BH51" s="157"/>
    </row>
    <row r="52" spans="2:60" ht="12">
      <c r="B52" s="2"/>
      <c r="E52" s="169"/>
      <c r="G52" s="18"/>
      <c r="I52" s="28"/>
      <c r="K52" s="28"/>
      <c r="M52" s="28"/>
      <c r="O52" s="270"/>
      <c r="Q52" s="28" t="s">
        <v>299</v>
      </c>
      <c r="S52" s="18"/>
      <c r="U52" s="18"/>
      <c r="W52" s="18"/>
      <c r="Y52" s="271"/>
      <c r="Z52" s="235"/>
      <c r="AB52" s="146"/>
      <c r="AC52" s="117"/>
      <c r="AD52" s="151"/>
      <c r="AF52" s="154"/>
      <c r="AH52" s="154"/>
      <c r="AJ52" s="154"/>
      <c r="AL52" s="153"/>
      <c r="AN52" s="154"/>
      <c r="AP52" s="154"/>
      <c r="AR52" s="154"/>
      <c r="AS52" s="154"/>
      <c r="AT52" s="153"/>
      <c r="AV52" s="153"/>
      <c r="AW52" s="273"/>
      <c r="AX52" s="155"/>
      <c r="AZ52" s="146"/>
      <c r="BA52" s="117"/>
      <c r="BB52" s="154"/>
      <c r="BD52" s="154"/>
      <c r="BF52" s="153"/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20-year Nominal Levelized at 7.32%</v>
      </c>
      <c r="E58" s="169"/>
      <c r="G58" s="18">
        <f>+-PMT($G$18,$G$14,NPV($G$18,G28:G56))</f>
        <v>598168.40097198146</v>
      </c>
      <c r="I58" s="28">
        <f>+-PMT($G$18,$G$14,NPV($G$18,I28:I56))</f>
        <v>0</v>
      </c>
      <c r="J58" s="28"/>
      <c r="K58" s="28">
        <f>+-PMT($G$18,$G$14,NPV($G$18,K28:K56))</f>
        <v>63.823562521838063</v>
      </c>
      <c r="M58" s="28">
        <f>+-PMT($G$18,$G$14,NPV($G$18,M28:M56))</f>
        <v>0</v>
      </c>
      <c r="O58" s="28">
        <f>+-PMT($G$18,$G$14,NPV($G$18,O28:O56))</f>
        <v>6.0593316732660467</v>
      </c>
      <c r="Q58" s="28">
        <f>+-PMT($G$18,$G$14,NPV($G$18,Q28:Q56))</f>
        <v>0</v>
      </c>
      <c r="S58" s="18">
        <f>+-PMT($G$18,$G$14,NPV($G$18,S28:S56))</f>
        <v>41834.485142780723</v>
      </c>
      <c r="U58" s="18">
        <f>+-PMT($G$18,$G$14,NPV($G$18,U28:U56))</f>
        <v>59316.512743396423</v>
      </c>
      <c r="W58" s="18">
        <f>+-PMT($G$18,$G$14,NPV($G$18,W28:W56))</f>
        <v>-17482.0276006157</v>
      </c>
      <c r="Y58" s="271">
        <f>+-PMT($G$18,$G$14,NPV($G$18,Y28:Y56))</f>
        <v>-30.545912363617266</v>
      </c>
      <c r="Z58" s="235"/>
      <c r="AB58" s="2"/>
      <c r="AD58" s="151">
        <f>+-PMT($G$18,$G$14,NPV($G$18,AD28:AD56))</f>
        <v>598168.40097198146</v>
      </c>
      <c r="AF58" s="154">
        <f>+-PMT($G$18,$G$14,NPV($G$18,AF28:AF56))</f>
        <v>118.62857322953803</v>
      </c>
      <c r="AH58" s="154">
        <f>+-PMT($G$18,$G$14,NPV($G$18,AH28:AH56))</f>
        <v>8.9155376705837845</v>
      </c>
      <c r="AJ58" s="154">
        <f>+-PMT($G$18,$G$14,NPV($G$18,AJ28:AJ56))</f>
        <v>3.3563256420328629</v>
      </c>
      <c r="AL58" s="153">
        <f>+-PMT($G$18,$G$14,NPV($G$18,AL28:AL56))</f>
        <v>20741.136175273707</v>
      </c>
      <c r="AN58" s="154">
        <f>+-PMT($G$18,$G$14,NPV($G$18,AN28:AN56))</f>
        <v>11.021036400301023</v>
      </c>
      <c r="AP58" s="154">
        <f>+-PMT($G$18,$G$14,NPV($G$18,AP28:AP56))</f>
        <v>80.205313680526643</v>
      </c>
      <c r="AR58" s="154">
        <f>+-PMT($G$18,$G$14,NPV($G$18,AR28:AR56))</f>
        <v>2.7077737381790774</v>
      </c>
      <c r="AS58" s="154"/>
      <c r="AT58" s="153">
        <f>+-PMT($G$18,$G$14,NPV($G$18,AT28:AT56))</f>
        <v>9652.1511076434981</v>
      </c>
      <c r="AV58" s="153">
        <f>+-PMT($G$18,$G$14,NPV($G$18,AV28:AV56))</f>
        <v>49664.361635752924</v>
      </c>
      <c r="AW58" s="273"/>
      <c r="AX58" s="155">
        <f>+-PMT($G$18,$G$14,NPV($G$18,AX28:AX56))</f>
        <v>59316.512743396423</v>
      </c>
      <c r="AZ58" s="2"/>
      <c r="BB58" s="154">
        <f>+-PMT($G$18,$G$14,NPV($G$18,BB28:BB56))</f>
        <v>75.727743296070798</v>
      </c>
      <c r="BD58" s="154">
        <f>+-PMT($G$18,$G$14,NPV($G$18,BD28:BD56))</f>
        <v>4.9864676272815975</v>
      </c>
      <c r="BF58" s="153">
        <f>+-PMT($G$18,$G$14,NPV($G$18,BF28:BF56))</f>
        <v>11088.985067630209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E5A4-0F5A-433B-BDDB-94B31C81E72F}">
  <sheetPr codeName="Sheet43">
    <tabColor theme="0" tint="-0.249977111117893"/>
    <pageSetUpPr fitToPage="1"/>
  </sheetPr>
  <dimension ref="A1:BH85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311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290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306</v>
      </c>
      <c r="H11" s="252"/>
      <c r="AB11" s="122" t="s">
        <v>99</v>
      </c>
      <c r="AC11" s="123"/>
      <c r="AD11" s="123"/>
      <c r="AE11" s="123"/>
      <c r="AF11" s="281">
        <f>+G11*(G12/AJ16)</f>
        <v>169.65075892537436</v>
      </c>
      <c r="AG11" s="127"/>
      <c r="AH11" s="123" t="s">
        <v>100</v>
      </c>
      <c r="AI11" s="124"/>
      <c r="AJ11" s="166">
        <f>'(2.1)_Proxy Resources'!N40</f>
        <v>19.215270973980179</v>
      </c>
      <c r="AK11" s="235"/>
      <c r="AZ11" s="122" t="s">
        <v>99</v>
      </c>
      <c r="BA11" s="123"/>
      <c r="BB11" s="123"/>
      <c r="BC11" s="123"/>
      <c r="BD11" s="134">
        <f>(AF11*AF13-G11*G19)</f>
        <v>121.30275892537436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0.38680999999999999</v>
      </c>
      <c r="H12" s="252"/>
      <c r="AB12" s="122" t="s">
        <v>32</v>
      </c>
      <c r="AC12" s="123"/>
      <c r="AD12" s="123"/>
      <c r="AE12" s="123"/>
      <c r="AF12" s="131">
        <f>+AD59/8760/AF11</f>
        <v>0.68900534663461288</v>
      </c>
      <c r="AG12" s="127"/>
      <c r="AH12" s="117" t="s">
        <v>101</v>
      </c>
      <c r="AI12" s="118"/>
      <c r="AJ12" s="117">
        <v>2018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2021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Resources'!O40</f>
        <v>2.2102879231948753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30</v>
      </c>
      <c r="H14" s="252"/>
      <c r="AB14" s="122" t="s">
        <v>104</v>
      </c>
      <c r="AC14" s="123"/>
      <c r="AD14" s="123"/>
      <c r="AE14" s="123"/>
      <c r="AF14" s="134">
        <f>'(2.1)_Proxy Resources'!H40</f>
        <v>6500.8988201101647</v>
      </c>
      <c r="AG14" s="127"/>
      <c r="AH14" s="117" t="s">
        <v>148</v>
      </c>
      <c r="AI14" s="118"/>
      <c r="AJ14" s="166">
        <v>0</v>
      </c>
      <c r="AK14" s="235"/>
      <c r="AZ14" s="122" t="s">
        <v>192</v>
      </c>
      <c r="BA14" s="123"/>
      <c r="BB14" s="123"/>
      <c r="BC14" s="123"/>
      <c r="BD14" s="167">
        <f>'(2.1)_Proxy Resources'!J41</f>
        <v>843</v>
      </c>
      <c r="BE14" s="132"/>
    </row>
    <row r="15" spans="1:57" ht="12">
      <c r="A15" t="s">
        <v>283</v>
      </c>
      <c r="B15" s="250"/>
      <c r="C15" s="231" t="s">
        <v>107</v>
      </c>
      <c r="D15" s="231"/>
      <c r="E15" s="231"/>
      <c r="F15" s="231"/>
      <c r="G15" s="283">
        <v>73.265567759999996</v>
      </c>
      <c r="H15" s="252"/>
      <c r="AB15" s="122" t="s">
        <v>244</v>
      </c>
      <c r="AC15" s="123"/>
      <c r="AD15" s="123"/>
      <c r="AE15" s="123"/>
      <c r="AF15" s="167">
        <f>'(2.1)_Proxy Resources'!J40</f>
        <v>1350.7921550317262</v>
      </c>
      <c r="AG15" s="127"/>
      <c r="AH15" s="117" t="s">
        <v>145</v>
      </c>
      <c r="AI15" s="118"/>
      <c r="AJ15" s="166">
        <f>'(2.1)_Proxy Resources'!P40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Resources'!K41</f>
        <v>6.9599999999999995E-2</v>
      </c>
      <c r="BE15" s="132"/>
    </row>
    <row r="16" spans="1:57" ht="12">
      <c r="A16" t="s">
        <v>283</v>
      </c>
      <c r="B16" s="250"/>
      <c r="C16" s="231" t="s">
        <v>109</v>
      </c>
      <c r="D16" s="231"/>
      <c r="E16" s="231"/>
      <c r="F16" s="231"/>
      <c r="G16" s="283">
        <v>1</v>
      </c>
      <c r="H16" s="252"/>
      <c r="AB16" s="122" t="s">
        <v>108</v>
      </c>
      <c r="AC16" s="123"/>
      <c r="AD16" s="123"/>
      <c r="AE16" s="123"/>
      <c r="AF16" s="136">
        <f>'(2.1)_Proxy Resources'!K39</f>
        <v>6.7898535686010855E-2</v>
      </c>
      <c r="AG16" s="127"/>
      <c r="AH16" s="117" t="s">
        <v>110</v>
      </c>
      <c r="AI16" s="124"/>
      <c r="AJ16" s="137">
        <f>'(2.1)_Proxy Resources'!D40</f>
        <v>0.6976913086021953</v>
      </c>
      <c r="AK16" s="235"/>
      <c r="AZ16" s="122" t="s">
        <v>100</v>
      </c>
      <c r="BA16" s="124"/>
      <c r="BB16" s="166">
        <f>'(2.1)_Proxy Resources'!O41</f>
        <v>6.61</v>
      </c>
      <c r="BE16" s="130"/>
    </row>
    <row r="17" spans="1:60" ht="12">
      <c r="A17" t="s">
        <v>283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2018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'(2.2)_Forward_Price_Curve'!AA9</f>
        <v>6.9099999999999995E-2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'(2.2)_Forward_Price_Curve'!L103</f>
        <v>0.158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v>2021</v>
      </c>
      <c r="E28" s="169">
        <f>'(2.2)_Forward_Price_Curve'!S35</f>
        <v>2.4E-2</v>
      </c>
      <c r="G28" s="18">
        <v>864056.17799999996</v>
      </c>
      <c r="I28" s="268">
        <f>$G$15*(1+E28)</f>
        <v>75.023941386239997</v>
      </c>
      <c r="J28" s="268"/>
      <c r="K28" s="268">
        <f>$G$16*(1+E28)</f>
        <v>1.024</v>
      </c>
      <c r="L28" s="269"/>
      <c r="M28" s="268">
        <f>$G$17</f>
        <v>0</v>
      </c>
      <c r="O28" s="270">
        <f>'(2.2)_Forward_Price_Curve'!AC34</f>
        <v>1.1390234818202254</v>
      </c>
      <c r="Q28" s="28">
        <v>-21.09981037752112</v>
      </c>
      <c r="S28" s="18">
        <f>(I28*$G$11*1000+(K28+M28+O28+Q28)*G28)/1000</f>
        <v>6594.8783554896399</v>
      </c>
      <c r="U28" s="18">
        <f t="shared" ref="U28:U57" si="0">AX28</f>
        <v>26093.941525034574</v>
      </c>
      <c r="W28" s="18">
        <f t="shared" ref="W28:W57" si="1">S28-U28</f>
        <v>-19499.063169544934</v>
      </c>
      <c r="Y28" s="271">
        <f>+W28*1000/G28</f>
        <v>-22.566892831758604</v>
      </c>
      <c r="Z28" s="235"/>
      <c r="AB28" s="146">
        <f>$C$28</f>
        <v>2021</v>
      </c>
      <c r="AC28" s="117"/>
      <c r="AD28" s="151">
        <f t="shared" ref="AD28:AD57" si="2">G28</f>
        <v>864056.17799999996</v>
      </c>
      <c r="AF28" s="152">
        <f>$AF$15*$AF$16*(1+E28)</f>
        <v>93.918012767032508</v>
      </c>
      <c r="AG28" s="272"/>
      <c r="AH28" s="152">
        <f>$AJ$11*(1+E28)</f>
        <v>19.676437477355702</v>
      </c>
      <c r="AI28" s="272"/>
      <c r="AJ28" s="152">
        <f>$AJ$13*(1+E28)</f>
        <v>2.2633348333515522</v>
      </c>
      <c r="AK28" s="272"/>
      <c r="AL28" s="153">
        <f>((AF28+AH28)*$AF$11*1000+AJ28*AD28)/1000</f>
        <v>21227.033139311145</v>
      </c>
      <c r="AN28" s="154">
        <f>INDEX('(2.2)_Forward_Price_Curve'!$L:$L,MATCH($AB28,'(2.2)_Forward_Price_Curve'!$C:$C,0),1)</f>
        <v>1.9506749999999997</v>
      </c>
      <c r="AO28" s="279"/>
      <c r="AP28" s="154">
        <f>AN28*$AF$14/1000+$AJ$14/(1+E29)</f>
        <v>12.681140805918394</v>
      </c>
      <c r="AQ28" s="272"/>
      <c r="AR28" s="152">
        <f>$AJ$15*(1+E28)</f>
        <v>2.3363407843883683</v>
      </c>
      <c r="AS28" s="152"/>
      <c r="AT28" s="153">
        <f t="shared" ref="AT28:AT57" si="3">AL28-BF28</f>
        <v>13117.993778928752</v>
      </c>
      <c r="AU28" s="272"/>
      <c r="AV28" s="153">
        <f t="shared" ref="AV28:AV57" si="4">(AP28+AR28)*AD28/1000</f>
        <v>12975.947746105821</v>
      </c>
      <c r="AW28" s="273"/>
      <c r="AX28" s="155">
        <f>AT28+AV28</f>
        <v>26093.941525034574</v>
      </c>
      <c r="AZ28" s="146">
        <f>$C$28</f>
        <v>2021</v>
      </c>
      <c r="BA28" s="117"/>
      <c r="BB28" s="152">
        <f>$BD$14*$BD$15*(1+E28)</f>
        <v>60.080947199999997</v>
      </c>
      <c r="BD28" s="152">
        <f>$BB$16*(1+E28)</f>
        <v>6.7686400000000004</v>
      </c>
      <c r="BE28" s="272"/>
      <c r="BF28" s="153">
        <f>(BB28+BD28)*$BD$11</f>
        <v>8109.0393603823923</v>
      </c>
      <c r="BG28" s="272"/>
      <c r="BH28" s="156"/>
    </row>
    <row r="29" spans="1:60" ht="12">
      <c r="B29" s="2"/>
      <c r="C29">
        <f>+IF(C28&gt;$G$13+$G$14,XX,C28+1)</f>
        <v>2022</v>
      </c>
      <c r="E29" s="169">
        <f>'(2.2)_Forward_Price_Curve'!S36</f>
        <v>2.3E-2</v>
      </c>
      <c r="G29" s="18">
        <v>1036867.4136</v>
      </c>
      <c r="I29" s="28">
        <f>I28*(1+$E29)</f>
        <v>76.749492038123506</v>
      </c>
      <c r="K29" s="28">
        <f>K28*(1+$E29)</f>
        <v>1.047552</v>
      </c>
      <c r="M29" s="28">
        <f>M28*(1+$E29)</f>
        <v>0</v>
      </c>
      <c r="O29" s="270">
        <f>'(2.2)_Forward_Price_Curve'!AC35</f>
        <v>1.1679956801767024</v>
      </c>
      <c r="Q29" s="28">
        <v>-21.09981037752112</v>
      </c>
      <c r="S29" s="18">
        <f t="shared" ref="S29:S57" si="5">(I29*$G$11*1000+(K29+M29+O29+Q29)*G29)/1000</f>
        <v>3904.867942927327</v>
      </c>
      <c r="U29" s="18">
        <f t="shared" si="0"/>
        <v>32686.345983116087</v>
      </c>
      <c r="W29" s="18">
        <f t="shared" si="1"/>
        <v>-28781.478040188762</v>
      </c>
      <c r="Y29" s="271">
        <f t="shared" ref="Y29:Y57" si="6">+W29*1000/G29</f>
        <v>-27.758108377868268</v>
      </c>
      <c r="Z29" s="235"/>
      <c r="AB29" s="146">
        <f>+IF(AB28&gt;$G$13+$G$14,XX,AB28+1)</f>
        <v>2022</v>
      </c>
      <c r="AC29" s="117"/>
      <c r="AD29" s="151">
        <f t="shared" si="2"/>
        <v>1036867.4136</v>
      </c>
      <c r="AF29" s="154">
        <f>AF28*(1+$E29)</f>
        <v>96.078127060674248</v>
      </c>
      <c r="AH29" s="154">
        <f>AH28*(1+$E29)</f>
        <v>20.128995539334881</v>
      </c>
      <c r="AJ29" s="154">
        <f>AJ28*(1+$E29)</f>
        <v>2.3153915345186378</v>
      </c>
      <c r="AL29" s="153">
        <f t="shared" ref="AL29:AL57" si="7">((AF29+AH29)*$AF$11*1000+AJ29*AD29)/1000</f>
        <v>22115.380573493247</v>
      </c>
      <c r="AN29" s="154">
        <f>INDEX('(2.2)_Forward_Price_Curve'!$L:$L,MATCH($AB29,'(2.2)_Forward_Price_Curve'!$C:$C,0),1)</f>
        <v>2.431295833333333</v>
      </c>
      <c r="AP29" s="154">
        <f>AN29*$AF$14/1000+$AJ$14</f>
        <v>15.805608214255424</v>
      </c>
      <c r="AR29" s="154">
        <f>AR28*(1+$E29)</f>
        <v>2.3900766224293006</v>
      </c>
      <c r="AS29" s="154"/>
      <c r="AT29" s="153">
        <f t="shared" si="3"/>
        <v>13819.83330782206</v>
      </c>
      <c r="AV29" s="153">
        <f t="shared" si="4"/>
        <v>18866.512675294027</v>
      </c>
      <c r="AW29" s="273"/>
      <c r="AX29" s="155">
        <f t="shared" ref="AX29:AX57" si="8">AT29+AV29</f>
        <v>32686.345983116087</v>
      </c>
      <c r="AZ29" s="146">
        <f>+IF(AZ28&gt;$G$13+$G$14,XX,AZ28+1)</f>
        <v>2022</v>
      </c>
      <c r="BA29" s="117"/>
      <c r="BB29" s="154">
        <f>BB28*(1+$E29)</f>
        <v>61.462808985599992</v>
      </c>
      <c r="BD29" s="154">
        <f>BD28*(1+$E29)</f>
        <v>6.9243187199999996</v>
      </c>
      <c r="BF29" s="153">
        <f t="shared" ref="BF29:BF57" si="9">(BB29+BD29)*$BD$11</f>
        <v>8295.5472656711863</v>
      </c>
      <c r="BH29" s="157"/>
    </row>
    <row r="30" spans="1:60" ht="12">
      <c r="B30" s="2"/>
      <c r="C30">
        <f>+IF(C29&gt;$G$13+$G$14,XX,C29+1)</f>
        <v>2023</v>
      </c>
      <c r="E30" s="169">
        <f>'(2.2)_Forward_Price_Curve'!S37</f>
        <v>2.3E-2</v>
      </c>
      <c r="G30" s="18">
        <v>1036867.4136</v>
      </c>
      <c r="I30" s="28">
        <f t="shared" ref="I30:K57" si="10">I29*(1+$E30)</f>
        <v>78.514730355000339</v>
      </c>
      <c r="K30" s="28">
        <f t="shared" si="10"/>
        <v>1.071645696</v>
      </c>
      <c r="M30" s="28">
        <f t="shared" ref="M30:M57" si="11">M29*(1+$E30)</f>
        <v>0</v>
      </c>
      <c r="O30" s="270">
        <f>'(2.2)_Forward_Price_Curve'!AC36</f>
        <v>1.1974836718320334</v>
      </c>
      <c r="Q30" s="28">
        <v>-21.911341545887321</v>
      </c>
      <c r="S30" s="18">
        <f t="shared" si="5"/>
        <v>3659.137750187494</v>
      </c>
      <c r="U30" s="18">
        <f t="shared" si="0"/>
        <v>36471.283100619417</v>
      </c>
      <c r="W30" s="18">
        <f t="shared" si="1"/>
        <v>-32812.145350431922</v>
      </c>
      <c r="Y30" s="271">
        <f t="shared" si="6"/>
        <v>-31.645459120475461</v>
      </c>
      <c r="Z30" s="235"/>
      <c r="AB30" s="146">
        <f>+IF(AB29&gt;$G$13+$G$14,XX,AB29+1)</f>
        <v>2023</v>
      </c>
      <c r="AC30" s="117"/>
      <c r="AD30" s="151">
        <f t="shared" si="2"/>
        <v>1036867.4136</v>
      </c>
      <c r="AF30" s="154">
        <f t="shared" ref="AF30:AF57" si="12">AF29*(1+$E30)</f>
        <v>98.287923983069746</v>
      </c>
      <c r="AH30" s="154">
        <f t="shared" ref="AH30:AH57" si="13">AH29*(1+$E30)</f>
        <v>20.591962436739582</v>
      </c>
      <c r="AJ30" s="154">
        <f t="shared" ref="AJ30:AJ57" si="14">AJ29*(1+$E30)</f>
        <v>2.3686455398125661</v>
      </c>
      <c r="AL30" s="153">
        <f t="shared" si="7"/>
        <v>22624.034326683588</v>
      </c>
      <c r="AN30" s="154">
        <f>INDEX('(2.2)_Forward_Price_Curve'!$L:$L,MATCH($AB30,'(2.2)_Forward_Price_Curve'!$C:$C,0),1)</f>
        <v>2.9371999999999994</v>
      </c>
      <c r="AP30" s="154">
        <f t="shared" ref="AP30:AP57" si="15">AN30*$AF$14/1000+$AJ$14</f>
        <v>19.094440014427573</v>
      </c>
      <c r="AR30" s="154">
        <f t="shared" ref="AR30:AR57" si="16">AR29*(1+$E30)</f>
        <v>2.4450483847451743</v>
      </c>
      <c r="AS30" s="154"/>
      <c r="AT30" s="153">
        <f t="shared" si="3"/>
        <v>14137.689473901966</v>
      </c>
      <c r="AV30" s="153">
        <f t="shared" si="4"/>
        <v>22333.593626717447</v>
      </c>
      <c r="AW30" s="273"/>
      <c r="AX30" s="155">
        <f t="shared" si="8"/>
        <v>36471.283100619417</v>
      </c>
      <c r="AZ30" s="146">
        <f>+IF(AZ29&gt;$G$13+$G$14,XX,AZ29+1)</f>
        <v>2023</v>
      </c>
      <c r="BA30" s="117"/>
      <c r="BB30" s="154">
        <f t="shared" ref="BB30:BB57" si="17">BB29*(1+$E30)</f>
        <v>62.876453592268788</v>
      </c>
      <c r="BD30" s="154">
        <f t="shared" ref="BD30:BD57" si="18">BD29*(1+$E30)</f>
        <v>7.083578050559999</v>
      </c>
      <c r="BF30" s="153">
        <f t="shared" si="9"/>
        <v>8486.3448527816217</v>
      </c>
      <c r="BH30" s="157"/>
    </row>
    <row r="31" spans="1:60" ht="12">
      <c r="B31" s="2"/>
      <c r="C31">
        <f>+IF(C30&gt;$G$13+$G$14,XX,C30+1)</f>
        <v>2024</v>
      </c>
      <c r="E31" s="169">
        <f>'(2.2)_Forward_Price_Curve'!S38</f>
        <v>2.3E-2</v>
      </c>
      <c r="G31" s="18">
        <v>1036867.4136</v>
      </c>
      <c r="I31" s="28">
        <f t="shared" si="10"/>
        <v>80.320569153165337</v>
      </c>
      <c r="K31" s="28">
        <f t="shared" si="10"/>
        <v>1.096293547008</v>
      </c>
      <c r="M31" s="28">
        <f t="shared" si="11"/>
        <v>0</v>
      </c>
      <c r="O31" s="270">
        <f>'(2.2)_Forward_Price_Curve'!AC37</f>
        <v>1.2269144627008759</v>
      </c>
      <c r="Q31" s="28">
        <v>-21.911341545887321</v>
      </c>
      <c r="S31" s="18">
        <f t="shared" si="5"/>
        <v>4267.7968039598245</v>
      </c>
      <c r="U31" s="18">
        <f t="shared" si="0"/>
        <v>40429.704985289725</v>
      </c>
      <c r="W31" s="18">
        <f t="shared" si="1"/>
        <v>-36161.908181329898</v>
      </c>
      <c r="Y31" s="271">
        <f t="shared" si="6"/>
        <v>-34.87611598842313</v>
      </c>
      <c r="Z31" s="235"/>
      <c r="AB31" s="146">
        <f>+IF(AB30&gt;$G$13+$G$14,XX,AB30+1)</f>
        <v>2024</v>
      </c>
      <c r="AC31" s="117"/>
      <c r="AD31" s="151">
        <f t="shared" si="2"/>
        <v>1036867.4136</v>
      </c>
      <c r="AF31" s="154">
        <f t="shared" si="12"/>
        <v>100.54854623468034</v>
      </c>
      <c r="AH31" s="154">
        <f t="shared" si="13"/>
        <v>21.065577572784591</v>
      </c>
      <c r="AJ31" s="154">
        <f t="shared" si="14"/>
        <v>2.4231243872282549</v>
      </c>
      <c r="AL31" s="153">
        <f t="shared" si="7"/>
        <v>23144.387116197311</v>
      </c>
      <c r="AN31" s="154">
        <f>INDEX('(2.2)_Forward_Price_Curve'!$L:$L,MATCH($AB31,'(2.2)_Forward_Price_Curve'!$C:$C,0),1)</f>
        <v>3.4675625000000001</v>
      </c>
      <c r="AP31" s="154">
        <f t="shared" si="15"/>
        <v>22.542272964908253</v>
      </c>
      <c r="AR31" s="154">
        <f t="shared" si="16"/>
        <v>2.5012844975943129</v>
      </c>
      <c r="AS31" s="154"/>
      <c r="AT31" s="153">
        <f t="shared" si="3"/>
        <v>14462.856331801713</v>
      </c>
      <c r="AV31" s="153">
        <f t="shared" si="4"/>
        <v>25966.848653488014</v>
      </c>
      <c r="AW31" s="273"/>
      <c r="AX31" s="155">
        <f t="shared" si="8"/>
        <v>40429.704985289725</v>
      </c>
      <c r="AZ31" s="146">
        <f>+IF(AZ30&gt;$G$13+$G$14,XX,AZ30+1)</f>
        <v>2024</v>
      </c>
      <c r="BA31" s="117"/>
      <c r="BB31" s="154">
        <f t="shared" si="17"/>
        <v>64.322612024890958</v>
      </c>
      <c r="BD31" s="154">
        <f t="shared" si="18"/>
        <v>7.246500345722878</v>
      </c>
      <c r="BF31" s="153">
        <f t="shared" si="9"/>
        <v>8681.5307843955979</v>
      </c>
      <c r="BH31" s="157"/>
    </row>
    <row r="32" spans="1:60" ht="12">
      <c r="B32" s="2"/>
      <c r="C32">
        <f>+IF(C31&gt;$G$13+$G$14,XX,C31+1)</f>
        <v>2025</v>
      </c>
      <c r="E32" s="169">
        <f>'(2.2)_Forward_Price_Curve'!S39</f>
        <v>2.3E-2</v>
      </c>
      <c r="G32" s="18">
        <v>1036867.4136</v>
      </c>
      <c r="I32" s="28">
        <f t="shared" si="10"/>
        <v>82.167942243688131</v>
      </c>
      <c r="K32" s="28">
        <f t="shared" si="10"/>
        <v>1.1215082985891838</v>
      </c>
      <c r="M32" s="28">
        <f t="shared" si="11"/>
        <v>0</v>
      </c>
      <c r="O32" s="270">
        <f>'(2.2)_Forward_Price_Curve'!AC38</f>
        <v>1.2554480395092353</v>
      </c>
      <c r="Q32" s="28">
        <v>-22.722872714253512</v>
      </c>
      <c r="S32" s="18">
        <f t="shared" si="5"/>
        <v>4047.3726363027545</v>
      </c>
      <c r="U32" s="18">
        <f t="shared" si="0"/>
        <v>43232.429073934436</v>
      </c>
      <c r="W32" s="18">
        <f t="shared" si="1"/>
        <v>-39185.056437631683</v>
      </c>
      <c r="Y32" s="271">
        <f t="shared" si="6"/>
        <v>-37.791771564679912</v>
      </c>
      <c r="Z32" s="235"/>
      <c r="AB32" s="146">
        <f>+IF(AB31&gt;$G$13+$G$14,XX,AB31+1)</f>
        <v>2025</v>
      </c>
      <c r="AC32" s="117"/>
      <c r="AD32" s="151">
        <f t="shared" si="2"/>
        <v>1036867.4136</v>
      </c>
      <c r="AF32" s="154">
        <f t="shared" si="12"/>
        <v>102.86116279807798</v>
      </c>
      <c r="AH32" s="154">
        <f t="shared" si="13"/>
        <v>21.550085856958635</v>
      </c>
      <c r="AJ32" s="154">
        <f t="shared" si="14"/>
        <v>2.4788562481345044</v>
      </c>
      <c r="AL32" s="153">
        <f t="shared" si="7"/>
        <v>23676.708019869846</v>
      </c>
      <c r="AN32" s="154">
        <f>INDEX('(2.2)_Forward_Price_Curve'!$L:$L,MATCH($AB32,'(2.2)_Forward_Price_Curve'!$C:$C,0),1)</f>
        <v>3.8251624999999998</v>
      </c>
      <c r="AP32" s="154">
        <f t="shared" si="15"/>
        <v>24.866994382979648</v>
      </c>
      <c r="AR32" s="154">
        <f t="shared" si="16"/>
        <v>2.5588140410389819</v>
      </c>
      <c r="AS32" s="154"/>
      <c r="AT32" s="153">
        <f t="shared" si="3"/>
        <v>14795.502027433151</v>
      </c>
      <c r="AV32" s="153">
        <f t="shared" si="4"/>
        <v>28436.927046501285</v>
      </c>
      <c r="AW32" s="273"/>
      <c r="AX32" s="155">
        <f t="shared" si="8"/>
        <v>43232.429073934436</v>
      </c>
      <c r="AZ32" s="146">
        <f>+IF(AZ31&gt;$G$13+$G$14,XX,AZ31+1)</f>
        <v>2025</v>
      </c>
      <c r="BA32" s="117"/>
      <c r="BB32" s="154">
        <f t="shared" si="17"/>
        <v>65.802032101463439</v>
      </c>
      <c r="BD32" s="154">
        <f t="shared" si="18"/>
        <v>7.4131698536745034</v>
      </c>
      <c r="BF32" s="153">
        <f t="shared" si="9"/>
        <v>8881.2059924366949</v>
      </c>
      <c r="BH32" s="157"/>
    </row>
    <row r="33" spans="2:60" ht="12">
      <c r="B33" s="2"/>
      <c r="C33">
        <f>+IF(C32&gt;$G$13+$G$14,XX,C32+1)</f>
        <v>2026</v>
      </c>
      <c r="E33" s="169">
        <f>'(2.2)_Forward_Price_Curve'!S40</f>
        <v>2.1999999999999999E-2</v>
      </c>
      <c r="G33" s="18">
        <v>1036867.4136</v>
      </c>
      <c r="I33" s="28">
        <f t="shared" si="10"/>
        <v>83.975636973049276</v>
      </c>
      <c r="K33" s="28">
        <f t="shared" si="10"/>
        <v>1.1461814811581459</v>
      </c>
      <c r="M33" s="28">
        <f t="shared" si="11"/>
        <v>0</v>
      </c>
      <c r="O33" s="270">
        <f>'(2.2)_Forward_Price_Curve'!AC39</f>
        <v>1.2834505366016622</v>
      </c>
      <c r="Q33" s="28">
        <v>-22.722872714253512</v>
      </c>
      <c r="S33" s="18">
        <f t="shared" si="5"/>
        <v>4655.1449192173886</v>
      </c>
      <c r="U33" s="18">
        <f t="shared" si="0"/>
        <v>45026.819912665538</v>
      </c>
      <c r="W33" s="18">
        <f t="shared" si="1"/>
        <v>-40371.674993448149</v>
      </c>
      <c r="Y33" s="271">
        <f t="shared" si="6"/>
        <v>-38.9361980750054</v>
      </c>
      <c r="Z33" s="235"/>
      <c r="AB33" s="146">
        <f>+IF(AB32&gt;$G$13+$G$14,XX,AB32+1)</f>
        <v>2026</v>
      </c>
      <c r="AC33" s="117"/>
      <c r="AD33" s="151">
        <f t="shared" si="2"/>
        <v>1036867.4136</v>
      </c>
      <c r="AF33" s="154">
        <f t="shared" si="12"/>
        <v>105.1241083796357</v>
      </c>
      <c r="AH33" s="154">
        <f t="shared" si="13"/>
        <v>22.024187745811727</v>
      </c>
      <c r="AJ33" s="154">
        <f t="shared" si="14"/>
        <v>2.5333910855934634</v>
      </c>
      <c r="AL33" s="153">
        <f t="shared" si="7"/>
        <v>24197.595596306986</v>
      </c>
      <c r="AN33" s="154">
        <f>INDEX('(2.2)_Forward_Price_Curve'!$L:$L,MATCH($AB33,'(2.2)_Forward_Price_Curve'!$C:$C,0),1)</f>
        <v>4.0344208333333329</v>
      </c>
      <c r="AP33" s="154">
        <f t="shared" si="15"/>
        <v>26.227361635244531</v>
      </c>
      <c r="AR33" s="154">
        <f t="shared" si="16"/>
        <v>2.6151079499418395</v>
      </c>
      <c r="AS33" s="154"/>
      <c r="AT33" s="153">
        <f t="shared" si="3"/>
        <v>15121.003072036685</v>
      </c>
      <c r="AV33" s="153">
        <f t="shared" si="4"/>
        <v>29905.816840628857</v>
      </c>
      <c r="AW33" s="273"/>
      <c r="AX33" s="155">
        <f t="shared" si="8"/>
        <v>45026.819912665538</v>
      </c>
      <c r="AZ33" s="146">
        <f>+IF(AZ32&gt;$G$13+$G$14,XX,AZ32+1)</f>
        <v>2026</v>
      </c>
      <c r="BA33" s="117"/>
      <c r="BB33" s="154">
        <f t="shared" si="17"/>
        <v>67.249676807695636</v>
      </c>
      <c r="BD33" s="154">
        <f t="shared" si="18"/>
        <v>7.5762595904553427</v>
      </c>
      <c r="BF33" s="153">
        <f t="shared" si="9"/>
        <v>9076.5925242703015</v>
      </c>
      <c r="BH33" s="157"/>
    </row>
    <row r="34" spans="2:60" ht="12">
      <c r="B34" s="2"/>
      <c r="C34">
        <f>+IF(C33&gt;$G$13+$G$14,XX,C33+1)</f>
        <v>2027</v>
      </c>
      <c r="E34" s="169">
        <f>'(2.2)_Forward_Price_Curve'!S41</f>
        <v>2.1999999999999999E-2</v>
      </c>
      <c r="G34" s="18">
        <v>1036867.4136</v>
      </c>
      <c r="I34" s="28">
        <f t="shared" si="10"/>
        <v>85.823100986456367</v>
      </c>
      <c r="K34" s="28">
        <f t="shared" si="10"/>
        <v>1.171397473743625</v>
      </c>
      <c r="M34" s="28">
        <f t="shared" si="11"/>
        <v>0</v>
      </c>
      <c r="O34" s="270">
        <f>'(2.2)_Forward_Price_Curve'!AC40</f>
        <v>1.3117597482561225</v>
      </c>
      <c r="Q34" s="28">
        <v>-23.534403882619713</v>
      </c>
      <c r="S34" s="18">
        <f t="shared" si="5"/>
        <v>4434.5172238029872</v>
      </c>
      <c r="U34" s="18">
        <f t="shared" si="0"/>
        <v>45136.733621614672</v>
      </c>
      <c r="W34" s="18">
        <f t="shared" si="1"/>
        <v>-40702.216397811688</v>
      </c>
      <c r="Y34" s="271">
        <f t="shared" si="6"/>
        <v>-39.254986571999346</v>
      </c>
      <c r="Z34" s="235"/>
      <c r="AB34" s="146">
        <f>+IF(AB33&gt;$G$13+$G$14,XX,AB33+1)</f>
        <v>2027</v>
      </c>
      <c r="AC34" s="117"/>
      <c r="AD34" s="151">
        <f t="shared" si="2"/>
        <v>1036867.4136</v>
      </c>
      <c r="AF34" s="154">
        <f t="shared" si="12"/>
        <v>107.43683876398769</v>
      </c>
      <c r="AH34" s="154">
        <f t="shared" si="13"/>
        <v>22.508719876219583</v>
      </c>
      <c r="AJ34" s="154">
        <f t="shared" si="14"/>
        <v>2.5891256894765196</v>
      </c>
      <c r="AL34" s="153">
        <f t="shared" si="7"/>
        <v>24729.942699425741</v>
      </c>
      <c r="AN34" s="154">
        <f>INDEX('(2.2)_Forward_Price_Curve'!$L:$L,MATCH($AB34,'(2.2)_Forward_Price_Curve'!$C:$C,0),1)</f>
        <v>3.9925249999999992</v>
      </c>
      <c r="AP34" s="154">
        <f t="shared" si="15"/>
        <v>25.955001061760328</v>
      </c>
      <c r="AR34" s="154">
        <f t="shared" si="16"/>
        <v>2.6726403248405601</v>
      </c>
      <c r="AS34" s="154"/>
      <c r="AT34" s="153">
        <f t="shared" si="3"/>
        <v>15453.665139621491</v>
      </c>
      <c r="AV34" s="153">
        <f t="shared" si="4"/>
        <v>29683.068481993181</v>
      </c>
      <c r="AW34" s="273"/>
      <c r="AX34" s="155">
        <f t="shared" si="8"/>
        <v>45136.733621614672</v>
      </c>
      <c r="AZ34" s="146">
        <f>+IF(AZ33&gt;$G$13+$G$14,XX,AZ33+1)</f>
        <v>2027</v>
      </c>
      <c r="BA34" s="117"/>
      <c r="BB34" s="154">
        <f t="shared" si="17"/>
        <v>68.72916969746494</v>
      </c>
      <c r="BD34" s="154">
        <f t="shared" si="18"/>
        <v>7.7429373014453606</v>
      </c>
      <c r="BF34" s="153">
        <f t="shared" si="9"/>
        <v>9276.2775598042499</v>
      </c>
      <c r="BH34" s="157"/>
    </row>
    <row r="35" spans="2:60" ht="12">
      <c r="B35" s="2"/>
      <c r="C35">
        <f>+IF(C34&gt;$G$13+$G$14,XX,C34+1)</f>
        <v>2028</v>
      </c>
      <c r="E35" s="169">
        <f>'(2.2)_Forward_Price_Curve'!S42</f>
        <v>2.1999999999999999E-2</v>
      </c>
      <c r="G35" s="18">
        <v>1036867.4136</v>
      </c>
      <c r="I35" s="28">
        <f t="shared" si="10"/>
        <v>87.711209208158408</v>
      </c>
      <c r="K35" s="28">
        <f t="shared" si="10"/>
        <v>1.1971682181659848</v>
      </c>
      <c r="M35" s="28">
        <f t="shared" si="11"/>
        <v>0</v>
      </c>
      <c r="O35" s="270">
        <f>'(2.2)_Forward_Price_Curve'!AC41</f>
        <v>1.3408534982838876</v>
      </c>
      <c r="Q35" s="28">
        <v>-23.534403882619713</v>
      </c>
      <c r="S35" s="18">
        <f t="shared" si="5"/>
        <v>5069.1655461027849</v>
      </c>
      <c r="U35" s="18">
        <f t="shared" si="0"/>
        <v>45133.245866489582</v>
      </c>
      <c r="W35" s="18">
        <f t="shared" si="1"/>
        <v>-40064.080320386798</v>
      </c>
      <c r="Y35" s="271">
        <f t="shared" si="6"/>
        <v>-38.639540403034225</v>
      </c>
      <c r="Z35" s="235"/>
      <c r="AB35" s="146">
        <f>+IF(AB34&gt;$G$13+$G$14,XX,AB34+1)</f>
        <v>2028</v>
      </c>
      <c r="AC35" s="117"/>
      <c r="AD35" s="151">
        <f t="shared" si="2"/>
        <v>1036867.4136</v>
      </c>
      <c r="AF35" s="154">
        <f t="shared" si="12"/>
        <v>109.80044921679543</v>
      </c>
      <c r="AH35" s="154">
        <f t="shared" si="13"/>
        <v>23.003911713496414</v>
      </c>
      <c r="AJ35" s="154">
        <f t="shared" si="14"/>
        <v>2.6460864546450029</v>
      </c>
      <c r="AL35" s="153">
        <f t="shared" si="7"/>
        <v>25274.001438813106</v>
      </c>
      <c r="AN35" s="154">
        <f>INDEX('(2.2)_Forward_Price_Curve'!$L:$L,MATCH($AB35,'(2.2)_Forward_Price_Curve'!$C:$C,0),1)</f>
        <v>3.9325250000000005</v>
      </c>
      <c r="AP35" s="154">
        <f t="shared" si="15"/>
        <v>25.564947132553726</v>
      </c>
      <c r="AR35" s="154">
        <f t="shared" si="16"/>
        <v>2.7314384119870527</v>
      </c>
      <c r="AS35" s="154"/>
      <c r="AT35" s="153">
        <f t="shared" si="3"/>
        <v>15793.645772693162</v>
      </c>
      <c r="AV35" s="153">
        <f t="shared" si="4"/>
        <v>29339.600093796424</v>
      </c>
      <c r="AW35" s="273"/>
      <c r="AX35" s="155">
        <f t="shared" si="8"/>
        <v>45133.245866489582</v>
      </c>
      <c r="AZ35" s="146">
        <f>+IF(AZ34&gt;$G$13+$G$14,XX,AZ34+1)</f>
        <v>2028</v>
      </c>
      <c r="BA35" s="117"/>
      <c r="BB35" s="154">
        <f t="shared" si="17"/>
        <v>70.241211430809173</v>
      </c>
      <c r="BD35" s="154">
        <f t="shared" si="18"/>
        <v>7.9132819220771591</v>
      </c>
      <c r="BF35" s="153">
        <f t="shared" si="9"/>
        <v>9480.3556661199436</v>
      </c>
      <c r="BH35" s="157"/>
    </row>
    <row r="36" spans="2:60" ht="12">
      <c r="B36" s="2"/>
      <c r="C36">
        <f>+IF(C35&gt;$G$13+$G$14,XX,C35+1)</f>
        <v>2029</v>
      </c>
      <c r="E36" s="169">
        <f>'(2.2)_Forward_Price_Curve'!S43</f>
        <v>2.1999999999999999E-2</v>
      </c>
      <c r="G36" s="18">
        <v>1036867.4136</v>
      </c>
      <c r="I36" s="28">
        <f t="shared" si="10"/>
        <v>89.640855810737889</v>
      </c>
      <c r="K36" s="28">
        <f t="shared" si="10"/>
        <v>1.2235059189656365</v>
      </c>
      <c r="M36" s="28">
        <f t="shared" si="11"/>
        <v>0</v>
      </c>
      <c r="O36" s="270">
        <f>'(2.2)_Forward_Price_Curve'!AC42</f>
        <v>1.3709529466223729</v>
      </c>
      <c r="Q36" s="28">
        <v>-24.345935050985908</v>
      </c>
      <c r="S36" s="18">
        <f t="shared" si="5"/>
        <v>4876.7050237502826</v>
      </c>
      <c r="U36" s="18">
        <f t="shared" si="0"/>
        <v>47693.339275684702</v>
      </c>
      <c r="W36" s="18">
        <f t="shared" si="1"/>
        <v>-42816.634251934418</v>
      </c>
      <c r="Y36" s="271">
        <f t="shared" si="6"/>
        <v>-41.294223051407521</v>
      </c>
      <c r="Z36" s="235"/>
      <c r="AB36" s="146">
        <f>+IF(AB35&gt;$G$13+$G$14,XX,AB35+1)</f>
        <v>2029</v>
      </c>
      <c r="AC36" s="117"/>
      <c r="AD36" s="151">
        <f t="shared" si="2"/>
        <v>1036867.4136</v>
      </c>
      <c r="AF36" s="154">
        <f t="shared" si="12"/>
        <v>112.21605909956493</v>
      </c>
      <c r="AH36" s="154">
        <f t="shared" si="13"/>
        <v>23.509997771193337</v>
      </c>
      <c r="AJ36" s="154">
        <f t="shared" si="14"/>
        <v>2.704300356647193</v>
      </c>
      <c r="AL36" s="153">
        <f t="shared" si="7"/>
        <v>25830.029470466994</v>
      </c>
      <c r="AN36" s="154">
        <f>INDEX('(2.2)_Forward_Price_Curve'!$L:$L,MATCH($AB36,'(2.2)_Forward_Price_Curve'!$C:$C,0),1)</f>
        <v>4.2515375000000004</v>
      </c>
      <c r="AP36" s="154">
        <f t="shared" si="15"/>
        <v>27.638815117404125</v>
      </c>
      <c r="AR36" s="154">
        <f t="shared" si="16"/>
        <v>2.791530057050768</v>
      </c>
      <c r="AS36" s="154"/>
      <c r="AT36" s="153">
        <f t="shared" si="3"/>
        <v>16141.105979692413</v>
      </c>
      <c r="AV36" s="153">
        <f t="shared" si="4"/>
        <v>31552.233295992286</v>
      </c>
      <c r="AW36" s="273"/>
      <c r="AX36" s="155">
        <f t="shared" si="8"/>
        <v>47693.339275684702</v>
      </c>
      <c r="AZ36" s="146">
        <f>+IF(AZ35&gt;$G$13+$G$14,XX,AZ35+1)</f>
        <v>2029</v>
      </c>
      <c r="BA36" s="117"/>
      <c r="BB36" s="154">
        <f t="shared" si="17"/>
        <v>71.786518082286975</v>
      </c>
      <c r="BD36" s="154">
        <f t="shared" si="18"/>
        <v>8.0873741243628565</v>
      </c>
      <c r="BF36" s="153">
        <f t="shared" si="9"/>
        <v>9688.9234907745813</v>
      </c>
      <c r="BH36" s="157"/>
    </row>
    <row r="37" spans="2:60" ht="12">
      <c r="B37" s="2"/>
      <c r="C37">
        <f>+IF(C36&gt;$G$13+$G$14,XX,C36+1)</f>
        <v>2030</v>
      </c>
      <c r="E37" s="169">
        <f>'(2.2)_Forward_Price_Curve'!S44</f>
        <v>2.1999999999999999E-2</v>
      </c>
      <c r="G37" s="18">
        <v>1036867.4136</v>
      </c>
      <c r="I37" s="28">
        <f t="shared" si="10"/>
        <v>91.612954638574124</v>
      </c>
      <c r="K37" s="28">
        <f t="shared" si="10"/>
        <v>1.2504230491828805</v>
      </c>
      <c r="M37" s="28">
        <f t="shared" si="11"/>
        <v>0</v>
      </c>
      <c r="O37" s="270">
        <f>'(2.2)_Forward_Price_Curve'!AC43</f>
        <v>1.4021626326399876</v>
      </c>
      <c r="Q37" s="28">
        <v>-25.157466219352099</v>
      </c>
      <c r="S37" s="18">
        <f t="shared" si="5"/>
        <v>4698.9868430787701</v>
      </c>
      <c r="U37" s="18">
        <f t="shared" si="0"/>
        <v>51876.533257744552</v>
      </c>
      <c r="W37" s="18">
        <f t="shared" si="1"/>
        <v>-47177.546414665783</v>
      </c>
      <c r="Y37" s="271">
        <f t="shared" si="6"/>
        <v>-45.500076283490777</v>
      </c>
      <c r="Z37" s="235"/>
      <c r="AB37" s="146">
        <f>+IF(AB36&gt;$G$13+$G$14,XX,AB36+1)</f>
        <v>2030</v>
      </c>
      <c r="AC37" s="117"/>
      <c r="AD37" s="151">
        <f t="shared" si="2"/>
        <v>1036867.4136</v>
      </c>
      <c r="AF37" s="154">
        <f t="shared" si="12"/>
        <v>114.68481239975536</v>
      </c>
      <c r="AH37" s="154">
        <f t="shared" si="13"/>
        <v>24.027217722159591</v>
      </c>
      <c r="AJ37" s="154">
        <f t="shared" si="14"/>
        <v>2.7637949644934312</v>
      </c>
      <c r="AL37" s="153">
        <f t="shared" si="7"/>
        <v>26398.290118817269</v>
      </c>
      <c r="AN37" s="154">
        <f>INDEX('(2.2)_Forward_Price_Curve'!$L:$L,MATCH($AB37,'(2.2)_Forward_Price_Curve'!$C:$C,0),1)</f>
        <v>4.8100083333333341</v>
      </c>
      <c r="AP37" s="154">
        <f t="shared" si="15"/>
        <v>31.26937749888673</v>
      </c>
      <c r="AR37" s="154">
        <f t="shared" si="16"/>
        <v>2.8529437183058848</v>
      </c>
      <c r="AS37" s="154"/>
      <c r="AT37" s="153">
        <f t="shared" si="3"/>
        <v>16496.210311245646</v>
      </c>
      <c r="AV37" s="153">
        <f t="shared" si="4"/>
        <v>35380.322946498905</v>
      </c>
      <c r="AW37" s="273"/>
      <c r="AX37" s="155">
        <f t="shared" si="8"/>
        <v>51876.533257744552</v>
      </c>
      <c r="AZ37" s="146">
        <f>+IF(AZ36&gt;$G$13+$G$14,XX,AZ36+1)</f>
        <v>2030</v>
      </c>
      <c r="BA37" s="117"/>
      <c r="BB37" s="154">
        <f t="shared" si="17"/>
        <v>73.365821480097296</v>
      </c>
      <c r="BD37" s="154">
        <f t="shared" si="18"/>
        <v>8.2652963550988403</v>
      </c>
      <c r="BF37" s="153">
        <f t="shared" si="9"/>
        <v>9902.0798075716248</v>
      </c>
      <c r="BH37" s="157"/>
    </row>
    <row r="38" spans="2:60" ht="12">
      <c r="B38" s="2"/>
      <c r="C38">
        <f>+IF(C37&gt;$G$13+$G$14,XX,C37+1)</f>
        <v>2031</v>
      </c>
      <c r="E38" s="169">
        <f>'(2.2)_Forward_Price_Curve'!S45</f>
        <v>2.1999999999999999E-2</v>
      </c>
      <c r="G38" s="18">
        <v>1036867.4136</v>
      </c>
      <c r="I38" s="28">
        <f t="shared" si="10"/>
        <v>93.628439640622759</v>
      </c>
      <c r="K38" s="28">
        <f t="shared" si="10"/>
        <v>1.2779323562649039</v>
      </c>
      <c r="M38" s="28">
        <f t="shared" si="11"/>
        <v>0</v>
      </c>
      <c r="O38" s="270">
        <f>'(2.2)_Forward_Price_Curve'!AC44</f>
        <v>1.4335840474923813</v>
      </c>
      <c r="Q38" s="28">
        <v>0</v>
      </c>
      <c r="S38" s="18">
        <f t="shared" si="5"/>
        <v>31461.785530528352</v>
      </c>
      <c r="U38" s="18">
        <f t="shared" si="0"/>
        <v>54401.098707515412</v>
      </c>
      <c r="W38" s="18">
        <f t="shared" si="1"/>
        <v>-22939.31317698706</v>
      </c>
      <c r="Y38" s="271">
        <f t="shared" si="6"/>
        <v>-22.123670660399913</v>
      </c>
      <c r="Z38" s="235"/>
      <c r="AB38" s="146">
        <f>+IF(AB37&gt;$G$13+$G$14,XX,AB37+1)</f>
        <v>2031</v>
      </c>
      <c r="AC38" s="117"/>
      <c r="AD38" s="151">
        <f t="shared" si="2"/>
        <v>1036867.4136</v>
      </c>
      <c r="AF38" s="154">
        <f t="shared" si="12"/>
        <v>117.20787827254998</v>
      </c>
      <c r="AH38" s="154">
        <f t="shared" si="13"/>
        <v>24.555816512047102</v>
      </c>
      <c r="AJ38" s="154">
        <f t="shared" si="14"/>
        <v>2.8245984537122868</v>
      </c>
      <c r="AL38" s="153">
        <f t="shared" si="7"/>
        <v>26979.052501431244</v>
      </c>
      <c r="AN38" s="154">
        <f>INDEX('(2.2)_Forward_Price_Curve'!$L:$L,MATCH($AB38,'(2.2)_Forward_Price_Curve'!$C:$C,0),1)</f>
        <v>5.1210458333333335</v>
      </c>
      <c r="AP38" s="154">
        <f t="shared" si="15"/>
        <v>33.291400815646746</v>
      </c>
      <c r="AR38" s="154">
        <f t="shared" si="16"/>
        <v>2.9157084801086142</v>
      </c>
      <c r="AS38" s="154"/>
      <c r="AT38" s="153">
        <f t="shared" si="3"/>
        <v>16859.126938093043</v>
      </c>
      <c r="AV38" s="153">
        <f t="shared" si="4"/>
        <v>37541.971769422373</v>
      </c>
      <c r="AW38" s="273"/>
      <c r="AX38" s="155">
        <f t="shared" si="8"/>
        <v>54401.098707515412</v>
      </c>
      <c r="AZ38" s="146">
        <f>+IF(AZ37&gt;$G$13+$G$14,XX,AZ37+1)</f>
        <v>2031</v>
      </c>
      <c r="BA38" s="117"/>
      <c r="BB38" s="154">
        <f t="shared" si="17"/>
        <v>74.979869552659437</v>
      </c>
      <c r="BD38" s="154">
        <f t="shared" si="18"/>
        <v>8.4471328749110146</v>
      </c>
      <c r="BF38" s="153">
        <f t="shared" si="9"/>
        <v>10119.925563338202</v>
      </c>
      <c r="BH38" s="157"/>
    </row>
    <row r="39" spans="2:60" ht="12">
      <c r="B39" s="2"/>
      <c r="C39">
        <f>+IF(C38&gt;$G$13+$G$14,XX,C38+1)</f>
        <v>2032</v>
      </c>
      <c r="E39" s="169">
        <f>'(2.2)_Forward_Price_Curve'!S46</f>
        <v>2.1999999999999999E-2</v>
      </c>
      <c r="G39" s="18">
        <v>1036867.4136</v>
      </c>
      <c r="I39" s="28">
        <f t="shared" si="10"/>
        <v>95.688265312716467</v>
      </c>
      <c r="K39" s="28">
        <f t="shared" si="10"/>
        <v>1.3060468681027317</v>
      </c>
      <c r="M39" s="28">
        <f t="shared" si="11"/>
        <v>0</v>
      </c>
      <c r="O39" s="270">
        <f>'(2.2)_Forward_Price_Curve'!AC45</f>
        <v>1.4649463685254571</v>
      </c>
      <c r="Q39" s="28">
        <v>0</v>
      </c>
      <c r="S39" s="18">
        <f t="shared" si="5"/>
        <v>32153.761776057003</v>
      </c>
      <c r="U39" s="18">
        <f t="shared" si="0"/>
        <v>56874.89238101495</v>
      </c>
      <c r="W39" s="18">
        <f t="shared" si="1"/>
        <v>-24721.130604957947</v>
      </c>
      <c r="Y39" s="271">
        <f t="shared" si="6"/>
        <v>-23.842132832708348</v>
      </c>
      <c r="Z39" s="235"/>
      <c r="AB39" s="146">
        <f>+IF(AB38&gt;$G$13+$G$14,XX,AB38+1)</f>
        <v>2032</v>
      </c>
      <c r="AC39" s="117"/>
      <c r="AD39" s="151">
        <f t="shared" si="2"/>
        <v>1036867.4136</v>
      </c>
      <c r="AF39" s="154">
        <f t="shared" si="12"/>
        <v>119.78645159454608</v>
      </c>
      <c r="AH39" s="154">
        <f t="shared" si="13"/>
        <v>25.096044475312137</v>
      </c>
      <c r="AJ39" s="154">
        <f t="shared" si="14"/>
        <v>2.886739619693957</v>
      </c>
      <c r="AL39" s="153">
        <f t="shared" si="7"/>
        <v>27572.591656462733</v>
      </c>
      <c r="AN39" s="154">
        <f>INDEX('(2.2)_Forward_Price_Curve'!$L:$L,MATCH($AB39,'(2.2)_Forward_Price_Curve'!$C:$C,0),1)</f>
        <v>5.4231541666666665</v>
      </c>
      <c r="AP39" s="154">
        <f t="shared" si="15"/>
        <v>35.255376523358855</v>
      </c>
      <c r="AR39" s="154">
        <f t="shared" si="16"/>
        <v>2.9798540666710038</v>
      </c>
      <c r="AS39" s="154"/>
      <c r="AT39" s="153">
        <f t="shared" si="3"/>
        <v>17230.02773073109</v>
      </c>
      <c r="AV39" s="153">
        <f t="shared" si="4"/>
        <v>39644.86465028386</v>
      </c>
      <c r="AW39" s="273"/>
      <c r="AX39" s="155">
        <f t="shared" si="8"/>
        <v>56874.89238101495</v>
      </c>
      <c r="AZ39" s="146">
        <f>+IF(AZ38&gt;$G$13+$G$14,XX,AZ38+1)</f>
        <v>2032</v>
      </c>
      <c r="BA39" s="117"/>
      <c r="BB39" s="154">
        <f t="shared" si="17"/>
        <v>76.62942668281795</v>
      </c>
      <c r="BD39" s="154">
        <f t="shared" si="18"/>
        <v>8.6329697981590563</v>
      </c>
      <c r="BF39" s="153">
        <f t="shared" si="9"/>
        <v>10342.563925731642</v>
      </c>
      <c r="BH39" s="157"/>
    </row>
    <row r="40" spans="2:60" ht="12">
      <c r="B40" s="2"/>
      <c r="C40">
        <f>+IF(C39&gt;$G$13+$G$14,XX,C39+1)</f>
        <v>2033</v>
      </c>
      <c r="E40" s="169">
        <f>'(2.2)_Forward_Price_Curve'!S47</f>
        <v>2.1999999999999999E-2</v>
      </c>
      <c r="G40" s="18">
        <v>1036867.4136</v>
      </c>
      <c r="I40" s="28">
        <f t="shared" si="10"/>
        <v>97.793407149596234</v>
      </c>
      <c r="K40" s="28">
        <f t="shared" si="10"/>
        <v>1.3347798992009918</v>
      </c>
      <c r="M40" s="28">
        <f t="shared" si="11"/>
        <v>0</v>
      </c>
      <c r="O40" s="270">
        <f>'(2.2)_Forward_Price_Curve'!AC46</f>
        <v>1.4965465421812867</v>
      </c>
      <c r="Q40" s="28">
        <v>0</v>
      </c>
      <c r="S40" s="18">
        <f t="shared" si="5"/>
        <v>32860.492712109779</v>
      </c>
      <c r="U40" s="18">
        <f t="shared" si="0"/>
        <v>59459.558082987991</v>
      </c>
      <c r="W40" s="18">
        <f t="shared" si="1"/>
        <v>-26599.065370878212</v>
      </c>
      <c r="Y40" s="271">
        <f t="shared" si="6"/>
        <v>-25.653294743371625</v>
      </c>
      <c r="Z40" s="235"/>
      <c r="AB40" s="146">
        <f>+IF(AB39&gt;$G$13+$G$14,XX,AB39+1)</f>
        <v>2033</v>
      </c>
      <c r="AC40" s="117"/>
      <c r="AD40" s="151">
        <f t="shared" si="2"/>
        <v>1036867.4136</v>
      </c>
      <c r="AF40" s="154">
        <f t="shared" si="12"/>
        <v>122.4217535296261</v>
      </c>
      <c r="AH40" s="154">
        <f t="shared" si="13"/>
        <v>25.648157453769006</v>
      </c>
      <c r="AJ40" s="154">
        <f t="shared" si="14"/>
        <v>2.9502478913272241</v>
      </c>
      <c r="AL40" s="153">
        <f t="shared" si="7"/>
        <v>28179.188672904918</v>
      </c>
      <c r="AN40" s="154">
        <f>INDEX('(2.2)_Forward_Price_Curve'!$L:$L,MATCH($AB40,'(2.2)_Forward_Price_Curve'!$C:$C,0),1)</f>
        <v>5.7402833333333332</v>
      </c>
      <c r="AP40" s="154">
        <f t="shared" si="15"/>
        <v>37.317001148764703</v>
      </c>
      <c r="AR40" s="154">
        <f t="shared" si="16"/>
        <v>3.045410856137766</v>
      </c>
      <c r="AS40" s="154"/>
      <c r="AT40" s="153">
        <f t="shared" si="3"/>
        <v>17609.088340807182</v>
      </c>
      <c r="AV40" s="153">
        <f t="shared" si="4"/>
        <v>41850.469742180809</v>
      </c>
      <c r="AW40" s="273"/>
      <c r="AX40" s="155">
        <f t="shared" si="8"/>
        <v>59459.558082987991</v>
      </c>
      <c r="AZ40" s="146">
        <f>+IF(AZ39&gt;$G$13+$G$14,XX,AZ39+1)</f>
        <v>2033</v>
      </c>
      <c r="BA40" s="117"/>
      <c r="BB40" s="154">
        <f t="shared" si="17"/>
        <v>78.315274069839944</v>
      </c>
      <c r="BD40" s="154">
        <f t="shared" si="18"/>
        <v>8.8228951337185553</v>
      </c>
      <c r="BF40" s="153">
        <f t="shared" si="9"/>
        <v>10570.100332097738</v>
      </c>
      <c r="BH40" s="157"/>
    </row>
    <row r="41" spans="2:60" ht="12">
      <c r="B41" s="2"/>
      <c r="C41">
        <f>+IF(C40&gt;$G$13+$G$14,XX,C40+1)</f>
        <v>2034</v>
      </c>
      <c r="E41" s="169">
        <f>'(2.2)_Forward_Price_Curve'!S48</f>
        <v>2.1999999999999999E-2</v>
      </c>
      <c r="G41" s="18">
        <v>1036867.4136</v>
      </c>
      <c r="I41" s="28">
        <f t="shared" si="10"/>
        <v>99.944862106887356</v>
      </c>
      <c r="K41" s="28">
        <f t="shared" si="10"/>
        <v>1.3641450569834137</v>
      </c>
      <c r="M41" s="28">
        <f t="shared" si="11"/>
        <v>0</v>
      </c>
      <c r="O41" s="270">
        <f>'(2.2)_Forward_Price_Curve'!AC47</f>
        <v>1.5286401492284176</v>
      </c>
      <c r="Q41" s="28">
        <v>0</v>
      </c>
      <c r="S41" s="18">
        <f t="shared" si="5"/>
        <v>33582.562519572733</v>
      </c>
      <c r="U41" s="18">
        <f t="shared" si="0"/>
        <v>61996.201979337842</v>
      </c>
      <c r="W41" s="18">
        <f t="shared" si="1"/>
        <v>-28413.639459765109</v>
      </c>
      <c r="Y41" s="271">
        <f t="shared" si="6"/>
        <v>-27.40334886320041</v>
      </c>
      <c r="Z41" s="235"/>
      <c r="AB41" s="146">
        <f>+IF(AB40&gt;$G$13+$G$14,XX,AB40+1)</f>
        <v>2034</v>
      </c>
      <c r="AC41" s="117"/>
      <c r="AD41" s="151">
        <f t="shared" si="2"/>
        <v>1036867.4136</v>
      </c>
      <c r="AF41" s="154">
        <f t="shared" si="12"/>
        <v>125.11503210727788</v>
      </c>
      <c r="AH41" s="154">
        <f t="shared" si="13"/>
        <v>26.212416917751924</v>
      </c>
      <c r="AJ41" s="154">
        <f t="shared" si="14"/>
        <v>3.0151533449364232</v>
      </c>
      <c r="AL41" s="153">
        <f t="shared" si="7"/>
        <v>28799.130823708823</v>
      </c>
      <c r="AN41" s="154">
        <f>INDEX('(2.2)_Forward_Price_Curve'!$L:$L,MATCH($AB41,'(2.2)_Forward_Price_Curve'!$C:$C,0),1)</f>
        <v>6.0488291666666667</v>
      </c>
      <c r="AP41" s="154">
        <f t="shared" si="15"/>
        <v>39.322826392631285</v>
      </c>
      <c r="AR41" s="154">
        <f t="shared" si="16"/>
        <v>3.1124098949727967</v>
      </c>
      <c r="AS41" s="154"/>
      <c r="AT41" s="153">
        <f t="shared" si="3"/>
        <v>17996.488284304934</v>
      </c>
      <c r="AV41" s="153">
        <f t="shared" si="4"/>
        <v>43999.713695032908</v>
      </c>
      <c r="AW41" s="273"/>
      <c r="AX41" s="155">
        <f t="shared" si="8"/>
        <v>61996.201979337842</v>
      </c>
      <c r="AZ41" s="146">
        <f>+IF(AZ40&gt;$G$13+$G$14,XX,AZ40+1)</f>
        <v>2034</v>
      </c>
      <c r="BA41" s="117"/>
      <c r="BB41" s="154">
        <f t="shared" si="17"/>
        <v>80.038210099376428</v>
      </c>
      <c r="BD41" s="154">
        <f t="shared" si="18"/>
        <v>9.0169988266603642</v>
      </c>
      <c r="BF41" s="153">
        <f t="shared" si="9"/>
        <v>10802.642539403889</v>
      </c>
      <c r="BH41" s="157"/>
    </row>
    <row r="42" spans="2:60" ht="12">
      <c r="B42" s="2"/>
      <c r="C42">
        <f>+IF(C41&gt;$G$13+$G$14,XX,C41+1)</f>
        <v>2035</v>
      </c>
      <c r="E42" s="169">
        <f>'(2.2)_Forward_Price_Curve'!S49</f>
        <v>2.1999999999999999E-2</v>
      </c>
      <c r="G42" s="18">
        <v>1036867.4136</v>
      </c>
      <c r="I42" s="28">
        <f t="shared" si="10"/>
        <v>102.14364907323888</v>
      </c>
      <c r="K42" s="28">
        <f t="shared" si="10"/>
        <v>1.3941562482370489</v>
      </c>
      <c r="M42" s="28">
        <f t="shared" si="11"/>
        <v>0</v>
      </c>
      <c r="O42" s="270">
        <f>'(2.2)_Forward_Price_Curve'!AC48</f>
        <v>1.5607569013547813</v>
      </c>
      <c r="Q42" s="28">
        <v>0</v>
      </c>
      <c r="S42" s="18">
        <f t="shared" si="5"/>
        <v>34319.809771241002</v>
      </c>
      <c r="U42" s="18">
        <f t="shared" si="0"/>
        <v>60313.610514305139</v>
      </c>
      <c r="W42" s="18">
        <f t="shared" si="1"/>
        <v>-25993.800743064137</v>
      </c>
      <c r="Y42" s="271">
        <f t="shared" si="6"/>
        <v>-25.069551229133292</v>
      </c>
      <c r="Z42" s="235"/>
      <c r="AB42" s="146">
        <f>+IF(AB41&gt;$G$13+$G$14,XX,AB41+1)</f>
        <v>2035</v>
      </c>
      <c r="AC42" s="117"/>
      <c r="AD42" s="151">
        <f t="shared" si="2"/>
        <v>1036867.4136</v>
      </c>
      <c r="AF42" s="154">
        <f t="shared" si="12"/>
        <v>127.867562813638</v>
      </c>
      <c r="AH42" s="154">
        <f t="shared" si="13"/>
        <v>26.789090089942466</v>
      </c>
      <c r="AJ42" s="154">
        <f t="shared" si="14"/>
        <v>3.0814867185250248</v>
      </c>
      <c r="AL42" s="153">
        <f t="shared" si="7"/>
        <v>29432.71170183042</v>
      </c>
      <c r="AN42" s="154">
        <f>INDEX('(2.2)_Forward_Price_Curve'!$L:$L,MATCH($AB42,'(2.2)_Forward_Price_Curve'!$C:$C,0),1)</f>
        <v>5.7299374999999992</v>
      </c>
      <c r="AP42" s="154">
        <f t="shared" si="15"/>
        <v>37.24974393305498</v>
      </c>
      <c r="AR42" s="154">
        <f t="shared" si="16"/>
        <v>3.1808829126621982</v>
      </c>
      <c r="AS42" s="154"/>
      <c r="AT42" s="153">
        <f t="shared" si="3"/>
        <v>18392.411026559646</v>
      </c>
      <c r="AV42" s="153">
        <f t="shared" si="4"/>
        <v>41921.199487745493</v>
      </c>
      <c r="AW42" s="273"/>
      <c r="AX42" s="155">
        <f t="shared" si="8"/>
        <v>60313.610514305139</v>
      </c>
      <c r="AZ42" s="146">
        <f>+IF(AZ41&gt;$G$13+$G$14,XX,AZ41+1)</f>
        <v>2035</v>
      </c>
      <c r="BA42" s="117"/>
      <c r="BB42" s="154">
        <f t="shared" si="17"/>
        <v>81.799050721562708</v>
      </c>
      <c r="BD42" s="154">
        <f t="shared" si="18"/>
        <v>9.2153728008468931</v>
      </c>
      <c r="BF42" s="153">
        <f t="shared" si="9"/>
        <v>11040.300675270773</v>
      </c>
      <c r="BH42" s="157"/>
    </row>
    <row r="43" spans="2:60" ht="12">
      <c r="B43" s="2"/>
      <c r="C43">
        <f>+IF(C42&gt;$G$13+$G$14,XX,C42+1)</f>
        <v>2036</v>
      </c>
      <c r="E43" s="169">
        <f>'(2.2)_Forward_Price_Curve'!S50</f>
        <v>2.1999999999999999E-2</v>
      </c>
      <c r="G43" s="18">
        <v>1036867.4136</v>
      </c>
      <c r="I43" s="28">
        <f t="shared" si="10"/>
        <v>104.39080935285013</v>
      </c>
      <c r="K43" s="28">
        <f t="shared" si="10"/>
        <v>1.424827685698264</v>
      </c>
      <c r="M43" s="28">
        <f t="shared" si="11"/>
        <v>0</v>
      </c>
      <c r="O43" s="270">
        <f>'(2.2)_Forward_Price_Curve'!AC49</f>
        <v>1.5935251628391218</v>
      </c>
      <c r="Q43" s="28">
        <v>0</v>
      </c>
      <c r="S43" s="18">
        <f t="shared" si="5"/>
        <v>35073.219373367298</v>
      </c>
      <c r="U43" s="18">
        <f t="shared" si="0"/>
        <v>61113.872851279826</v>
      </c>
      <c r="W43" s="18">
        <f t="shared" si="1"/>
        <v>-26040.653477912529</v>
      </c>
      <c r="Y43" s="271">
        <f t="shared" si="6"/>
        <v>-25.114738043024687</v>
      </c>
      <c r="Z43" s="235"/>
      <c r="AB43" s="146">
        <f>+IF(AB42&gt;$G$13+$G$14,XX,AB42+1)</f>
        <v>2036</v>
      </c>
      <c r="AC43" s="117"/>
      <c r="AD43" s="151">
        <f t="shared" si="2"/>
        <v>1036867.4136</v>
      </c>
      <c r="AF43" s="154">
        <f t="shared" si="12"/>
        <v>130.68064919553805</v>
      </c>
      <c r="AH43" s="154">
        <f t="shared" si="13"/>
        <v>27.378450071921201</v>
      </c>
      <c r="AJ43" s="154">
        <f t="shared" si="14"/>
        <v>3.1492794263325754</v>
      </c>
      <c r="AL43" s="153">
        <f t="shared" si="7"/>
        <v>30080.231359270692</v>
      </c>
      <c r="AN43" s="154">
        <f>INDEX('(2.2)_Forward_Price_Curve'!$L:$L,MATCH($AB43,'(2.2)_Forward_Price_Curve'!$C:$C,0),1)</f>
        <v>5.7778666666666672</v>
      </c>
      <c r="AP43" s="154">
        <f t="shared" si="15"/>
        <v>37.561326596087184</v>
      </c>
      <c r="AR43" s="154">
        <f t="shared" si="16"/>
        <v>3.2508623367407665</v>
      </c>
      <c r="AS43" s="154"/>
      <c r="AT43" s="153">
        <f t="shared" si="3"/>
        <v>18797.044069143962</v>
      </c>
      <c r="AV43" s="153">
        <f t="shared" si="4"/>
        <v>42316.828782135861</v>
      </c>
      <c r="AW43" s="273"/>
      <c r="AX43" s="155">
        <f t="shared" si="8"/>
        <v>61113.872851279826</v>
      </c>
      <c r="AZ43" s="146">
        <f>+IF(AZ42&gt;$G$13+$G$14,XX,AZ42+1)</f>
        <v>2036</v>
      </c>
      <c r="BA43" s="117"/>
      <c r="BB43" s="154">
        <f t="shared" si="17"/>
        <v>83.598629837437088</v>
      </c>
      <c r="BD43" s="154">
        <f t="shared" si="18"/>
        <v>9.4181110024655244</v>
      </c>
      <c r="BF43" s="153">
        <f t="shared" si="9"/>
        <v>11283.187290126731</v>
      </c>
      <c r="BH43" s="157"/>
    </row>
    <row r="44" spans="2:60" ht="12">
      <c r="B44" s="2"/>
      <c r="C44">
        <f>+IF(C43&gt;$G$13+$G$14,XX,C43+1)</f>
        <v>2037</v>
      </c>
      <c r="E44" s="169">
        <f>'(2.2)_Forward_Price_Curve'!S51</f>
        <v>2.1999999999999999E-2</v>
      </c>
      <c r="G44" s="18">
        <v>1036867.4136</v>
      </c>
      <c r="I44" s="28">
        <f t="shared" si="10"/>
        <v>106.68740715861283</v>
      </c>
      <c r="K44" s="28">
        <f t="shared" si="10"/>
        <v>1.4561738947836258</v>
      </c>
      <c r="M44" s="28">
        <f t="shared" si="11"/>
        <v>0</v>
      </c>
      <c r="O44" s="270">
        <f>'(2.2)_Forward_Price_Curve'!AC50</f>
        <v>1.6267336732773778</v>
      </c>
      <c r="Q44" s="28">
        <v>0</v>
      </c>
      <c r="S44" s="18">
        <f t="shared" si="5"/>
        <v>35842.912986998803</v>
      </c>
      <c r="U44" s="18">
        <f t="shared" si="0"/>
        <v>63896.109760716776</v>
      </c>
      <c r="W44" s="18">
        <f t="shared" si="1"/>
        <v>-28053.196773717973</v>
      </c>
      <c r="Y44" s="271">
        <f t="shared" si="6"/>
        <v>-27.055722270523841</v>
      </c>
      <c r="Z44" s="235"/>
      <c r="AB44" s="146">
        <f>+IF(AB43&gt;$G$13+$G$14,XX,AB43+1)</f>
        <v>2037</v>
      </c>
      <c r="AC44" s="117"/>
      <c r="AD44" s="151">
        <f t="shared" si="2"/>
        <v>1036867.4136</v>
      </c>
      <c r="AF44" s="154">
        <f t="shared" si="12"/>
        <v>133.5556234778399</v>
      </c>
      <c r="AH44" s="154">
        <f t="shared" si="13"/>
        <v>27.980775973503466</v>
      </c>
      <c r="AJ44" s="154">
        <f t="shared" si="14"/>
        <v>3.2185635737118923</v>
      </c>
      <c r="AL44" s="153">
        <f t="shared" si="7"/>
        <v>30741.996449174647</v>
      </c>
      <c r="AN44" s="154">
        <f>INDEX('(2.2)_Forward_Price_Curve'!$L:$L,MATCH($AB44,'(2.2)_Forward_Price_Curve'!$C:$C,0),1)</f>
        <v>6.1182749999999997</v>
      </c>
      <c r="AP44" s="154">
        <f t="shared" si="15"/>
        <v>39.774286728609511</v>
      </c>
      <c r="AR44" s="154">
        <f t="shared" si="16"/>
        <v>3.3223813081490636</v>
      </c>
      <c r="AS44" s="154"/>
      <c r="AT44" s="153">
        <f t="shared" si="3"/>
        <v>19210.579038665128</v>
      </c>
      <c r="AV44" s="153">
        <f t="shared" si="4"/>
        <v>44685.530722051648</v>
      </c>
      <c r="AW44" s="273"/>
      <c r="AX44" s="155">
        <f t="shared" si="8"/>
        <v>63896.109760716776</v>
      </c>
      <c r="AZ44" s="146">
        <f>+IF(AZ43&gt;$G$13+$G$14,XX,AZ43+1)</f>
        <v>2037</v>
      </c>
      <c r="BA44" s="117"/>
      <c r="BB44" s="154">
        <f t="shared" si="17"/>
        <v>85.437799693860711</v>
      </c>
      <c r="BD44" s="154">
        <f t="shared" si="18"/>
        <v>9.6253094445197664</v>
      </c>
      <c r="BF44" s="153">
        <f t="shared" si="9"/>
        <v>11531.417410509521</v>
      </c>
      <c r="BH44" s="157"/>
    </row>
    <row r="45" spans="2:60" ht="12">
      <c r="B45" s="2"/>
      <c r="C45">
        <f>+IF(C44&gt;$G$13+$G$14,XX,C44+1)</f>
        <v>2038</v>
      </c>
      <c r="E45" s="169">
        <f>'(2.2)_Forward_Price_Curve'!S52</f>
        <v>2.1999999999999999E-2</v>
      </c>
      <c r="G45" s="18">
        <v>1036867.4136</v>
      </c>
      <c r="I45" s="28">
        <f t="shared" si="10"/>
        <v>109.03453011610232</v>
      </c>
      <c r="K45" s="28">
        <f t="shared" si="10"/>
        <v>1.4882097204688656</v>
      </c>
      <c r="M45" s="28">
        <f t="shared" si="11"/>
        <v>0</v>
      </c>
      <c r="O45" s="270">
        <f>'(2.2)_Forward_Price_Curve'!AC51</f>
        <v>1.6606577113778709</v>
      </c>
      <c r="Q45" s="28">
        <v>0</v>
      </c>
      <c r="S45" s="18">
        <f t="shared" si="5"/>
        <v>36629.524245355511</v>
      </c>
      <c r="U45" s="18">
        <f t="shared" si="0"/>
        <v>67721.590782457104</v>
      </c>
      <c r="W45" s="18">
        <f t="shared" si="1"/>
        <v>-31092.066537101593</v>
      </c>
      <c r="Y45" s="271">
        <f t="shared" si="6"/>
        <v>-29.986540351528696</v>
      </c>
      <c r="Z45" s="235"/>
      <c r="AB45" s="146">
        <f>+IF(AB44&gt;$G$13+$G$14,XX,AB44+1)</f>
        <v>2038</v>
      </c>
      <c r="AC45" s="117"/>
      <c r="AD45" s="151">
        <f t="shared" si="2"/>
        <v>1036867.4136</v>
      </c>
      <c r="AF45" s="154">
        <f t="shared" si="12"/>
        <v>136.49384719435238</v>
      </c>
      <c r="AH45" s="154">
        <f t="shared" si="13"/>
        <v>28.596353044920544</v>
      </c>
      <c r="AJ45" s="154">
        <f t="shared" si="14"/>
        <v>3.2893719723335542</v>
      </c>
      <c r="AL45" s="153">
        <f t="shared" si="7"/>
        <v>31418.320371056492</v>
      </c>
      <c r="AN45" s="154">
        <f>INDEX('(2.2)_Forward_Price_Curve'!$L:$L,MATCH($AB45,'(2.2)_Forward_Price_Curve'!$C:$C,0),1)</f>
        <v>6.6118625</v>
      </c>
      <c r="AP45" s="154">
        <f t="shared" si="15"/>
        <v>42.983049124980646</v>
      </c>
      <c r="AR45" s="154">
        <f t="shared" si="16"/>
        <v>3.395473696928343</v>
      </c>
      <c r="AS45" s="154"/>
      <c r="AT45" s="153">
        <f t="shared" si="3"/>
        <v>19633.21177751576</v>
      </c>
      <c r="AV45" s="153">
        <f t="shared" si="4"/>
        <v>48088.379004941344</v>
      </c>
      <c r="AW45" s="273"/>
      <c r="AX45" s="155">
        <f t="shared" si="8"/>
        <v>67721.590782457104</v>
      </c>
      <c r="AZ45" s="146">
        <f>+IF(AZ44&gt;$G$13+$G$14,XX,AZ44+1)</f>
        <v>2038</v>
      </c>
      <c r="BA45" s="117"/>
      <c r="BB45" s="154">
        <f t="shared" si="17"/>
        <v>87.317431287125643</v>
      </c>
      <c r="BD45" s="154">
        <f t="shared" si="18"/>
        <v>9.8370662522992021</v>
      </c>
      <c r="BF45" s="153">
        <f t="shared" si="9"/>
        <v>11785.10859354073</v>
      </c>
      <c r="BH45" s="157"/>
    </row>
    <row r="46" spans="2:60" ht="12">
      <c r="B46" s="2"/>
      <c r="C46">
        <f>+IF(C45&gt;$G$13+$G$14,XX,C45+1)</f>
        <v>2039</v>
      </c>
      <c r="E46" s="169">
        <f>'(2.2)_Forward_Price_Curve'!S53</f>
        <v>2.1999999999999999E-2</v>
      </c>
      <c r="G46" s="18">
        <v>1036867.4136</v>
      </c>
      <c r="I46" s="28">
        <f t="shared" si="10"/>
        <v>111.43328977865657</v>
      </c>
      <c r="K46" s="28">
        <f t="shared" si="10"/>
        <v>1.5209503343191806</v>
      </c>
      <c r="M46" s="28">
        <f t="shared" si="11"/>
        <v>0</v>
      </c>
      <c r="O46" s="270">
        <f>'(2.2)_Forward_Price_Curve'!AC52</f>
        <v>1.6953423361778306</v>
      </c>
      <c r="Q46" s="28">
        <v>0</v>
      </c>
      <c r="S46" s="18">
        <f t="shared" si="5"/>
        <v>37433.45573490778</v>
      </c>
      <c r="U46" s="18">
        <f t="shared" si="0"/>
        <v>71466.786572659301</v>
      </c>
      <c r="W46" s="18">
        <f t="shared" si="1"/>
        <v>-34033.33083775152</v>
      </c>
      <c r="Y46" s="271">
        <f t="shared" si="6"/>
        <v>-32.823223481956987</v>
      </c>
      <c r="Z46" s="235"/>
      <c r="AB46" s="146">
        <f>+IF(AB45&gt;$G$13+$G$14,XX,AB45+1)</f>
        <v>2039</v>
      </c>
      <c r="AC46" s="117"/>
      <c r="AD46" s="151">
        <f t="shared" si="2"/>
        <v>1036867.4136</v>
      </c>
      <c r="AF46" s="154">
        <f t="shared" si="12"/>
        <v>139.49671183262814</v>
      </c>
      <c r="AH46" s="154">
        <f t="shared" si="13"/>
        <v>29.225472811908798</v>
      </c>
      <c r="AJ46" s="154">
        <f t="shared" si="14"/>
        <v>3.3617381557248924</v>
      </c>
      <c r="AL46" s="153">
        <f t="shared" si="7"/>
        <v>32109.523419219735</v>
      </c>
      <c r="AN46" s="154">
        <f>INDEX('(2.2)_Forward_Price_Curve'!$L:$L,MATCH($AB46,'(2.2)_Forward_Price_Curve'!$C:$C,0),1)</f>
        <v>7.0919124999999994</v>
      </c>
      <c r="AP46" s="154">
        <f t="shared" si="15"/>
        <v>46.103805603574521</v>
      </c>
      <c r="AR46" s="154">
        <f t="shared" si="16"/>
        <v>3.4701741182607666</v>
      </c>
      <c r="AS46" s="154"/>
      <c r="AT46" s="153">
        <f t="shared" si="3"/>
        <v>20065.142436621107</v>
      </c>
      <c r="AV46" s="153">
        <f t="shared" si="4"/>
        <v>51401.644136038201</v>
      </c>
      <c r="AW46" s="273"/>
      <c r="AX46" s="155">
        <f t="shared" si="8"/>
        <v>71466.786572659301</v>
      </c>
      <c r="AZ46" s="146">
        <f>+IF(AZ45&gt;$G$13+$G$14,XX,AZ45+1)</f>
        <v>2039</v>
      </c>
      <c r="BA46" s="117"/>
      <c r="BB46" s="154">
        <f t="shared" si="17"/>
        <v>89.238414775442408</v>
      </c>
      <c r="BD46" s="154">
        <f t="shared" si="18"/>
        <v>10.053481709849784</v>
      </c>
      <c r="BF46" s="153">
        <f t="shared" si="9"/>
        <v>12044.380982598626</v>
      </c>
      <c r="BH46" s="157"/>
    </row>
    <row r="47" spans="2:60" ht="12">
      <c r="B47" s="2"/>
      <c r="C47">
        <f>+IF(C46&gt;$G$13+$G$14,XX,C46+1)</f>
        <v>2040</v>
      </c>
      <c r="E47" s="169">
        <f>'(2.2)_Forward_Price_Curve'!S54</f>
        <v>2.1999999999999999E-2</v>
      </c>
      <c r="G47" s="18">
        <v>1036867.4136</v>
      </c>
      <c r="I47" s="28">
        <f t="shared" si="10"/>
        <v>113.88482215378701</v>
      </c>
      <c r="K47" s="28">
        <f t="shared" si="10"/>
        <v>1.5544112416742026</v>
      </c>
      <c r="M47" s="28">
        <f t="shared" si="11"/>
        <v>0</v>
      </c>
      <c r="O47" s="270">
        <f>'(2.2)_Forward_Price_Curve'!AC53</f>
        <v>1.730529504666237</v>
      </c>
      <c r="Q47" s="28"/>
      <c r="S47" s="18">
        <f t="shared" si="5"/>
        <v>38254.803594546094</v>
      </c>
      <c r="U47" s="18">
        <f t="shared" si="0"/>
        <v>73542.090640547103</v>
      </c>
      <c r="W47" s="18">
        <f t="shared" si="1"/>
        <v>-35287.287046001009</v>
      </c>
      <c r="Y47" s="271">
        <f t="shared" si="6"/>
        <v>-34.032593351047339</v>
      </c>
      <c r="Z47" s="235"/>
      <c r="AB47" s="146">
        <f>+IF(AB46&gt;$G$13+$G$14,XX,AB46+1)</f>
        <v>2040</v>
      </c>
      <c r="AC47" s="117"/>
      <c r="AD47" s="151">
        <f t="shared" si="2"/>
        <v>1036867.4136</v>
      </c>
      <c r="AF47" s="154">
        <f t="shared" si="12"/>
        <v>142.56563949294596</v>
      </c>
      <c r="AH47" s="154">
        <f t="shared" si="13"/>
        <v>29.868433213770793</v>
      </c>
      <c r="AJ47" s="154">
        <f t="shared" si="14"/>
        <v>3.4356963951508401</v>
      </c>
      <c r="AL47" s="153">
        <f t="shared" si="7"/>
        <v>32815.932934442579</v>
      </c>
      <c r="AN47" s="154">
        <f>INDEX('(2.2)_Forward_Price_Curve'!$L:$L,MATCH($AB47,'(2.2)_Forward_Price_Curve'!$C:$C,0),1)</f>
        <v>7.3225625000000001</v>
      </c>
      <c r="AP47" s="154">
        <f t="shared" si="15"/>
        <v>47.603237916432938</v>
      </c>
      <c r="AR47" s="154">
        <f t="shared" si="16"/>
        <v>3.5465179488625034</v>
      </c>
      <c r="AS47" s="154"/>
      <c r="AT47" s="153">
        <f t="shared" si="3"/>
        <v>20506.575570226785</v>
      </c>
      <c r="AV47" s="153">
        <f t="shared" si="4"/>
        <v>53035.515070320311</v>
      </c>
      <c r="AW47" s="273"/>
      <c r="AX47" s="155">
        <f t="shared" si="8"/>
        <v>73542.090640547103</v>
      </c>
      <c r="AZ47" s="146">
        <f>+IF(AZ46&gt;$G$13+$G$14,XX,AZ46+1)</f>
        <v>2040</v>
      </c>
      <c r="BA47" s="117"/>
      <c r="BB47" s="154">
        <f t="shared" si="17"/>
        <v>91.201659900502136</v>
      </c>
      <c r="BD47" s="154">
        <f t="shared" si="18"/>
        <v>10.274658307466479</v>
      </c>
      <c r="BF47" s="153">
        <f t="shared" si="9"/>
        <v>12309.357364215793</v>
      </c>
      <c r="BH47" s="157"/>
    </row>
    <row r="48" spans="2:60" ht="12">
      <c r="B48" s="2"/>
      <c r="C48">
        <f>+IF(C47&gt;$G$13+$G$14,XX,C47+1)</f>
        <v>2041</v>
      </c>
      <c r="E48" s="169">
        <f>'(2.2)_Forward_Price_Curve'!S55</f>
        <v>2.1999999999999999E-2</v>
      </c>
      <c r="G48" s="18">
        <v>1036867.4136</v>
      </c>
      <c r="I48" s="28">
        <f t="shared" si="10"/>
        <v>116.39028824117032</v>
      </c>
      <c r="K48" s="28">
        <f t="shared" si="10"/>
        <v>1.5886082889910351</v>
      </c>
      <c r="M48" s="28">
        <f t="shared" si="11"/>
        <v>0</v>
      </c>
      <c r="O48" s="270">
        <f>'(2.2)_Forward_Price_Curve'!AC54</f>
        <v>1.7664344168351047</v>
      </c>
      <c r="Q48" s="28"/>
      <c r="S48" s="18">
        <f t="shared" si="5"/>
        <v>39094.162654705615</v>
      </c>
      <c r="U48" s="18">
        <f t="shared" si="0"/>
        <v>75160.01663463912</v>
      </c>
      <c r="W48" s="18">
        <f t="shared" si="1"/>
        <v>-36065.853979933505</v>
      </c>
      <c r="Y48" s="271">
        <f t="shared" si="6"/>
        <v>-34.783477141704154</v>
      </c>
      <c r="Z48" s="235"/>
      <c r="AB48" s="146">
        <f>+IF(AB47&gt;$G$13+$G$14,XX,AB47+1)</f>
        <v>2041</v>
      </c>
      <c r="AC48" s="117"/>
      <c r="AD48" s="151">
        <f t="shared" si="2"/>
        <v>1036867.4136</v>
      </c>
      <c r="AF48" s="154">
        <f t="shared" si="12"/>
        <v>145.70208356179077</v>
      </c>
      <c r="AH48" s="154">
        <f t="shared" si="13"/>
        <v>30.525538744473749</v>
      </c>
      <c r="AJ48" s="154">
        <f t="shared" si="14"/>
        <v>3.5112817158441585</v>
      </c>
      <c r="AL48" s="153">
        <f t="shared" si="7"/>
        <v>33537.88345900031</v>
      </c>
      <c r="AN48" s="154">
        <f>INDEX('(2.2)_Forward_Price_Curve'!$L:$L,MATCH($AB48,'(2.2)_Forward_Price_Curve'!$C:$C,0),1)</f>
        <v>7.4836588750000006</v>
      </c>
      <c r="AP48" s="154">
        <f t="shared" si="15"/>
        <v>48.650509150594466</v>
      </c>
      <c r="AR48" s="154">
        <f t="shared" si="16"/>
        <v>3.6245413437374787</v>
      </c>
      <c r="AS48" s="154"/>
      <c r="AT48" s="153">
        <f t="shared" si="3"/>
        <v>20957.720232771768</v>
      </c>
      <c r="AV48" s="153">
        <f t="shared" si="4"/>
        <v>54202.296401867359</v>
      </c>
      <c r="AW48" s="273"/>
      <c r="AX48" s="155">
        <f t="shared" si="8"/>
        <v>75160.01663463912</v>
      </c>
      <c r="AZ48" s="146">
        <f>+IF(AZ47&gt;$G$13+$G$14,XX,AZ47+1)</f>
        <v>2041</v>
      </c>
      <c r="BA48" s="117"/>
      <c r="BB48" s="154">
        <f t="shared" si="17"/>
        <v>93.20809641831319</v>
      </c>
      <c r="BD48" s="154">
        <f t="shared" si="18"/>
        <v>10.500700790230741</v>
      </c>
      <c r="BF48" s="153">
        <f t="shared" si="9"/>
        <v>12580.163226228542</v>
      </c>
      <c r="BH48" s="157"/>
    </row>
    <row r="49" spans="2:60" ht="12">
      <c r="B49" s="2"/>
      <c r="C49">
        <f>+IF(C48&gt;$G$13+$G$14,XX,C48+1)</f>
        <v>2042</v>
      </c>
      <c r="E49" s="169">
        <f>'(2.2)_Forward_Price_Curve'!S56</f>
        <v>2.1999999999999999E-2</v>
      </c>
      <c r="G49" s="18">
        <v>1036867.4136</v>
      </c>
      <c r="I49" s="28">
        <f t="shared" si="10"/>
        <v>118.95087458247608</v>
      </c>
      <c r="K49" s="28">
        <f t="shared" si="10"/>
        <v>1.623557671348838</v>
      </c>
      <c r="M49" s="28">
        <f t="shared" si="11"/>
        <v>0</v>
      </c>
      <c r="O49" s="270">
        <f>'(2.2)_Forward_Price_Curve'!AC55</f>
        <v>1.8033030507073435</v>
      </c>
      <c r="Q49" s="28"/>
      <c r="S49" s="18">
        <f t="shared" si="5"/>
        <v>39952.167835883505</v>
      </c>
      <c r="U49" s="18">
        <f t="shared" si="0"/>
        <v>76813.537000601194</v>
      </c>
      <c r="W49" s="18">
        <f t="shared" si="1"/>
        <v>-36861.369164717689</v>
      </c>
      <c r="Y49" s="271">
        <f t="shared" si="6"/>
        <v>-35.550706562119785</v>
      </c>
      <c r="Z49" s="235"/>
      <c r="AB49" s="146">
        <f>+IF(AB48&gt;$G$13+$G$14,XX,AB48+1)</f>
        <v>2042</v>
      </c>
      <c r="AC49" s="117"/>
      <c r="AD49" s="151">
        <f t="shared" si="2"/>
        <v>1036867.4136</v>
      </c>
      <c r="AF49" s="154">
        <f t="shared" si="12"/>
        <v>148.90752940015017</v>
      </c>
      <c r="AH49" s="154">
        <f t="shared" si="13"/>
        <v>31.197100596852174</v>
      </c>
      <c r="AJ49" s="154">
        <f t="shared" si="14"/>
        <v>3.5885299135927302</v>
      </c>
      <c r="AL49" s="153">
        <f t="shared" si="7"/>
        <v>34275.716895098318</v>
      </c>
      <c r="AN49" s="154">
        <f>INDEX('(2.2)_Forward_Price_Curve'!$L:$L,MATCH($AB49,'(2.2)_Forward_Price_Curve'!$C:$C,0),1)</f>
        <v>7.6482993702500011</v>
      </c>
      <c r="AP49" s="154">
        <f t="shared" si="15"/>
        <v>49.720820351907548</v>
      </c>
      <c r="AR49" s="154">
        <f t="shared" si="16"/>
        <v>3.7042812532997034</v>
      </c>
      <c r="AS49" s="154"/>
      <c r="AT49" s="153">
        <f t="shared" si="3"/>
        <v>21418.790077892747</v>
      </c>
      <c r="AV49" s="153">
        <f t="shared" si="4"/>
        <v>55394.746922708451</v>
      </c>
      <c r="AW49" s="273"/>
      <c r="AX49" s="155">
        <f t="shared" si="8"/>
        <v>76813.537000601194</v>
      </c>
      <c r="AZ49" s="146">
        <f>+IF(AZ48&gt;$G$13+$G$14,XX,AZ48+1)</f>
        <v>2042</v>
      </c>
      <c r="BA49" s="117"/>
      <c r="BB49" s="154">
        <f t="shared" si="17"/>
        <v>95.258674539516079</v>
      </c>
      <c r="BD49" s="154">
        <f t="shared" si="18"/>
        <v>10.731716207615818</v>
      </c>
      <c r="BF49" s="153">
        <f t="shared" si="9"/>
        <v>12856.926817205571</v>
      </c>
      <c r="BH49" s="157"/>
    </row>
    <row r="50" spans="2:60" ht="12">
      <c r="B50" s="2"/>
      <c r="C50">
        <f>+IF(C49&gt;$G$13+$G$14,XX,C49+1)</f>
        <v>2043</v>
      </c>
      <c r="E50" s="169">
        <f>'(2.2)_Forward_Price_Curve'!S57</f>
        <v>2.3E-2</v>
      </c>
      <c r="G50" s="18">
        <v>1036867.4136</v>
      </c>
      <c r="I50" s="28">
        <f t="shared" si="10"/>
        <v>121.68674469787301</v>
      </c>
      <c r="K50" s="28">
        <f t="shared" si="10"/>
        <v>1.660899497789861</v>
      </c>
      <c r="M50" s="28">
        <f t="shared" si="11"/>
        <v>0</v>
      </c>
      <c r="O50" s="270">
        <f>'(2.2)_Forward_Price_Curve'!AC56</f>
        <v>1.8413139188621417</v>
      </c>
      <c r="Q50" s="28"/>
      <c r="S50" s="18">
        <f t="shared" si="5"/>
        <v>40867.474844748329</v>
      </c>
      <c r="U50" s="18">
        <f t="shared" si="0"/>
        <v>78528.694453214674</v>
      </c>
      <c r="W50" s="18">
        <f t="shared" si="1"/>
        <v>-37661.219608466345</v>
      </c>
      <c r="Y50" s="271">
        <f t="shared" si="6"/>
        <v>-36.322117094708112</v>
      </c>
      <c r="Z50" s="235"/>
      <c r="AB50" s="146">
        <f>+IF(AB49&gt;$G$13+$G$14,XX,AB49+1)</f>
        <v>2043</v>
      </c>
      <c r="AC50" s="117"/>
      <c r="AD50" s="151">
        <f t="shared" si="2"/>
        <v>1036867.4136</v>
      </c>
      <c r="AF50" s="154">
        <f t="shared" si="12"/>
        <v>152.33240257635362</v>
      </c>
      <c r="AH50" s="154">
        <f t="shared" si="13"/>
        <v>31.91463391057977</v>
      </c>
      <c r="AJ50" s="154">
        <f t="shared" si="14"/>
        <v>3.6710661016053625</v>
      </c>
      <c r="AL50" s="153">
        <f t="shared" si="7"/>
        <v>35064.058383685573</v>
      </c>
      <c r="AN50" s="154">
        <f>INDEX('(2.2)_Forward_Price_Curve'!$L:$L,MATCH($AB50,'(2.2)_Forward_Price_Curve'!$C:$C,0),1)</f>
        <v>7.8165619563955016</v>
      </c>
      <c r="AP50" s="154">
        <f t="shared" si="15"/>
        <v>50.814678399649516</v>
      </c>
      <c r="AR50" s="154">
        <f t="shared" si="16"/>
        <v>3.7894797221255963</v>
      </c>
      <c r="AS50" s="154"/>
      <c r="AT50" s="153">
        <f t="shared" si="3"/>
        <v>21911.422249684278</v>
      </c>
      <c r="AV50" s="153">
        <f t="shared" si="4"/>
        <v>56617.272203530396</v>
      </c>
      <c r="AW50" s="273"/>
      <c r="AX50" s="155">
        <f t="shared" si="8"/>
        <v>78528.694453214674</v>
      </c>
      <c r="AZ50" s="146">
        <f>+IF(AZ49&gt;$G$13+$G$14,XX,AZ49+1)</f>
        <v>2043</v>
      </c>
      <c r="BA50" s="117"/>
      <c r="BB50" s="154">
        <f t="shared" si="17"/>
        <v>97.449624053924936</v>
      </c>
      <c r="BD50" s="154">
        <f t="shared" si="18"/>
        <v>10.978545680390981</v>
      </c>
      <c r="BF50" s="153">
        <f t="shared" si="9"/>
        <v>13152.636134001295</v>
      </c>
      <c r="BH50" s="157"/>
    </row>
    <row r="51" spans="2:60" ht="12">
      <c r="B51" s="2"/>
      <c r="C51">
        <f>+IF(C50&gt;$G$13+$G$14,XX,C50+1)</f>
        <v>2044</v>
      </c>
      <c r="E51" s="169">
        <f>'(2.2)_Forward_Price_Curve'!S58</f>
        <v>2.3E-2</v>
      </c>
      <c r="G51" s="18">
        <v>1036867.4136</v>
      </c>
      <c r="I51" s="28">
        <f t="shared" si="10"/>
        <v>124.48553982592408</v>
      </c>
      <c r="K51" s="28">
        <f t="shared" si="10"/>
        <v>1.6991001862390276</v>
      </c>
      <c r="M51" s="28">
        <f t="shared" si="11"/>
        <v>0</v>
      </c>
      <c r="O51" s="270">
        <f>'(2.2)_Forward_Price_Curve'!AC57</f>
        <v>1.8803404620364608</v>
      </c>
      <c r="Q51" s="28"/>
      <c r="S51" s="18">
        <f t="shared" si="5"/>
        <v>41803.980553844885</v>
      </c>
      <c r="U51" s="18">
        <f t="shared" si="0"/>
        <v>80282.166341473465</v>
      </c>
      <c r="W51" s="18">
        <f t="shared" si="1"/>
        <v>-38478.185787628579</v>
      </c>
      <c r="Y51" s="271">
        <f t="shared" si="6"/>
        <v>-37.110034786446278</v>
      </c>
      <c r="Z51" s="235"/>
      <c r="AB51" s="146">
        <f>+IF(AB50&gt;$G$13+$G$14,XX,AB50+1)</f>
        <v>2044</v>
      </c>
      <c r="AC51" s="117"/>
      <c r="AD51" s="151">
        <f t="shared" si="2"/>
        <v>1036867.4136</v>
      </c>
      <c r="AF51" s="154">
        <f t="shared" si="12"/>
        <v>155.83604783560975</v>
      </c>
      <c r="AH51" s="154">
        <f t="shared" si="13"/>
        <v>32.648670490523102</v>
      </c>
      <c r="AJ51" s="154">
        <f t="shared" si="14"/>
        <v>3.7555006219422857</v>
      </c>
      <c r="AL51" s="153">
        <f t="shared" si="7"/>
        <v>35870.531726510344</v>
      </c>
      <c r="AN51" s="154">
        <f>INDEX('(2.2)_Forward_Price_Curve'!$L:$L,MATCH($AB51,'(2.2)_Forward_Price_Curve'!$C:$C,0),1)</f>
        <v>7.9885263194362031</v>
      </c>
      <c r="AP51" s="154">
        <f t="shared" si="15"/>
        <v>51.932601324441805</v>
      </c>
      <c r="AR51" s="154">
        <f t="shared" si="16"/>
        <v>3.8766377557344844</v>
      </c>
      <c r="AS51" s="154"/>
      <c r="AT51" s="153">
        <f t="shared" si="3"/>
        <v>22415.384961427022</v>
      </c>
      <c r="AV51" s="153">
        <f t="shared" si="4"/>
        <v>57866.781380046436</v>
      </c>
      <c r="AW51" s="273"/>
      <c r="AX51" s="155">
        <f t="shared" si="8"/>
        <v>80282.166341473465</v>
      </c>
      <c r="AZ51" s="146">
        <f>+IF(AZ50&gt;$G$13+$G$14,XX,AZ50+1)</f>
        <v>2044</v>
      </c>
      <c r="BA51" s="117"/>
      <c r="BB51" s="154">
        <f t="shared" si="17"/>
        <v>99.690965407165194</v>
      </c>
      <c r="BD51" s="154">
        <f t="shared" si="18"/>
        <v>11.231052231039973</v>
      </c>
      <c r="BF51" s="153">
        <f t="shared" si="9"/>
        <v>13455.146765083324</v>
      </c>
      <c r="BH51" s="157"/>
    </row>
    <row r="52" spans="2:60" ht="12">
      <c r="B52" s="2"/>
      <c r="C52">
        <f>+IF(C51&gt;$G$13+$G$14,XX,C51+1)</f>
        <v>2045</v>
      </c>
      <c r="E52" s="169">
        <f>'(2.2)_Forward_Price_Curve'!S59</f>
        <v>2.3E-2</v>
      </c>
      <c r="G52" s="18">
        <v>1036867.4136</v>
      </c>
      <c r="I52" s="28">
        <f t="shared" si="10"/>
        <v>127.34870724192032</v>
      </c>
      <c r="K52" s="28">
        <f t="shared" si="10"/>
        <v>1.738179490522525</v>
      </c>
      <c r="M52" s="28">
        <f t="shared" si="11"/>
        <v>0</v>
      </c>
      <c r="O52" s="270">
        <f>'(2.2)_Forward_Price_Curve'!AC58</f>
        <v>1.9203752935028859</v>
      </c>
      <c r="Q52" s="28"/>
      <c r="S52" s="18">
        <f t="shared" si="5"/>
        <v>42762.140652453949</v>
      </c>
      <c r="U52" s="18">
        <f t="shared" si="0"/>
        <v>82074.808945310535</v>
      </c>
      <c r="W52" s="18">
        <f t="shared" si="1"/>
        <v>-39312.668292856586</v>
      </c>
      <c r="Y52" s="271">
        <f t="shared" si="6"/>
        <v>-37.914845984370501</v>
      </c>
      <c r="Z52" s="235"/>
      <c r="AB52" s="146">
        <f>+IF(AB51&gt;$G$13+$G$14,XX,AB51+1)</f>
        <v>2045</v>
      </c>
      <c r="AC52" s="117"/>
      <c r="AD52" s="151">
        <f t="shared" si="2"/>
        <v>1036867.4136</v>
      </c>
      <c r="AF52" s="154">
        <f t="shared" si="12"/>
        <v>159.42027693582875</v>
      </c>
      <c r="AH52" s="154">
        <f t="shared" si="13"/>
        <v>33.39958991180513</v>
      </c>
      <c r="AJ52" s="154">
        <f t="shared" si="14"/>
        <v>3.8418771362469579</v>
      </c>
      <c r="AL52" s="153">
        <f t="shared" si="7"/>
        <v>36695.553956220072</v>
      </c>
      <c r="AN52" s="154">
        <f>INDEX('(2.2)_Forward_Price_Curve'!$L:$L,MATCH($AB52,'(2.2)_Forward_Price_Curve'!$C:$C,0),1)</f>
        <v>8.164273898463799</v>
      </c>
      <c r="AP52" s="154">
        <f t="shared" si="15"/>
        <v>53.075118553579522</v>
      </c>
      <c r="AR52" s="154">
        <f t="shared" si="16"/>
        <v>3.9658004241163773</v>
      </c>
      <c r="AS52" s="154"/>
      <c r="AT52" s="153">
        <f t="shared" si="3"/>
        <v>22930.938815539834</v>
      </c>
      <c r="AV52" s="153">
        <f t="shared" si="4"/>
        <v>59143.870129770694</v>
      </c>
      <c r="AW52" s="273"/>
      <c r="AX52" s="155">
        <f t="shared" si="8"/>
        <v>82074.808945310535</v>
      </c>
      <c r="AZ52" s="146">
        <f>+IF(AZ51&gt;$G$13+$G$14,XX,AZ51+1)</f>
        <v>2045</v>
      </c>
      <c r="BA52" s="117"/>
      <c r="BB52" s="154">
        <f t="shared" si="17"/>
        <v>101.98385761152998</v>
      </c>
      <c r="BD52" s="154">
        <f t="shared" si="18"/>
        <v>11.489366432353892</v>
      </c>
      <c r="BF52" s="153">
        <f t="shared" si="9"/>
        <v>13764.61514068024</v>
      </c>
      <c r="BH52" s="157"/>
    </row>
    <row r="53" spans="2:60" ht="12">
      <c r="B53" s="2"/>
      <c r="C53">
        <f>+IF(C52&gt;$G$13+$G$14,XX,C52+1)</f>
        <v>2046</v>
      </c>
      <c r="E53" s="169">
        <f>'(2.2)_Forward_Price_Curve'!S60</f>
        <v>2.3E-2</v>
      </c>
      <c r="G53" s="18">
        <v>1036867.4136</v>
      </c>
      <c r="I53" s="28">
        <f t="shared" si="10"/>
        <v>130.27772750848447</v>
      </c>
      <c r="K53" s="28">
        <f t="shared" si="10"/>
        <v>1.7781576188045429</v>
      </c>
      <c r="M53" s="28">
        <f t="shared" si="11"/>
        <v>0</v>
      </c>
      <c r="O53" s="270">
        <f>'(2.2)_Forward_Price_Curve'!AC59</f>
        <v>1.9616503565022387</v>
      </c>
      <c r="Q53" s="28"/>
      <c r="S53" s="18">
        <f t="shared" si="5"/>
        <v>43742.669640313252</v>
      </c>
      <c r="U53" s="18">
        <f t="shared" si="0"/>
        <v>83907.497690151533</v>
      </c>
      <c r="W53" s="18">
        <f t="shared" si="1"/>
        <v>-40164.828049838281</v>
      </c>
      <c r="Y53" s="271">
        <f t="shared" si="6"/>
        <v>-38.736705892208668</v>
      </c>
      <c r="Z53" s="235"/>
      <c r="AB53" s="146">
        <f>+IF(AB52&gt;$G$13+$G$14,XX,AB52+1)</f>
        <v>2046</v>
      </c>
      <c r="AC53" s="117"/>
      <c r="AD53" s="151">
        <f t="shared" si="2"/>
        <v>1036867.4136</v>
      </c>
      <c r="AF53" s="154">
        <f t="shared" si="12"/>
        <v>163.0869433053528</v>
      </c>
      <c r="AH53" s="154">
        <f t="shared" si="13"/>
        <v>34.167780479776646</v>
      </c>
      <c r="AJ53" s="154">
        <f t="shared" si="14"/>
        <v>3.9302403103806376</v>
      </c>
      <c r="AL53" s="153">
        <f t="shared" si="7"/>
        <v>37539.551697213137</v>
      </c>
      <c r="AN53" s="154">
        <f>INDEX('(2.2)_Forward_Price_Curve'!$L:$L,MATCH($AB53,'(2.2)_Forward_Price_Curve'!$C:$C,0),1)</f>
        <v>8.3438879242300033</v>
      </c>
      <c r="AP53" s="154">
        <f t="shared" si="15"/>
        <v>54.242771161758284</v>
      </c>
      <c r="AR53" s="154">
        <f t="shared" si="16"/>
        <v>4.0570138338710535</v>
      </c>
      <c r="AS53" s="154"/>
      <c r="AT53" s="153">
        <f t="shared" si="3"/>
        <v>23458.350408297254</v>
      </c>
      <c r="AV53" s="153">
        <f t="shared" si="4"/>
        <v>60449.147281854282</v>
      </c>
      <c r="AW53" s="273"/>
      <c r="AX53" s="155">
        <f t="shared" si="8"/>
        <v>83907.497690151533</v>
      </c>
      <c r="AZ53" s="146">
        <f>+IF(AZ52&gt;$G$13+$G$14,XX,AZ52+1)</f>
        <v>2046</v>
      </c>
      <c r="BA53" s="117"/>
      <c r="BB53" s="154">
        <f t="shared" si="17"/>
        <v>104.32948633659517</v>
      </c>
      <c r="BD53" s="154">
        <f t="shared" si="18"/>
        <v>11.753621860298031</v>
      </c>
      <c r="BF53" s="153">
        <f t="shared" si="9"/>
        <v>14081.201288915883</v>
      </c>
      <c r="BH53" s="157"/>
    </row>
    <row r="54" spans="2:60" ht="12">
      <c r="B54" s="2"/>
      <c r="C54">
        <f>+IF(C53&gt;$G$13+$G$14,XX,C53+1)</f>
        <v>2047</v>
      </c>
      <c r="E54" s="169">
        <f>'(2.2)_Forward_Price_Curve'!S61</f>
        <v>2.1999999999999999E-2</v>
      </c>
      <c r="G54" s="18">
        <v>1036867.4136</v>
      </c>
      <c r="I54" s="28">
        <f t="shared" si="10"/>
        <v>133.14383751367114</v>
      </c>
      <c r="K54" s="28">
        <f t="shared" si="10"/>
        <v>1.8172770864182428</v>
      </c>
      <c r="M54" s="28">
        <f t="shared" si="11"/>
        <v>0</v>
      </c>
      <c r="O54" s="270">
        <f>'(2.2)_Forward_Price_Curve'!AC60</f>
        <v>2.0038320171796222</v>
      </c>
      <c r="Q54" s="28"/>
      <c r="S54" s="18">
        <f t="shared" si="5"/>
        <v>44703.99779251431</v>
      </c>
      <c r="U54" s="18">
        <f t="shared" si="0"/>
        <v>85753.462639334859</v>
      </c>
      <c r="W54" s="18">
        <f t="shared" si="1"/>
        <v>-41049.464846820549</v>
      </c>
      <c r="Y54" s="271">
        <f t="shared" si="6"/>
        <v>-39.58988806900291</v>
      </c>
      <c r="Z54" s="235"/>
      <c r="AB54" s="146">
        <f>+IF(AB53&gt;$G$13+$G$14,XX,AB53+1)</f>
        <v>2047</v>
      </c>
      <c r="AC54" s="117"/>
      <c r="AD54" s="151">
        <f t="shared" si="2"/>
        <v>1036867.4136</v>
      </c>
      <c r="AF54" s="154">
        <f t="shared" si="12"/>
        <v>166.67485605807056</v>
      </c>
      <c r="AH54" s="154">
        <f t="shared" si="13"/>
        <v>34.91947165033173</v>
      </c>
      <c r="AJ54" s="154">
        <f t="shared" si="14"/>
        <v>4.016705597209012</v>
      </c>
      <c r="AL54" s="153">
        <f t="shared" si="7"/>
        <v>38365.421834551824</v>
      </c>
      <c r="AN54" s="154">
        <f>INDEX('(2.2)_Forward_Price_Curve'!$L:$L,MATCH($AB54,'(2.2)_Forward_Price_Curve'!$C:$C,0),1)</f>
        <v>8.5274534585630644</v>
      </c>
      <c r="AP54" s="154">
        <f t="shared" si="15"/>
        <v>55.436112127316967</v>
      </c>
      <c r="AR54" s="154">
        <f t="shared" si="16"/>
        <v>4.1462681382162172</v>
      </c>
      <c r="AS54" s="154"/>
      <c r="AT54" s="153">
        <f t="shared" si="3"/>
        <v>23974.43411727979</v>
      </c>
      <c r="AV54" s="153">
        <f t="shared" si="4"/>
        <v>61779.028522055065</v>
      </c>
      <c r="AW54" s="273"/>
      <c r="AX54" s="155">
        <f t="shared" si="8"/>
        <v>85753.462639334859</v>
      </c>
      <c r="AZ54" s="146">
        <f>+IF(AZ53&gt;$G$13+$G$14,XX,AZ53+1)</f>
        <v>2047</v>
      </c>
      <c r="BA54" s="117"/>
      <c r="BB54" s="154">
        <f t="shared" si="17"/>
        <v>106.62473503600026</v>
      </c>
      <c r="BD54" s="154">
        <f t="shared" si="18"/>
        <v>12.012201541224588</v>
      </c>
      <c r="BF54" s="153">
        <f t="shared" si="9"/>
        <v>14390.987717272033</v>
      </c>
      <c r="BH54" s="157"/>
    </row>
    <row r="55" spans="2:60" ht="12">
      <c r="B55" s="2"/>
      <c r="C55">
        <f>+IF(C54&gt;$G$13+$G$14,XX,C54+1)</f>
        <v>2048</v>
      </c>
      <c r="E55" s="169">
        <f>'(2.2)_Forward_Price_Curve'!S62</f>
        <v>2.1999999999999999E-2</v>
      </c>
      <c r="G55" s="18">
        <v>1036867.4136</v>
      </c>
      <c r="I55" s="28">
        <f t="shared" si="10"/>
        <v>136.07300193897191</v>
      </c>
      <c r="K55" s="28">
        <f t="shared" si="10"/>
        <v>1.8572571823194441</v>
      </c>
      <c r="M55" s="28">
        <f t="shared" si="11"/>
        <v>0</v>
      </c>
      <c r="O55" s="270">
        <f>'(2.2)_Forward_Price_Curve'!AC61</f>
        <v>2.0468358206182615</v>
      </c>
      <c r="Q55" s="28"/>
      <c r="S55" s="18">
        <f t="shared" si="5"/>
        <v>45686.365407735284</v>
      </c>
      <c r="U55" s="18">
        <f t="shared" si="0"/>
        <v>87640.038817400229</v>
      </c>
      <c r="W55" s="18">
        <f t="shared" si="1"/>
        <v>-41953.673409664945</v>
      </c>
      <c r="Y55" s="271">
        <f t="shared" si="6"/>
        <v>-40.4619461074603</v>
      </c>
      <c r="Z55" s="235"/>
      <c r="AB55" s="146">
        <f>+IF(AB54&gt;$G$13+$G$14,XX,AB54+1)</f>
        <v>2048</v>
      </c>
      <c r="AC55" s="117"/>
      <c r="AD55" s="151">
        <f t="shared" si="2"/>
        <v>1036867.4136</v>
      </c>
      <c r="AF55" s="154">
        <f t="shared" si="12"/>
        <v>170.34170289134812</v>
      </c>
      <c r="AH55" s="154">
        <f t="shared" si="13"/>
        <v>35.687700026639028</v>
      </c>
      <c r="AJ55" s="154">
        <f t="shared" si="14"/>
        <v>4.1050731203476101</v>
      </c>
      <c r="AL55" s="153">
        <f t="shared" si="7"/>
        <v>39209.461114911966</v>
      </c>
      <c r="AN55" s="154">
        <f>INDEX('(2.2)_Forward_Price_Curve'!$L:$L,MATCH($AB55,'(2.2)_Forward_Price_Curve'!$C:$C,0),1)</f>
        <v>8.7150574346514524</v>
      </c>
      <c r="AP55" s="154">
        <f t="shared" si="15"/>
        <v>56.655706594117945</v>
      </c>
      <c r="AR55" s="154">
        <f t="shared" si="16"/>
        <v>4.237486037256974</v>
      </c>
      <c r="AS55" s="154"/>
      <c r="AT55" s="153">
        <f t="shared" si="3"/>
        <v>24501.871667859949</v>
      </c>
      <c r="AV55" s="153">
        <f t="shared" si="4"/>
        <v>63138.167149540284</v>
      </c>
      <c r="AW55" s="273"/>
      <c r="AX55" s="155">
        <f t="shared" si="8"/>
        <v>87640.038817400229</v>
      </c>
      <c r="AZ55" s="146">
        <f>+IF(AZ54&gt;$G$13+$G$14,XX,AZ54+1)</f>
        <v>2048</v>
      </c>
      <c r="BA55" s="117"/>
      <c r="BB55" s="154">
        <f t="shared" si="17"/>
        <v>108.97047920679226</v>
      </c>
      <c r="BD55" s="154">
        <f t="shared" si="18"/>
        <v>12.27646997513153</v>
      </c>
      <c r="BF55" s="153">
        <f t="shared" si="9"/>
        <v>14707.589447052018</v>
      </c>
      <c r="BH55" s="157"/>
    </row>
    <row r="56" spans="2:60" ht="12">
      <c r="B56" s="2"/>
      <c r="C56">
        <f>+IF(C55&gt;$G$13+$G$14,XX,C55+1)</f>
        <v>2049</v>
      </c>
      <c r="E56" s="169">
        <f>'(2.2)_Forward_Price_Curve'!S63</f>
        <v>2.1999999999999999E-2</v>
      </c>
      <c r="G56" s="18">
        <v>1036867.4136</v>
      </c>
      <c r="I56" s="28">
        <f t="shared" si="10"/>
        <v>139.06660798162929</v>
      </c>
      <c r="K56" s="28">
        <f t="shared" si="10"/>
        <v>1.898116840330472</v>
      </c>
      <c r="M56" s="28">
        <f t="shared" si="11"/>
        <v>0</v>
      </c>
      <c r="O56" s="270">
        <f>'(2.2)_Forward_Price_Curve'!AC62</f>
        <v>2.0909596981572163</v>
      </c>
      <c r="Q56" s="28"/>
      <c r="S56" s="18">
        <f t="shared" si="5"/>
        <v>46690.525515492736</v>
      </c>
      <c r="U56" s="18">
        <f t="shared" si="0"/>
        <v>89568.119671383043</v>
      </c>
      <c r="W56" s="18">
        <f t="shared" si="1"/>
        <v>-42877.594155890307</v>
      </c>
      <c r="Y56" s="271">
        <f t="shared" si="6"/>
        <v>-41.353015432339085</v>
      </c>
      <c r="Z56" s="235"/>
      <c r="AB56" s="146">
        <f>+IF(AB55&gt;$G$13+$G$14,XX,AB55+1)</f>
        <v>2049</v>
      </c>
      <c r="AC56" s="117"/>
      <c r="AD56" s="151">
        <f t="shared" si="2"/>
        <v>1036867.4136</v>
      </c>
      <c r="AF56" s="154">
        <f t="shared" si="12"/>
        <v>174.08922035495777</v>
      </c>
      <c r="AH56" s="154">
        <f t="shared" si="13"/>
        <v>36.472829427225086</v>
      </c>
      <c r="AJ56" s="154">
        <f t="shared" si="14"/>
        <v>4.1953847289952577</v>
      </c>
      <c r="AL56" s="153">
        <f t="shared" si="7"/>
        <v>40072.069259440024</v>
      </c>
      <c r="AN56" s="154">
        <f>INDEX('(2.2)_Forward_Price_Curve'!$L:$L,MATCH($AB56,'(2.2)_Forward_Price_Curve'!$C:$C,0),1)</f>
        <v>8.9067886982137843</v>
      </c>
      <c r="AP56" s="154">
        <f t="shared" si="15"/>
        <v>57.902132139188545</v>
      </c>
      <c r="AR56" s="154">
        <f t="shared" si="16"/>
        <v>4.3307107300766274</v>
      </c>
      <c r="AS56" s="154"/>
      <c r="AT56" s="153">
        <f t="shared" si="3"/>
        <v>25040.912844552862</v>
      </c>
      <c r="AV56" s="153">
        <f t="shared" si="4"/>
        <v>64527.206826830181</v>
      </c>
      <c r="AW56" s="273"/>
      <c r="AX56" s="155">
        <f t="shared" si="8"/>
        <v>89568.119671383043</v>
      </c>
      <c r="AZ56" s="146">
        <f>+IF(AZ55&gt;$G$13+$G$14,XX,AZ55+1)</f>
        <v>2049</v>
      </c>
      <c r="BA56" s="117"/>
      <c r="BB56" s="154">
        <f t="shared" si="17"/>
        <v>111.36782974934169</v>
      </c>
      <c r="BD56" s="154">
        <f t="shared" si="18"/>
        <v>12.546552314584424</v>
      </c>
      <c r="BF56" s="153">
        <f t="shared" si="9"/>
        <v>15031.156414887164</v>
      </c>
      <c r="BH56" s="157"/>
    </row>
    <row r="57" spans="2:60" ht="12">
      <c r="B57" s="2"/>
      <c r="C57">
        <f>+IF(C56&gt;$G$13+$G$14,XX,C56+1)</f>
        <v>2050</v>
      </c>
      <c r="E57" s="169">
        <f>'(2.2)_Forward_Price_Curve'!S64</f>
        <v>2.1999999999999999E-2</v>
      </c>
      <c r="G57" s="18">
        <v>1036867.4136</v>
      </c>
      <c r="I57" s="28">
        <f t="shared" si="10"/>
        <v>142.12607335722512</v>
      </c>
      <c r="K57" s="28">
        <f t="shared" si="10"/>
        <v>1.9398754108177425</v>
      </c>
      <c r="M57" s="28">
        <f t="shared" si="11"/>
        <v>0</v>
      </c>
      <c r="O57" s="270">
        <f>'(2.2)_Forward_Price_Curve'!AC63</f>
        <v>2.1361590832077506</v>
      </c>
      <c r="Q57" s="28"/>
      <c r="S57" s="18">
        <f t="shared" si="5"/>
        <v>47716.885790875487</v>
      </c>
      <c r="U57" s="18">
        <f t="shared" si="0"/>
        <v>91538.618304153468</v>
      </c>
      <c r="W57" s="18">
        <f t="shared" si="1"/>
        <v>-43821.732513277981</v>
      </c>
      <c r="Y57" s="271">
        <f t="shared" si="6"/>
        <v>-42.263583500159463</v>
      </c>
      <c r="Z57" s="235"/>
      <c r="AB57" s="146">
        <f>+IF(AB56&gt;$G$13+$G$14,XX,AB56+1)</f>
        <v>2050</v>
      </c>
      <c r="AC57" s="117"/>
      <c r="AD57" s="151">
        <f t="shared" si="2"/>
        <v>1036867.4136</v>
      </c>
      <c r="AF57" s="154">
        <f t="shared" si="12"/>
        <v>177.91918320276685</v>
      </c>
      <c r="AH57" s="154">
        <f t="shared" si="13"/>
        <v>37.275231674624038</v>
      </c>
      <c r="AJ57" s="154">
        <f t="shared" si="14"/>
        <v>4.2876831930331534</v>
      </c>
      <c r="AL57" s="153">
        <f t="shared" si="7"/>
        <v>40953.654783147715</v>
      </c>
      <c r="AN57" s="154">
        <f>INDEX('(2.2)_Forward_Price_Curve'!$L:$L,MATCH($AB57,'(2.2)_Forward_Price_Curve'!$C:$C,0),1)</f>
        <v>9.1027380495744872</v>
      </c>
      <c r="AP57" s="154">
        <f t="shared" si="15"/>
        <v>59.175979046250688</v>
      </c>
      <c r="AR57" s="154">
        <f t="shared" si="16"/>
        <v>4.4259863661383134</v>
      </c>
      <c r="AS57" s="154"/>
      <c r="AT57" s="153">
        <f t="shared" si="3"/>
        <v>25591.812927133033</v>
      </c>
      <c r="AV57" s="153">
        <f t="shared" si="4"/>
        <v>65946.805377020428</v>
      </c>
      <c r="AW57" s="273"/>
      <c r="AX57" s="155">
        <f t="shared" si="8"/>
        <v>91538.618304153468</v>
      </c>
      <c r="AZ57" s="146">
        <f>+IF(AZ56&gt;$G$13+$G$14,XX,AZ56+1)</f>
        <v>2050</v>
      </c>
      <c r="BA57" s="117"/>
      <c r="BB57" s="154">
        <f t="shared" si="17"/>
        <v>113.81792200382722</v>
      </c>
      <c r="BD57" s="154">
        <f t="shared" si="18"/>
        <v>12.822576465505282</v>
      </c>
      <c r="BF57" s="153">
        <f t="shared" si="9"/>
        <v>15361.841856014682</v>
      </c>
      <c r="BH57" s="157"/>
    </row>
    <row r="58" spans="2:60">
      <c r="B58" s="2"/>
      <c r="E58" s="169"/>
      <c r="G58" s="267"/>
      <c r="I58" s="267"/>
      <c r="K58" s="267"/>
      <c r="M58" s="267"/>
      <c r="O58" s="267"/>
      <c r="Q58" s="267"/>
      <c r="S58" s="267"/>
      <c r="U58" s="267"/>
      <c r="W58" s="267"/>
      <c r="Y58" s="267"/>
      <c r="Z58" s="235"/>
      <c r="AB58" s="2"/>
      <c r="AF58" s="274"/>
      <c r="AH58" s="274"/>
      <c r="AJ58" s="274"/>
      <c r="AL58" s="273"/>
      <c r="AN58" s="274"/>
      <c r="AP58" s="274"/>
      <c r="AR58" s="274"/>
      <c r="AS58" s="274"/>
      <c r="AT58" s="274"/>
      <c r="AV58" s="273"/>
      <c r="AW58" s="273"/>
      <c r="AX58" s="275"/>
      <c r="AZ58" s="2"/>
      <c r="BB58" s="274"/>
      <c r="BF58" s="273"/>
      <c r="BH58" s="235"/>
    </row>
    <row r="59" spans="2:60" ht="12">
      <c r="B59" s="2"/>
      <c r="C59" s="276" t="str">
        <f>G14&amp;"-year Nominal Levelized at "&amp;TEXT($G$18,"#.00%")</f>
        <v>30-year Nominal Levelized at 6.91%</v>
      </c>
      <c r="E59" s="169"/>
      <c r="G59" s="18">
        <f>+-PMT($G$18,$G$14,NPV($G$18,G28:G57))</f>
        <v>1023958.8524513757</v>
      </c>
      <c r="I59" s="28">
        <f>+-PMT($G$18,$G$14,NPV($G$18,I28:I57))</f>
        <v>94.644433123841978</v>
      </c>
      <c r="J59" s="28"/>
      <c r="K59" s="28">
        <f>+-PMT($G$18,$G$14,NPV($G$18,K28:K57))</f>
        <v>1.2917996272665746</v>
      </c>
      <c r="M59" s="28">
        <f>+-PMT($G$18,$G$14,NPV($G$18,M28:M57))</f>
        <v>0</v>
      </c>
      <c r="O59" s="28">
        <f>+-PMT($G$18,$G$14,NPV($G$18,O28:O57))</f>
        <v>1.4415142627138942</v>
      </c>
      <c r="Q59" s="28">
        <f>+-PMT($G$18,$G$14,NPV($G$18,Q28:Q57))</f>
        <v>-12.7103694031766</v>
      </c>
      <c r="S59" s="18">
        <f>+-PMT($G$18,$G$14,NPV($G$18,S28:S57))</f>
        <v>18860.759462185975</v>
      </c>
      <c r="U59" s="18">
        <f>+-PMT($G$18,$G$14,NPV($G$18,U28:U57))</f>
        <v>52615.493781632853</v>
      </c>
      <c r="W59" s="18">
        <f>+-PMT($G$18,$G$14,NPV($G$18,W28:W57))</f>
        <v>-33754.734319446878</v>
      </c>
      <c r="Y59" s="271">
        <f>+-PMT($G$18,$G$14,NPV($G$18,Y28:Y57))</f>
        <v>-32.835481170434676</v>
      </c>
      <c r="Z59" s="235"/>
      <c r="AB59" s="2"/>
      <c r="AD59" s="151">
        <f>+-PMT($G$18,$G$14,NPV($G$18,AD28:AD57))</f>
        <v>1023958.8524513757</v>
      </c>
      <c r="AF59" s="154">
        <f>+-PMT($G$18,$G$14,NPV($G$18,AF28:AF57))</f>
        <v>118.47974012311523</v>
      </c>
      <c r="AH59" s="154">
        <f>+-PMT($G$18,$G$14,NPV($G$18,AH28:AH57))</f>
        <v>24.82227988201381</v>
      </c>
      <c r="AJ59" s="154">
        <f>+-PMT($G$18,$G$14,NPV($G$18,AJ28:AJ57))</f>
        <v>2.8552491153349502</v>
      </c>
      <c r="AL59" s="153">
        <f>+-PMT($G$18,$G$14,NPV($G$18,AL28:AL57))</f>
        <v>27242.594818714231</v>
      </c>
      <c r="AN59" s="154">
        <f>+-PMT($G$18,$G$14,NPV($G$18,AN28:AN57))</f>
        <v>4.8572277558241472</v>
      </c>
      <c r="AP59" s="154">
        <f>+-PMT($G$18,$G$14,NPV($G$18,AP28:AP57))</f>
        <v>31.576346186843537</v>
      </c>
      <c r="AR59" s="154">
        <f>+-PMT($G$18,$G$14,NPV($G$18,AR28:AR57))</f>
        <v>2.9473478070708885</v>
      </c>
      <c r="AS59" s="154"/>
      <c r="AT59" s="153">
        <f>+-PMT($G$18,$G$14,NPV($G$18,AT28:AT57))</f>
        <v>17012.854561651777</v>
      </c>
      <c r="AV59" s="153">
        <f>+-PMT($G$18,$G$14,NPV($G$18,AV28:AV57))</f>
        <v>35602.639219981087</v>
      </c>
      <c r="AW59" s="273"/>
      <c r="AX59" s="155">
        <f>+-PMT($G$18,$G$14,NPV($G$18,AX28:AX57))</f>
        <v>52615.493781632853</v>
      </c>
      <c r="AZ59" s="2"/>
      <c r="BB59" s="154">
        <f>+-PMT($G$18,$G$14,NPV($G$18,BB28:BB57))</f>
        <v>75.79350117068627</v>
      </c>
      <c r="BD59" s="154">
        <f>+-PMT($G$18,$G$14,NPV($G$18,BD28:BD57))</f>
        <v>8.53879553623206</v>
      </c>
      <c r="BF59" s="153">
        <f>+-PMT($G$18,$G$14,NPV($G$18,BF28:BF57))</f>
        <v>10229.740257062454</v>
      </c>
      <c r="BH59" s="157"/>
    </row>
    <row r="60" spans="2:60">
      <c r="B60" s="2"/>
      <c r="E60" s="169"/>
      <c r="W60" s="18"/>
      <c r="Y60" s="271"/>
      <c r="Z60" s="235"/>
      <c r="AB60" s="2"/>
      <c r="AT60" s="273"/>
      <c r="AX60" s="235"/>
      <c r="AZ60" s="2"/>
      <c r="BH60" s="235"/>
    </row>
    <row r="61" spans="2:60">
      <c r="B61" s="238"/>
      <c r="C61" s="277"/>
      <c r="D61" s="277"/>
      <c r="E61" s="278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39"/>
      <c r="AB61" s="238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77"/>
      <c r="AP61" s="277"/>
      <c r="AQ61" s="277"/>
      <c r="AR61" s="277"/>
      <c r="AS61" s="277"/>
      <c r="AT61" s="277"/>
      <c r="AU61" s="277"/>
      <c r="AV61" s="277"/>
      <c r="AW61" s="277"/>
      <c r="AX61" s="239"/>
      <c r="AZ61" s="238"/>
      <c r="BA61" s="277"/>
      <c r="BB61" s="277"/>
      <c r="BC61" s="277"/>
      <c r="BD61" s="277"/>
      <c r="BE61" s="277"/>
      <c r="BF61" s="277"/>
      <c r="BG61" s="277"/>
      <c r="BH61" s="239"/>
    </row>
    <row r="62" spans="2:60">
      <c r="E62" s="169"/>
    </row>
    <row r="63" spans="2:60">
      <c r="E63" s="169"/>
      <c r="G63" s="18"/>
      <c r="I63" s="18"/>
      <c r="K63" s="18"/>
      <c r="O63" s="18"/>
      <c r="Q63" s="18"/>
      <c r="S63" s="18"/>
      <c r="U63" s="18"/>
      <c r="W63" s="18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</sheetData>
  <pageMargins left="0.25" right="0.25" top="0.25" bottom="0.75" header="0.3" footer="0.3"/>
  <pageSetup paperSize="5" scale="46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9F3F1-30CC-4758-8A5E-E03F0D54ADD5}">
  <sheetPr codeName="Sheet44">
    <tabColor theme="0" tint="-0.249977111117893"/>
    <pageSetUpPr fitToPage="1"/>
  </sheetPr>
  <dimension ref="A1:BH85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311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290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194</v>
      </c>
      <c r="H11" s="252"/>
      <c r="AB11" s="122" t="s">
        <v>99</v>
      </c>
      <c r="AC11" s="123"/>
      <c r="AD11" s="123"/>
      <c r="AE11" s="123"/>
      <c r="AF11" s="281">
        <f>+G11*(G12/AJ16)</f>
        <v>107.55636350170792</v>
      </c>
      <c r="AG11" s="127"/>
      <c r="AH11" s="123" t="s">
        <v>100</v>
      </c>
      <c r="AI11" s="124"/>
      <c r="AJ11" s="166">
        <f>'(2.1)_Proxy Resources'!N40</f>
        <v>19.215270973980179</v>
      </c>
      <c r="AK11" s="235"/>
      <c r="AZ11" s="122" t="s">
        <v>99</v>
      </c>
      <c r="BA11" s="123"/>
      <c r="BB11" s="123"/>
      <c r="BC11" s="123"/>
      <c r="BD11" s="134">
        <f>(AF11*AF13-G11*G19)</f>
        <v>76.90436350170792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0.38680999999999999</v>
      </c>
      <c r="H12" s="252"/>
      <c r="AB12" s="122" t="s">
        <v>32</v>
      </c>
      <c r="AC12" s="123"/>
      <c r="AD12" s="123"/>
      <c r="AE12" s="123"/>
      <c r="AF12" s="131">
        <f>+AD59/8760/AF11</f>
        <v>0.67163342269944737</v>
      </c>
      <c r="AG12" s="127"/>
      <c r="AH12" s="117" t="s">
        <v>101</v>
      </c>
      <c r="AI12" s="118"/>
      <c r="AJ12" s="117">
        <v>2018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2021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Resources'!O40</f>
        <v>2.2102879231948753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30</v>
      </c>
      <c r="H14" s="252"/>
      <c r="AB14" s="122" t="s">
        <v>104</v>
      </c>
      <c r="AC14" s="123"/>
      <c r="AD14" s="123"/>
      <c r="AE14" s="123"/>
      <c r="AF14" s="134">
        <f>'(2.1)_Proxy Resources'!H40</f>
        <v>6500.8988201101647</v>
      </c>
      <c r="AG14" s="127"/>
      <c r="AH14" s="117" t="s">
        <v>148</v>
      </c>
      <c r="AI14" s="118"/>
      <c r="AJ14" s="166">
        <v>0</v>
      </c>
      <c r="AK14" s="235"/>
      <c r="AZ14" s="122" t="s">
        <v>192</v>
      </c>
      <c r="BA14" s="123"/>
      <c r="BB14" s="123"/>
      <c r="BC14" s="123"/>
      <c r="BD14" s="167">
        <f>'(2.1)_Proxy Resources'!J41</f>
        <v>843</v>
      </c>
      <c r="BE14" s="132"/>
    </row>
    <row r="15" spans="1:57" ht="12">
      <c r="A15" t="s">
        <v>283</v>
      </c>
      <c r="B15" s="250"/>
      <c r="C15" s="231" t="s">
        <v>107</v>
      </c>
      <c r="D15" s="231"/>
      <c r="E15" s="231"/>
      <c r="F15" s="231"/>
      <c r="G15" s="283">
        <v>46.449412240000001</v>
      </c>
      <c r="H15" s="252"/>
      <c r="AB15" s="122" t="s">
        <v>244</v>
      </c>
      <c r="AC15" s="123"/>
      <c r="AD15" s="123"/>
      <c r="AE15" s="123"/>
      <c r="AF15" s="167">
        <f>'(2.1)_Proxy Resources'!J40</f>
        <v>1350.7921550317262</v>
      </c>
      <c r="AG15" s="127"/>
      <c r="AH15" s="117" t="s">
        <v>145</v>
      </c>
      <c r="AI15" s="118"/>
      <c r="AJ15" s="166">
        <f>'(2.1)_Proxy Resources'!P40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Resources'!K41</f>
        <v>6.9599999999999995E-2</v>
      </c>
      <c r="BE15" s="132"/>
    </row>
    <row r="16" spans="1:57" ht="12">
      <c r="A16" t="s">
        <v>283</v>
      </c>
      <c r="B16" s="250"/>
      <c r="C16" s="231" t="s">
        <v>109</v>
      </c>
      <c r="D16" s="231"/>
      <c r="E16" s="231"/>
      <c r="F16" s="231"/>
      <c r="G16" s="283">
        <v>1</v>
      </c>
      <c r="H16" s="252"/>
      <c r="K16" s="271"/>
      <c r="AB16" s="122" t="s">
        <v>108</v>
      </c>
      <c r="AC16" s="123"/>
      <c r="AD16" s="123"/>
      <c r="AE16" s="123"/>
      <c r="AF16" s="136">
        <f>'(2.1)_Proxy Resources'!K39</f>
        <v>6.7898535686010855E-2</v>
      </c>
      <c r="AG16" s="127"/>
      <c r="AH16" s="117" t="s">
        <v>110</v>
      </c>
      <c r="AI16" s="124"/>
      <c r="AJ16" s="137">
        <f>'(2.1)_Proxy Resources'!D40</f>
        <v>0.6976913086021953</v>
      </c>
      <c r="AK16" s="235"/>
      <c r="AZ16" s="122" t="s">
        <v>100</v>
      </c>
      <c r="BA16" s="124"/>
      <c r="BB16" s="166">
        <f>'(2.1)_Proxy Resources'!O41</f>
        <v>6.61</v>
      </c>
      <c r="BE16" s="130"/>
    </row>
    <row r="17" spans="1:60" ht="12">
      <c r="A17" t="s">
        <v>283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2018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'(2.2)_Forward_Price_Curve'!AA9</f>
        <v>6.9099999999999995E-2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'(2.2)_Forward_Price_Curve'!L103</f>
        <v>0.158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1" spans="1:60">
      <c r="Q21" s="27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v>2021</v>
      </c>
      <c r="E28" s="169">
        <f>'(2.2)_Forward_Price_Curve'!S35</f>
        <v>2.4E-2</v>
      </c>
      <c r="G28" s="18">
        <v>328680.19319999998</v>
      </c>
      <c r="I28" s="268">
        <f>$G$15*(1+E28)</f>
        <v>47.564198133760001</v>
      </c>
      <c r="J28" s="268"/>
      <c r="K28" s="268">
        <f>$G$16*(1+E28)</f>
        <v>1.024</v>
      </c>
      <c r="L28" s="269"/>
      <c r="M28" s="268">
        <f>$G$17</f>
        <v>0</v>
      </c>
      <c r="O28" s="270">
        <f>'(2.2)_Forward_Price_Curve'!AC34</f>
        <v>1.1390234818202254</v>
      </c>
      <c r="Q28" s="28">
        <v>-13.377003964833651</v>
      </c>
      <c r="S28" s="18">
        <f>(I28*$G$11*1000+(K28+M28+O28+Q28)*G28)/1000</f>
        <v>5541.6411662515566</v>
      </c>
      <c r="U28" s="18">
        <f t="shared" ref="U28:U57" si="0">AX28</f>
        <v>12756.643109075918</v>
      </c>
      <c r="W28" s="18">
        <f t="shared" ref="W28:W57" si="1">S28-U28</f>
        <v>-7215.0019428243613</v>
      </c>
      <c r="Y28" s="271">
        <f>+W28*1000/G28</f>
        <v>-21.951435139975331</v>
      </c>
      <c r="Z28" s="235"/>
      <c r="AB28" s="146">
        <f>$C$28</f>
        <v>2021</v>
      </c>
      <c r="AC28" s="117"/>
      <c r="AD28" s="151">
        <f t="shared" ref="AD28:AD57" si="2">G28</f>
        <v>328680.19319999998</v>
      </c>
      <c r="AF28" s="152">
        <f>$AF$15*$AF$16*(1+E28)</f>
        <v>93.918012767032508</v>
      </c>
      <c r="AG28" s="272"/>
      <c r="AH28" s="152">
        <f>$AJ$11*(1+E28)</f>
        <v>19.676437477355702</v>
      </c>
      <c r="AI28" s="272"/>
      <c r="AJ28" s="152">
        <f>$AJ$13*(1+E28)</f>
        <v>2.2633348333515522</v>
      </c>
      <c r="AK28" s="272"/>
      <c r="AL28" s="153">
        <f>((AF28+AH28)*$AF$11*1000+AJ28*AD28)/1000</f>
        <v>12961.71931256437</v>
      </c>
      <c r="AN28" s="154">
        <f>INDEX('(2.2)_Forward_Price_Curve'!$L:$L,MATCH($AB28,'(2.2)_Forward_Price_Curve'!$C:$C,0),1)</f>
        <v>1.9506749999999997</v>
      </c>
      <c r="AO28" s="279"/>
      <c r="AP28" s="154">
        <f>AN28*$AF$14/1000+$AJ$14/(1+E29)</f>
        <v>12.681140805918394</v>
      </c>
      <c r="AQ28" s="272"/>
      <c r="AR28" s="152">
        <f>$AJ$15*(1+E28)</f>
        <v>2.3363407843883683</v>
      </c>
      <c r="AS28" s="152"/>
      <c r="AT28" s="153">
        <f t="shared" ref="AT28:AT57" si="3">AL28-BF28</f>
        <v>7820.6943585964491</v>
      </c>
      <c r="AU28" s="272"/>
      <c r="AV28" s="153">
        <f t="shared" ref="AV28:AV57" si="4">(AP28+AR28)*AD28/1000</f>
        <v>4935.9487504794688</v>
      </c>
      <c r="AW28" s="273"/>
      <c r="AX28" s="155">
        <f>AT28+AV28</f>
        <v>12756.643109075918</v>
      </c>
      <c r="AZ28" s="146">
        <f>$C$28</f>
        <v>2021</v>
      </c>
      <c r="BA28" s="117"/>
      <c r="BB28" s="152">
        <f>$BD$14*$BD$15*(1+E28)</f>
        <v>60.080947199999997</v>
      </c>
      <c r="BD28" s="152">
        <f>$BB$16*(1+E28)</f>
        <v>6.7686400000000004</v>
      </c>
      <c r="BE28" s="272"/>
      <c r="BF28" s="153">
        <f>(BB28+BD28)*$BD$11</f>
        <v>5141.0249539679207</v>
      </c>
      <c r="BG28" s="272"/>
      <c r="BH28" s="156"/>
    </row>
    <row r="29" spans="1:60" ht="12">
      <c r="B29" s="2"/>
      <c r="C29">
        <f>+IF(C28&gt;$G$13+$G$14,XX,C28+1)</f>
        <v>2022</v>
      </c>
      <c r="E29" s="169">
        <f>'(2.2)_Forward_Price_Curve'!S36</f>
        <v>2.3E-2</v>
      </c>
      <c r="G29" s="18">
        <v>657360.38639999996</v>
      </c>
      <c r="I29" s="28">
        <f>I28*(1+$E29)</f>
        <v>48.658174690836475</v>
      </c>
      <c r="K29" s="28">
        <f>K28*(1+$E29)</f>
        <v>1.047552</v>
      </c>
      <c r="M29" s="28">
        <f>M28*(1+$E29)</f>
        <v>0</v>
      </c>
      <c r="O29" s="270">
        <f>'(2.2)_Forward_Price_Curve'!AC35</f>
        <v>1.1679956801767024</v>
      </c>
      <c r="Q29" s="28">
        <v>-13.377003964833651</v>
      </c>
      <c r="S29" s="18">
        <f t="shared" ref="S29:S57" si="5">(I29*$G$11*1000+(K29+M29+O29+Q29)*G29)/1000</f>
        <v>2102.5866739534754</v>
      </c>
      <c r="U29" s="18">
        <f t="shared" si="0"/>
        <v>20722.716080799088</v>
      </c>
      <c r="W29" s="18">
        <f t="shared" si="1"/>
        <v>-18620.129406845612</v>
      </c>
      <c r="Y29" s="271">
        <f t="shared" ref="Y29:Y57" si="6">+W29*1000/G29</f>
        <v>-28.325603112195097</v>
      </c>
      <c r="Z29" s="235"/>
      <c r="AB29" s="146">
        <f>+IF(AB28&gt;$G$13+$G$14,XX,AB28+1)</f>
        <v>2022</v>
      </c>
      <c r="AC29" s="117"/>
      <c r="AD29" s="151">
        <f t="shared" si="2"/>
        <v>657360.38639999996</v>
      </c>
      <c r="AF29" s="154">
        <f>AF28*(1+$E29)</f>
        <v>96.078127060674248</v>
      </c>
      <c r="AH29" s="154">
        <f>AH28*(1+$E29)</f>
        <v>20.128995539334881</v>
      </c>
      <c r="AJ29" s="154">
        <f>AJ28*(1+$E29)</f>
        <v>2.3153915345186378</v>
      </c>
      <c r="AL29" s="153">
        <f t="shared" ref="AL29:AL57" si="7">((AF29+AH29)*$AF$11*1000+AJ29*AD29)/1000</f>
        <v>14020.86219365258</v>
      </c>
      <c r="AN29" s="154">
        <f>INDEX('(2.2)_Forward_Price_Curve'!$L:$L,MATCH($AB29,'(2.2)_Forward_Price_Curve'!$C:$C,0),1)</f>
        <v>2.431295833333333</v>
      </c>
      <c r="AP29" s="154">
        <f>AN29*$AF$14/1000+$AJ$14</f>
        <v>15.805608214255424</v>
      </c>
      <c r="AR29" s="154">
        <f>AR28*(1+$E29)</f>
        <v>2.3900766224293006</v>
      </c>
      <c r="AS29" s="154"/>
      <c r="AT29" s="153">
        <f t="shared" si="3"/>
        <v>8761.5936657433958</v>
      </c>
      <c r="AV29" s="153">
        <f t="shared" si="4"/>
        <v>11961.12241505569</v>
      </c>
      <c r="AW29" s="273"/>
      <c r="AX29" s="155">
        <f t="shared" ref="AX29:AX57" si="8">AT29+AV29</f>
        <v>20722.716080799088</v>
      </c>
      <c r="AZ29" s="146">
        <f>+IF(AZ28&gt;$G$13+$G$14,XX,AZ28+1)</f>
        <v>2022</v>
      </c>
      <c r="BA29" s="117"/>
      <c r="BB29" s="154">
        <f>BB28*(1+$E29)</f>
        <v>61.462808985599992</v>
      </c>
      <c r="BD29" s="154">
        <f>BD28*(1+$E29)</f>
        <v>6.9243187199999996</v>
      </c>
      <c r="BF29" s="153">
        <f t="shared" ref="BF29:BF57" si="9">(BB29+BD29)*$BD$11</f>
        <v>5259.2685279091829</v>
      </c>
      <c r="BH29" s="157"/>
    </row>
    <row r="30" spans="1:60" ht="12">
      <c r="B30" s="2"/>
      <c r="C30">
        <f>+IF(C29&gt;$G$13+$G$14,XX,C29+1)</f>
        <v>2023</v>
      </c>
      <c r="E30" s="169">
        <f>'(2.2)_Forward_Price_Curve'!S37</f>
        <v>2.3E-2</v>
      </c>
      <c r="G30" s="18">
        <v>657360.38639999996</v>
      </c>
      <c r="I30" s="28">
        <f t="shared" ref="I30:K57" si="10">I29*(1+$E30)</f>
        <v>49.777312708725709</v>
      </c>
      <c r="K30" s="28">
        <f t="shared" si="10"/>
        <v>1.071645696</v>
      </c>
      <c r="M30" s="28">
        <f t="shared" ref="M30:M57" si="11">M29*(1+$E30)</f>
        <v>0</v>
      </c>
      <c r="O30" s="270">
        <f>'(2.2)_Forward_Price_Curve'!AC36</f>
        <v>1.1974836718320334</v>
      </c>
      <c r="Q30" s="28">
        <v>-13.891504117327255</v>
      </c>
      <c r="S30" s="18">
        <f t="shared" si="5"/>
        <v>2016.7099092790056</v>
      </c>
      <c r="U30" s="18">
        <f t="shared" si="0"/>
        <v>23122.316736994013</v>
      </c>
      <c r="W30" s="18">
        <f t="shared" si="1"/>
        <v>-21105.606827715008</v>
      </c>
      <c r="Y30" s="271">
        <f t="shared" si="6"/>
        <v>-32.106599765311032</v>
      </c>
      <c r="Z30" s="235"/>
      <c r="AB30" s="146">
        <f>+IF(AB29&gt;$G$13+$G$14,XX,AB29+1)</f>
        <v>2023</v>
      </c>
      <c r="AC30" s="117"/>
      <c r="AD30" s="151">
        <f t="shared" si="2"/>
        <v>657360.38639999996</v>
      </c>
      <c r="AF30" s="154">
        <f t="shared" ref="AF30:AF57" si="12">AF29*(1+$E30)</f>
        <v>98.287923983069746</v>
      </c>
      <c r="AH30" s="154">
        <f t="shared" ref="AH30:AH57" si="13">AH29*(1+$E30)</f>
        <v>20.591962436739582</v>
      </c>
      <c r="AJ30" s="154">
        <f t="shared" ref="AJ30:AJ57" si="14">AJ29*(1+$E30)</f>
        <v>2.3686455398125661</v>
      </c>
      <c r="AL30" s="153">
        <f t="shared" si="7"/>
        <v>14343.342024106589</v>
      </c>
      <c r="AN30" s="154">
        <f>INDEX('(2.2)_Forward_Price_Curve'!$L:$L,MATCH($AB30,'(2.2)_Forward_Price_Curve'!$C:$C,0),1)</f>
        <v>2.9371999999999994</v>
      </c>
      <c r="AP30" s="154">
        <f t="shared" ref="AP30:AP57" si="15">AN30*$AF$14/1000+$AJ$14</f>
        <v>19.094440014427573</v>
      </c>
      <c r="AR30" s="154">
        <f t="shared" ref="AR30:AR57" si="16">AR29*(1+$E30)</f>
        <v>2.4450483847451743</v>
      </c>
      <c r="AS30" s="154"/>
      <c r="AT30" s="153">
        <f t="shared" si="3"/>
        <v>8963.1103200554971</v>
      </c>
      <c r="AV30" s="153">
        <f t="shared" si="4"/>
        <v>14159.206416938514</v>
      </c>
      <c r="AW30" s="273"/>
      <c r="AX30" s="155">
        <f t="shared" si="8"/>
        <v>23122.316736994013</v>
      </c>
      <c r="AZ30" s="146">
        <f>+IF(AZ29&gt;$G$13+$G$14,XX,AZ29+1)</f>
        <v>2023</v>
      </c>
      <c r="BA30" s="117"/>
      <c r="BB30" s="154">
        <f t="shared" ref="BB30:BB57" si="17">BB29*(1+$E30)</f>
        <v>62.876453592268788</v>
      </c>
      <c r="BD30" s="154">
        <f t="shared" ref="BD30:BD57" si="18">BD29*(1+$E30)</f>
        <v>7.083578050559999</v>
      </c>
      <c r="BF30" s="153">
        <f t="shared" si="9"/>
        <v>5380.2317040510925</v>
      </c>
      <c r="BH30" s="157"/>
    </row>
    <row r="31" spans="1:60" ht="12">
      <c r="B31" s="2"/>
      <c r="C31">
        <f>+IF(C30&gt;$G$13+$G$14,XX,C30+1)</f>
        <v>2024</v>
      </c>
      <c r="E31" s="169">
        <f>'(2.2)_Forward_Price_Curve'!S38</f>
        <v>2.3E-2</v>
      </c>
      <c r="G31" s="18">
        <v>657360.38639999996</v>
      </c>
      <c r="I31" s="28">
        <f t="shared" si="10"/>
        <v>50.922190901026397</v>
      </c>
      <c r="K31" s="28">
        <f t="shared" si="10"/>
        <v>1.096293547008</v>
      </c>
      <c r="M31" s="28">
        <f t="shared" si="11"/>
        <v>0</v>
      </c>
      <c r="O31" s="270">
        <f>'(2.2)_Forward_Price_Curve'!AC37</f>
        <v>1.2269144627008759</v>
      </c>
      <c r="Q31" s="28">
        <v>-13.891504117327255</v>
      </c>
      <c r="S31" s="18">
        <f t="shared" si="5"/>
        <v>2274.3654355054869</v>
      </c>
      <c r="U31" s="18">
        <f t="shared" si="0"/>
        <v>25631.90446779806</v>
      </c>
      <c r="W31" s="18">
        <f t="shared" si="1"/>
        <v>-23357.539032292574</v>
      </c>
      <c r="Y31" s="271">
        <f t="shared" si="6"/>
        <v>-35.532319128946796</v>
      </c>
      <c r="Z31" s="235"/>
      <c r="AB31" s="146">
        <f>+IF(AB30&gt;$G$13+$G$14,XX,AB30+1)</f>
        <v>2024</v>
      </c>
      <c r="AC31" s="117"/>
      <c r="AD31" s="151">
        <f t="shared" si="2"/>
        <v>657360.38639999996</v>
      </c>
      <c r="AF31" s="154">
        <f t="shared" si="12"/>
        <v>100.54854623468034</v>
      </c>
      <c r="AH31" s="154">
        <f t="shared" si="13"/>
        <v>21.065577572784591</v>
      </c>
      <c r="AJ31" s="154">
        <f t="shared" si="14"/>
        <v>2.4231243872282549</v>
      </c>
      <c r="AL31" s="153">
        <f t="shared" si="7"/>
        <v>14673.238890661039</v>
      </c>
      <c r="AN31" s="154">
        <f>INDEX('(2.2)_Forward_Price_Curve'!$L:$L,MATCH($AB31,'(2.2)_Forward_Price_Curve'!$C:$C,0),1)</f>
        <v>3.4675625000000001</v>
      </c>
      <c r="AP31" s="154">
        <f t="shared" si="15"/>
        <v>22.542272964908253</v>
      </c>
      <c r="AR31" s="154">
        <f t="shared" si="16"/>
        <v>2.5012844975943129</v>
      </c>
      <c r="AS31" s="154"/>
      <c r="AT31" s="153">
        <f t="shared" si="3"/>
        <v>9169.2618574167718</v>
      </c>
      <c r="AV31" s="153">
        <f t="shared" si="4"/>
        <v>16462.642610381288</v>
      </c>
      <c r="AW31" s="273"/>
      <c r="AX31" s="155">
        <f t="shared" si="8"/>
        <v>25631.90446779806</v>
      </c>
      <c r="AZ31" s="146">
        <f>+IF(AZ30&gt;$G$13+$G$14,XX,AZ30+1)</f>
        <v>2024</v>
      </c>
      <c r="BA31" s="117"/>
      <c r="BB31" s="154">
        <f t="shared" si="17"/>
        <v>64.322612024890958</v>
      </c>
      <c r="BD31" s="154">
        <f t="shared" si="18"/>
        <v>7.246500345722878</v>
      </c>
      <c r="BF31" s="153">
        <f t="shared" si="9"/>
        <v>5503.9770332442677</v>
      </c>
      <c r="BH31" s="157"/>
    </row>
    <row r="32" spans="1:60" ht="12">
      <c r="B32" s="2"/>
      <c r="C32">
        <f>+IF(C31&gt;$G$13+$G$14,XX,C31+1)</f>
        <v>2025</v>
      </c>
      <c r="E32" s="169">
        <f>'(2.2)_Forward_Price_Curve'!S39</f>
        <v>2.3E-2</v>
      </c>
      <c r="G32" s="18">
        <v>657360.38639999996</v>
      </c>
      <c r="I32" s="28">
        <f t="shared" si="10"/>
        <v>52.093401291749998</v>
      </c>
      <c r="K32" s="28">
        <f t="shared" si="10"/>
        <v>1.1215082985891838</v>
      </c>
      <c r="M32" s="28">
        <f t="shared" si="11"/>
        <v>0</v>
      </c>
      <c r="O32" s="270">
        <f>'(2.2)_Forward_Price_Curve'!AC38</f>
        <v>1.2554480395092353</v>
      </c>
      <c r="Q32" s="28">
        <v>-14.406004269820855</v>
      </c>
      <c r="S32" s="18">
        <f t="shared" si="5"/>
        <v>2198.700254178319</v>
      </c>
      <c r="U32" s="18">
        <f t="shared" si="0"/>
        <v>27408.794903082617</v>
      </c>
      <c r="W32" s="18">
        <f t="shared" si="1"/>
        <v>-25210.094648904298</v>
      </c>
      <c r="Y32" s="271">
        <f t="shared" si="6"/>
        <v>-38.350492622419907</v>
      </c>
      <c r="Z32" s="235"/>
      <c r="AB32" s="146">
        <f>+IF(AB31&gt;$G$13+$G$14,XX,AB31+1)</f>
        <v>2025</v>
      </c>
      <c r="AC32" s="117"/>
      <c r="AD32" s="151">
        <f t="shared" si="2"/>
        <v>657360.38639999996</v>
      </c>
      <c r="AF32" s="154">
        <f t="shared" si="12"/>
        <v>102.86116279807798</v>
      </c>
      <c r="AH32" s="154">
        <f t="shared" si="13"/>
        <v>21.550085856958635</v>
      </c>
      <c r="AJ32" s="154">
        <f t="shared" si="14"/>
        <v>2.4788562481345044</v>
      </c>
      <c r="AL32" s="153">
        <f t="shared" si="7"/>
        <v>15010.723385146242</v>
      </c>
      <c r="AN32" s="154">
        <f>INDEX('(2.2)_Forward_Price_Curve'!$L:$L,MATCH($AB32,'(2.2)_Forward_Price_Curve'!$C:$C,0),1)</f>
        <v>3.8251624999999998</v>
      </c>
      <c r="AP32" s="154">
        <f t="shared" si="15"/>
        <v>24.866994382979648</v>
      </c>
      <c r="AR32" s="154">
        <f t="shared" si="16"/>
        <v>2.5588140410389819</v>
      </c>
      <c r="AS32" s="154"/>
      <c r="AT32" s="153">
        <f t="shared" si="3"/>
        <v>9380.1548801373574</v>
      </c>
      <c r="AV32" s="153">
        <f t="shared" si="4"/>
        <v>18028.640022945259</v>
      </c>
      <c r="AW32" s="273"/>
      <c r="AX32" s="155">
        <f t="shared" si="8"/>
        <v>27408.794903082617</v>
      </c>
      <c r="AZ32" s="146">
        <f>+IF(AZ31&gt;$G$13+$G$14,XX,AZ31+1)</f>
        <v>2025</v>
      </c>
      <c r="BA32" s="117"/>
      <c r="BB32" s="154">
        <f t="shared" si="17"/>
        <v>65.802032101463439</v>
      </c>
      <c r="BD32" s="154">
        <f t="shared" si="18"/>
        <v>7.4131698536745034</v>
      </c>
      <c r="BF32" s="153">
        <f t="shared" si="9"/>
        <v>5630.568505008885</v>
      </c>
      <c r="BH32" s="157"/>
    </row>
    <row r="33" spans="2:60" ht="12">
      <c r="B33" s="2"/>
      <c r="C33">
        <f>+IF(C32&gt;$G$13+$G$14,XX,C32+1)</f>
        <v>2026</v>
      </c>
      <c r="E33" s="169">
        <f>'(2.2)_Forward_Price_Curve'!S40</f>
        <v>2.1999999999999999E-2</v>
      </c>
      <c r="G33" s="18">
        <v>657360.38639999996</v>
      </c>
      <c r="I33" s="28">
        <f t="shared" si="10"/>
        <v>53.239456120168498</v>
      </c>
      <c r="K33" s="28">
        <f t="shared" si="10"/>
        <v>1.1461814811581459</v>
      </c>
      <c r="M33" s="28">
        <f t="shared" si="11"/>
        <v>0</v>
      </c>
      <c r="O33" s="270">
        <f>'(2.2)_Forward_Price_Curve'!AC39</f>
        <v>1.2834505366016622</v>
      </c>
      <c r="Q33" s="28">
        <v>-14.406004269820855</v>
      </c>
      <c r="S33" s="18">
        <f t="shared" si="5"/>
        <v>2455.6617960276017</v>
      </c>
      <c r="U33" s="18">
        <f t="shared" si="0"/>
        <v>28546.415238748741</v>
      </c>
      <c r="W33" s="18">
        <f t="shared" si="1"/>
        <v>-26090.753442721139</v>
      </c>
      <c r="Y33" s="271">
        <f t="shared" si="6"/>
        <v>-39.690182101793198</v>
      </c>
      <c r="Z33" s="235"/>
      <c r="AB33" s="146">
        <f>+IF(AB32&gt;$G$13+$G$14,XX,AB32+1)</f>
        <v>2026</v>
      </c>
      <c r="AC33" s="117"/>
      <c r="AD33" s="151">
        <f t="shared" si="2"/>
        <v>657360.38639999996</v>
      </c>
      <c r="AF33" s="154">
        <f t="shared" si="12"/>
        <v>105.1241083796357</v>
      </c>
      <c r="AH33" s="154">
        <f t="shared" si="13"/>
        <v>22.024187745811727</v>
      </c>
      <c r="AJ33" s="154">
        <f t="shared" si="14"/>
        <v>2.5333910855934634</v>
      </c>
      <c r="AL33" s="153">
        <f t="shared" si="7"/>
        <v>15340.959299619459</v>
      </c>
      <c r="AN33" s="154">
        <f>INDEX('(2.2)_Forward_Price_Curve'!$L:$L,MATCH($AB33,'(2.2)_Forward_Price_Curve'!$C:$C,0),1)</f>
        <v>4.0344208333333329</v>
      </c>
      <c r="AP33" s="154">
        <f t="shared" si="15"/>
        <v>26.227361635244531</v>
      </c>
      <c r="AR33" s="154">
        <f t="shared" si="16"/>
        <v>2.6151079499418395</v>
      </c>
      <c r="AS33" s="154"/>
      <c r="AT33" s="153">
        <f t="shared" si="3"/>
        <v>9586.5182875003793</v>
      </c>
      <c r="AV33" s="153">
        <f t="shared" si="4"/>
        <v>18959.89695124836</v>
      </c>
      <c r="AW33" s="273"/>
      <c r="AX33" s="155">
        <f t="shared" si="8"/>
        <v>28546.415238748741</v>
      </c>
      <c r="AZ33" s="146">
        <f>+IF(AZ32&gt;$G$13+$G$14,XX,AZ32+1)</f>
        <v>2026</v>
      </c>
      <c r="BA33" s="117"/>
      <c r="BB33" s="154">
        <f t="shared" si="17"/>
        <v>67.249676807695636</v>
      </c>
      <c r="BD33" s="154">
        <f t="shared" si="18"/>
        <v>7.5762595904553427</v>
      </c>
      <c r="BF33" s="153">
        <f t="shared" si="9"/>
        <v>5754.4410121190795</v>
      </c>
      <c r="BH33" s="157"/>
    </row>
    <row r="34" spans="2:60" ht="12">
      <c r="B34" s="2"/>
      <c r="C34">
        <f>+IF(C33&gt;$G$13+$G$14,XX,C33+1)</f>
        <v>2027</v>
      </c>
      <c r="E34" s="169">
        <f>'(2.2)_Forward_Price_Curve'!S41</f>
        <v>2.1999999999999999E-2</v>
      </c>
      <c r="G34" s="18">
        <v>657360.38639999996</v>
      </c>
      <c r="I34" s="28">
        <f t="shared" si="10"/>
        <v>54.410724154812208</v>
      </c>
      <c r="K34" s="28">
        <f t="shared" si="10"/>
        <v>1.171397473743625</v>
      </c>
      <c r="M34" s="28">
        <f t="shared" si="11"/>
        <v>0</v>
      </c>
      <c r="O34" s="270">
        <f>'(2.2)_Forward_Price_Curve'!AC40</f>
        <v>1.3117597482561225</v>
      </c>
      <c r="Q34" s="28">
        <v>-14.920504422314458</v>
      </c>
      <c r="S34" s="18">
        <f t="shared" si="5"/>
        <v>2379.8611246437317</v>
      </c>
      <c r="U34" s="18">
        <f t="shared" si="0"/>
        <v>28616.099093441979</v>
      </c>
      <c r="W34" s="18">
        <f t="shared" si="1"/>
        <v>-26236.237968798247</v>
      </c>
      <c r="Y34" s="271">
        <f t="shared" si="6"/>
        <v>-39.911498337281387</v>
      </c>
      <c r="Z34" s="235"/>
      <c r="AB34" s="146">
        <f>+IF(AB33&gt;$G$13+$G$14,XX,AB33+1)</f>
        <v>2027</v>
      </c>
      <c r="AC34" s="117"/>
      <c r="AD34" s="151">
        <f t="shared" si="2"/>
        <v>657360.38639999996</v>
      </c>
      <c r="AF34" s="154">
        <f t="shared" si="12"/>
        <v>107.43683876398769</v>
      </c>
      <c r="AH34" s="154">
        <f t="shared" si="13"/>
        <v>22.508719876219583</v>
      </c>
      <c r="AJ34" s="154">
        <f t="shared" si="14"/>
        <v>2.5891256894765196</v>
      </c>
      <c r="AL34" s="153">
        <f t="shared" si="7"/>
        <v>15678.460404211088</v>
      </c>
      <c r="AN34" s="154">
        <f>INDEX('(2.2)_Forward_Price_Curve'!$L:$L,MATCH($AB34,'(2.2)_Forward_Price_Curve'!$C:$C,0),1)</f>
        <v>3.9925249999999992</v>
      </c>
      <c r="AP34" s="154">
        <f t="shared" si="15"/>
        <v>25.955001061760328</v>
      </c>
      <c r="AR34" s="154">
        <f t="shared" si="16"/>
        <v>2.6726403248405601</v>
      </c>
      <c r="AS34" s="154"/>
      <c r="AT34" s="153">
        <f t="shared" si="3"/>
        <v>9797.4216898253871</v>
      </c>
      <c r="AV34" s="153">
        <f t="shared" si="4"/>
        <v>18818.677403616592</v>
      </c>
      <c r="AW34" s="273"/>
      <c r="AX34" s="155">
        <f t="shared" si="8"/>
        <v>28616.099093441979</v>
      </c>
      <c r="AZ34" s="146">
        <f>+IF(AZ33&gt;$G$13+$G$14,XX,AZ33+1)</f>
        <v>2027</v>
      </c>
      <c r="BA34" s="117"/>
      <c r="BB34" s="154">
        <f t="shared" si="17"/>
        <v>68.72916969746494</v>
      </c>
      <c r="BD34" s="154">
        <f t="shared" si="18"/>
        <v>7.7429373014453606</v>
      </c>
      <c r="BF34" s="153">
        <f t="shared" si="9"/>
        <v>5881.0387143857006</v>
      </c>
      <c r="BH34" s="157"/>
    </row>
    <row r="35" spans="2:60" ht="12">
      <c r="B35" s="2"/>
      <c r="C35">
        <f>+IF(C34&gt;$G$13+$G$14,XX,C34+1)</f>
        <v>2028</v>
      </c>
      <c r="E35" s="169">
        <f>'(2.2)_Forward_Price_Curve'!S42</f>
        <v>2.1999999999999999E-2</v>
      </c>
      <c r="G35" s="18">
        <v>657360.38639999996</v>
      </c>
      <c r="I35" s="28">
        <f t="shared" si="10"/>
        <v>55.607760086218079</v>
      </c>
      <c r="K35" s="28">
        <f t="shared" si="10"/>
        <v>1.1971682181659848</v>
      </c>
      <c r="M35" s="28">
        <f t="shared" si="11"/>
        <v>0</v>
      </c>
      <c r="O35" s="270">
        <f>'(2.2)_Forward_Price_Curve'!AC41</f>
        <v>1.3408534982838876</v>
      </c>
      <c r="Q35" s="28">
        <v>-14.920504422314458</v>
      </c>
      <c r="S35" s="18">
        <f t="shared" si="5"/>
        <v>2648.1518406078462</v>
      </c>
      <c r="U35" s="18">
        <f t="shared" si="0"/>
        <v>28613.887902284245</v>
      </c>
      <c r="W35" s="18">
        <f t="shared" si="1"/>
        <v>-25965.736061676398</v>
      </c>
      <c r="Y35" s="271">
        <f t="shared" si="6"/>
        <v>-39.500001215279191</v>
      </c>
      <c r="Z35" s="235"/>
      <c r="AB35" s="146">
        <f>+IF(AB34&gt;$G$13+$G$14,XX,AB34+1)</f>
        <v>2028</v>
      </c>
      <c r="AC35" s="117"/>
      <c r="AD35" s="151">
        <f t="shared" si="2"/>
        <v>657360.38639999996</v>
      </c>
      <c r="AF35" s="154">
        <f t="shared" si="12"/>
        <v>109.80044921679543</v>
      </c>
      <c r="AH35" s="154">
        <f t="shared" si="13"/>
        <v>23.003911713496414</v>
      </c>
      <c r="AJ35" s="154">
        <f t="shared" si="14"/>
        <v>2.6460864546450029</v>
      </c>
      <c r="AL35" s="153">
        <f t="shared" si="7"/>
        <v>16023.386533103732</v>
      </c>
      <c r="AN35" s="154">
        <f>INDEX('(2.2)_Forward_Price_Curve'!$L:$L,MATCH($AB35,'(2.2)_Forward_Price_Curve'!$C:$C,0),1)</f>
        <v>3.9325250000000005</v>
      </c>
      <c r="AP35" s="154">
        <f t="shared" si="15"/>
        <v>25.564947132553726</v>
      </c>
      <c r="AR35" s="154">
        <f t="shared" si="16"/>
        <v>2.7314384119870527</v>
      </c>
      <c r="AS35" s="154"/>
      <c r="AT35" s="153">
        <f t="shared" si="3"/>
        <v>10012.964967001546</v>
      </c>
      <c r="AV35" s="153">
        <f t="shared" si="4"/>
        <v>18600.922935282699</v>
      </c>
      <c r="AW35" s="273"/>
      <c r="AX35" s="155">
        <f t="shared" si="8"/>
        <v>28613.887902284245</v>
      </c>
      <c r="AZ35" s="146">
        <f>+IF(AZ34&gt;$G$13+$G$14,XX,AZ34+1)</f>
        <v>2028</v>
      </c>
      <c r="BA35" s="117"/>
      <c r="BB35" s="154">
        <f t="shared" si="17"/>
        <v>70.241211430809173</v>
      </c>
      <c r="BD35" s="154">
        <f t="shared" si="18"/>
        <v>7.9132819220771591</v>
      </c>
      <c r="BF35" s="153">
        <f t="shared" si="9"/>
        <v>6010.4215661021863</v>
      </c>
      <c r="BH35" s="157"/>
    </row>
    <row r="36" spans="2:60" ht="12">
      <c r="B36" s="2"/>
      <c r="C36">
        <f>+IF(C35&gt;$G$13+$G$14,XX,C35+1)</f>
        <v>2029</v>
      </c>
      <c r="E36" s="169">
        <f>'(2.2)_Forward_Price_Curve'!S43</f>
        <v>2.1999999999999999E-2</v>
      </c>
      <c r="G36" s="18">
        <v>657360.38639999996</v>
      </c>
      <c r="I36" s="28">
        <f t="shared" si="10"/>
        <v>56.831130808114878</v>
      </c>
      <c r="K36" s="28">
        <f t="shared" si="10"/>
        <v>1.2235059189656365</v>
      </c>
      <c r="M36" s="28">
        <f t="shared" si="11"/>
        <v>0</v>
      </c>
      <c r="O36" s="270">
        <f>'(2.2)_Forward_Price_Curve'!AC42</f>
        <v>1.3709529466223729</v>
      </c>
      <c r="Q36" s="28">
        <v>-15.435004574808058</v>
      </c>
      <c r="S36" s="18">
        <f t="shared" si="5"/>
        <v>2584.3732877745347</v>
      </c>
      <c r="U36" s="18">
        <f t="shared" si="0"/>
        <v>30236.953658440623</v>
      </c>
      <c r="W36" s="18">
        <f t="shared" si="1"/>
        <v>-27652.580370666088</v>
      </c>
      <c r="Y36" s="271">
        <f t="shared" si="6"/>
        <v>-42.066088773775995</v>
      </c>
      <c r="Z36" s="235"/>
      <c r="AB36" s="146">
        <f>+IF(AB35&gt;$G$13+$G$14,XX,AB35+1)</f>
        <v>2029</v>
      </c>
      <c r="AC36" s="117"/>
      <c r="AD36" s="151">
        <f t="shared" si="2"/>
        <v>657360.38639999996</v>
      </c>
      <c r="AF36" s="154">
        <f t="shared" si="12"/>
        <v>112.21605909956493</v>
      </c>
      <c r="AH36" s="154">
        <f t="shared" si="13"/>
        <v>23.509997771193337</v>
      </c>
      <c r="AJ36" s="154">
        <f t="shared" si="14"/>
        <v>2.704300356647193</v>
      </c>
      <c r="AL36" s="153">
        <f t="shared" si="7"/>
        <v>16375.901036832016</v>
      </c>
      <c r="AN36" s="154">
        <f>INDEX('(2.2)_Forward_Price_Curve'!$L:$L,MATCH($AB36,'(2.2)_Forward_Price_Curve'!$C:$C,0),1)</f>
        <v>4.2515375000000004</v>
      </c>
      <c r="AP36" s="154">
        <f t="shared" si="15"/>
        <v>27.638815117404125</v>
      </c>
      <c r="AR36" s="154">
        <f t="shared" si="16"/>
        <v>2.791530057050768</v>
      </c>
      <c r="AS36" s="154"/>
      <c r="AT36" s="153">
        <f t="shared" si="3"/>
        <v>10233.250196275581</v>
      </c>
      <c r="AV36" s="153">
        <f t="shared" si="4"/>
        <v>20003.703462165042</v>
      </c>
      <c r="AW36" s="273"/>
      <c r="AX36" s="155">
        <f t="shared" si="8"/>
        <v>30236.953658440623</v>
      </c>
      <c r="AZ36" s="146">
        <f>+IF(AZ35&gt;$G$13+$G$14,XX,AZ35+1)</f>
        <v>2029</v>
      </c>
      <c r="BA36" s="117"/>
      <c r="BB36" s="154">
        <f t="shared" si="17"/>
        <v>71.786518082286975</v>
      </c>
      <c r="BD36" s="154">
        <f t="shared" si="18"/>
        <v>8.0873741243628565</v>
      </c>
      <c r="BF36" s="153">
        <f t="shared" si="9"/>
        <v>6142.6508405564336</v>
      </c>
      <c r="BH36" s="157"/>
    </row>
    <row r="37" spans="2:60" ht="12">
      <c r="B37" s="2"/>
      <c r="C37">
        <f>+IF(C36&gt;$G$13+$G$14,XX,C36+1)</f>
        <v>2030</v>
      </c>
      <c r="E37" s="169">
        <f>'(2.2)_Forward_Price_Curve'!S44</f>
        <v>2.1999999999999999E-2</v>
      </c>
      <c r="G37" s="18">
        <v>657360.38639999996</v>
      </c>
      <c r="I37" s="28">
        <f t="shared" si="10"/>
        <v>58.081415685893404</v>
      </c>
      <c r="K37" s="28">
        <f t="shared" si="10"/>
        <v>1.2504230491828805</v>
      </c>
      <c r="M37" s="28">
        <f t="shared" si="11"/>
        <v>0</v>
      </c>
      <c r="O37" s="270">
        <f>'(2.2)_Forward_Price_Curve'!AC43</f>
        <v>1.4021626326399876</v>
      </c>
      <c r="Q37" s="28">
        <v>-15.949504727301658</v>
      </c>
      <c r="S37" s="18">
        <f t="shared" si="5"/>
        <v>2526.926801397864</v>
      </c>
      <c r="U37" s="18">
        <f t="shared" si="0"/>
        <v>32889.043960792296</v>
      </c>
      <c r="W37" s="18">
        <f t="shared" si="1"/>
        <v>-30362.117159394431</v>
      </c>
      <c r="Y37" s="271">
        <f t="shared" si="6"/>
        <v>-46.187932506354684</v>
      </c>
      <c r="Z37" s="235"/>
      <c r="AB37" s="146">
        <f>+IF(AB36&gt;$G$13+$G$14,XX,AB36+1)</f>
        <v>2030</v>
      </c>
      <c r="AC37" s="117"/>
      <c r="AD37" s="151">
        <f t="shared" si="2"/>
        <v>657360.38639999996</v>
      </c>
      <c r="AF37" s="154">
        <f t="shared" si="12"/>
        <v>114.68481239975536</v>
      </c>
      <c r="AH37" s="154">
        <f t="shared" si="13"/>
        <v>24.027217722159591</v>
      </c>
      <c r="AJ37" s="154">
        <f t="shared" si="14"/>
        <v>2.7637949644934312</v>
      </c>
      <c r="AL37" s="153">
        <f t="shared" si="7"/>
        <v>16736.17085964232</v>
      </c>
      <c r="AN37" s="154">
        <f>INDEX('(2.2)_Forward_Price_Curve'!$L:$L,MATCH($AB37,'(2.2)_Forward_Price_Curve'!$C:$C,0),1)</f>
        <v>4.8100083333333341</v>
      </c>
      <c r="AP37" s="154">
        <f t="shared" si="15"/>
        <v>31.26937749888673</v>
      </c>
      <c r="AR37" s="154">
        <f t="shared" si="16"/>
        <v>2.8529437183058848</v>
      </c>
      <c r="AS37" s="154"/>
      <c r="AT37" s="153">
        <f t="shared" si="3"/>
        <v>10458.381700593643</v>
      </c>
      <c r="AV37" s="153">
        <f t="shared" si="4"/>
        <v>22430.662260198653</v>
      </c>
      <c r="AW37" s="273"/>
      <c r="AX37" s="155">
        <f t="shared" si="8"/>
        <v>32889.043960792296</v>
      </c>
      <c r="AZ37" s="146">
        <f>+IF(AZ36&gt;$G$13+$G$14,XX,AZ36+1)</f>
        <v>2030</v>
      </c>
      <c r="BA37" s="117"/>
      <c r="BB37" s="154">
        <f t="shared" si="17"/>
        <v>73.365821480097296</v>
      </c>
      <c r="BD37" s="154">
        <f t="shared" si="18"/>
        <v>8.2652963550988403</v>
      </c>
      <c r="BF37" s="153">
        <f t="shared" si="9"/>
        <v>6277.7891590486761</v>
      </c>
      <c r="BH37" s="157"/>
    </row>
    <row r="38" spans="2:60" ht="12">
      <c r="B38" s="2"/>
      <c r="C38">
        <f>+IF(C37&gt;$G$13+$G$14,XX,C37+1)</f>
        <v>2031</v>
      </c>
      <c r="E38" s="169">
        <f>'(2.2)_Forward_Price_Curve'!S45</f>
        <v>2.1999999999999999E-2</v>
      </c>
      <c r="G38" s="18">
        <v>657360.38639999996</v>
      </c>
      <c r="I38" s="28">
        <f t="shared" si="10"/>
        <v>59.359206830983062</v>
      </c>
      <c r="K38" s="28">
        <f t="shared" si="10"/>
        <v>1.2779323562649039</v>
      </c>
      <c r="M38" s="28">
        <f t="shared" si="11"/>
        <v>0</v>
      </c>
      <c r="O38" s="270">
        <f>'(2.2)_Forward_Price_Curve'!AC44</f>
        <v>1.4335840474923813</v>
      </c>
      <c r="Q38" s="28">
        <v>0</v>
      </c>
      <c r="S38" s="18">
        <f t="shared" si="5"/>
        <v>13298.129596114541</v>
      </c>
      <c r="U38" s="18">
        <f t="shared" si="0"/>
        <v>34489.585455091474</v>
      </c>
      <c r="W38" s="18">
        <f t="shared" si="1"/>
        <v>-21191.455858976933</v>
      </c>
      <c r="Y38" s="271">
        <f t="shared" si="6"/>
        <v>-32.237196365042379</v>
      </c>
      <c r="Z38" s="235"/>
      <c r="AB38" s="146">
        <f>+IF(AB37&gt;$G$13+$G$14,XX,AB37+1)</f>
        <v>2031</v>
      </c>
      <c r="AC38" s="117"/>
      <c r="AD38" s="151">
        <f t="shared" si="2"/>
        <v>657360.38639999996</v>
      </c>
      <c r="AF38" s="154">
        <f t="shared" si="12"/>
        <v>117.20787827254998</v>
      </c>
      <c r="AH38" s="154">
        <f t="shared" si="13"/>
        <v>24.555816512047102</v>
      </c>
      <c r="AJ38" s="154">
        <f t="shared" si="14"/>
        <v>2.8245984537122868</v>
      </c>
      <c r="AL38" s="153">
        <f t="shared" si="7"/>
        <v>17104.36661855445</v>
      </c>
      <c r="AN38" s="154">
        <f>INDEX('(2.2)_Forward_Price_Curve'!$L:$L,MATCH($AB38,'(2.2)_Forward_Price_Curve'!$C:$C,0),1)</f>
        <v>5.1210458333333335</v>
      </c>
      <c r="AP38" s="154">
        <f t="shared" si="15"/>
        <v>33.291400815646746</v>
      </c>
      <c r="AR38" s="154">
        <f t="shared" si="16"/>
        <v>2.9157084801086142</v>
      </c>
      <c r="AS38" s="154"/>
      <c r="AT38" s="153">
        <f t="shared" si="3"/>
        <v>10688.466098006702</v>
      </c>
      <c r="AV38" s="153">
        <f t="shared" si="4"/>
        <v>23801.119357084772</v>
      </c>
      <c r="AW38" s="273"/>
      <c r="AX38" s="155">
        <f t="shared" si="8"/>
        <v>34489.585455091474</v>
      </c>
      <c r="AZ38" s="146">
        <f>+IF(AZ37&gt;$G$13+$G$14,XX,AZ37+1)</f>
        <v>2031</v>
      </c>
      <c r="BA38" s="117"/>
      <c r="BB38" s="154">
        <f t="shared" si="17"/>
        <v>74.979869552659437</v>
      </c>
      <c r="BD38" s="154">
        <f t="shared" si="18"/>
        <v>8.4471328749110146</v>
      </c>
      <c r="BF38" s="153">
        <f t="shared" si="9"/>
        <v>6415.9005205477479</v>
      </c>
      <c r="BH38" s="157"/>
    </row>
    <row r="39" spans="2:60" ht="12">
      <c r="B39" s="2"/>
      <c r="C39">
        <f>+IF(C38&gt;$G$13+$G$14,XX,C38+1)</f>
        <v>2032</v>
      </c>
      <c r="E39" s="169">
        <f>'(2.2)_Forward_Price_Curve'!S46</f>
        <v>2.1999999999999999E-2</v>
      </c>
      <c r="G39" s="18">
        <v>657360.38639999996</v>
      </c>
      <c r="I39" s="28">
        <f t="shared" si="10"/>
        <v>60.665109381264692</v>
      </c>
      <c r="K39" s="28">
        <f t="shared" si="10"/>
        <v>1.3060468681027317</v>
      </c>
      <c r="M39" s="28">
        <f t="shared" si="11"/>
        <v>0</v>
      </c>
      <c r="O39" s="270">
        <f>'(2.2)_Forward_Price_Curve'!AC45</f>
        <v>1.4649463685254571</v>
      </c>
      <c r="Q39" s="28">
        <v>0</v>
      </c>
      <c r="S39" s="18">
        <f t="shared" si="5"/>
        <v>13590.572404707043</v>
      </c>
      <c r="U39" s="18">
        <f t="shared" si="0"/>
        <v>36057.938306917975</v>
      </c>
      <c r="W39" s="18">
        <f t="shared" si="1"/>
        <v>-22467.365902210931</v>
      </c>
      <c r="Y39" s="271">
        <f t="shared" si="6"/>
        <v>-34.178156102852952</v>
      </c>
      <c r="Z39" s="235"/>
      <c r="AB39" s="146">
        <f>+IF(AB38&gt;$G$13+$G$14,XX,AB38+1)</f>
        <v>2032</v>
      </c>
      <c r="AC39" s="117"/>
      <c r="AD39" s="151">
        <f t="shared" si="2"/>
        <v>657360.38639999996</v>
      </c>
      <c r="AF39" s="154">
        <f t="shared" si="12"/>
        <v>119.78645159454608</v>
      </c>
      <c r="AH39" s="154">
        <f t="shared" si="13"/>
        <v>25.096044475312137</v>
      </c>
      <c r="AJ39" s="154">
        <f t="shared" si="14"/>
        <v>2.886739619693957</v>
      </c>
      <c r="AL39" s="153">
        <f t="shared" si="7"/>
        <v>17480.662684162646</v>
      </c>
      <c r="AN39" s="154">
        <f>INDEX('(2.2)_Forward_Price_Curve'!$L:$L,MATCH($AB39,'(2.2)_Forward_Price_Curve'!$C:$C,0),1)</f>
        <v>5.4231541666666665</v>
      </c>
      <c r="AP39" s="154">
        <f t="shared" si="15"/>
        <v>35.255376523358855</v>
      </c>
      <c r="AR39" s="154">
        <f t="shared" si="16"/>
        <v>2.9798540666710038</v>
      </c>
      <c r="AS39" s="154"/>
      <c r="AT39" s="153">
        <f t="shared" si="3"/>
        <v>10923.612352162847</v>
      </c>
      <c r="AV39" s="153">
        <f t="shared" si="4"/>
        <v>25134.325954755124</v>
      </c>
      <c r="AW39" s="273"/>
      <c r="AX39" s="155">
        <f t="shared" si="8"/>
        <v>36057.938306917975</v>
      </c>
      <c r="AZ39" s="146">
        <f>+IF(AZ38&gt;$G$13+$G$14,XX,AZ38+1)</f>
        <v>2032</v>
      </c>
      <c r="BA39" s="117"/>
      <c r="BB39" s="154">
        <f t="shared" si="17"/>
        <v>76.62942668281795</v>
      </c>
      <c r="BD39" s="154">
        <f t="shared" si="18"/>
        <v>8.6329697981590563</v>
      </c>
      <c r="BF39" s="153">
        <f t="shared" si="9"/>
        <v>6557.0503319997979</v>
      </c>
      <c r="BH39" s="157"/>
    </row>
    <row r="40" spans="2:60" ht="12">
      <c r="B40" s="2"/>
      <c r="C40">
        <f>+IF(C39&gt;$G$13+$G$14,XX,C39+1)</f>
        <v>2033</v>
      </c>
      <c r="E40" s="169">
        <f>'(2.2)_Forward_Price_Curve'!S47</f>
        <v>2.1999999999999999E-2</v>
      </c>
      <c r="G40" s="18">
        <v>657360.38639999996</v>
      </c>
      <c r="I40" s="28">
        <f t="shared" si="10"/>
        <v>61.999741787652518</v>
      </c>
      <c r="K40" s="28">
        <f t="shared" si="10"/>
        <v>1.3347798992009918</v>
      </c>
      <c r="M40" s="28">
        <f t="shared" si="11"/>
        <v>0</v>
      </c>
      <c r="O40" s="270">
        <f>'(2.2)_Forward_Price_Curve'!AC46</f>
        <v>1.4965465421812867</v>
      </c>
      <c r="Q40" s="28">
        <v>0</v>
      </c>
      <c r="S40" s="18">
        <f t="shared" si="5"/>
        <v>13889.151750336179</v>
      </c>
      <c r="U40" s="18">
        <f t="shared" si="0"/>
        <v>37696.582575489112</v>
      </c>
      <c r="W40" s="18">
        <f t="shared" si="1"/>
        <v>-23807.430825152933</v>
      </c>
      <c r="Y40" s="271">
        <f t="shared" si="6"/>
        <v>-36.216710525459398</v>
      </c>
      <c r="Z40" s="235"/>
      <c r="AB40" s="146">
        <f>+IF(AB39&gt;$G$13+$G$14,XX,AB39+1)</f>
        <v>2033</v>
      </c>
      <c r="AC40" s="117"/>
      <c r="AD40" s="151">
        <f t="shared" si="2"/>
        <v>657360.38639999996</v>
      </c>
      <c r="AF40" s="154">
        <f t="shared" si="12"/>
        <v>122.4217535296261</v>
      </c>
      <c r="AH40" s="154">
        <f t="shared" si="13"/>
        <v>25.648157453769006</v>
      </c>
      <c r="AJ40" s="154">
        <f t="shared" si="14"/>
        <v>2.9502478913272241</v>
      </c>
      <c r="AL40" s="153">
        <f t="shared" si="7"/>
        <v>17865.237263214225</v>
      </c>
      <c r="AN40" s="154">
        <f>INDEX('(2.2)_Forward_Price_Curve'!$L:$L,MATCH($AB40,'(2.2)_Forward_Price_Curve'!$C:$C,0),1)</f>
        <v>5.7402833333333332</v>
      </c>
      <c r="AP40" s="154">
        <f t="shared" si="15"/>
        <v>37.317001148764703</v>
      </c>
      <c r="AR40" s="154">
        <f t="shared" si="16"/>
        <v>3.045410856137766</v>
      </c>
      <c r="AS40" s="154"/>
      <c r="AT40" s="153">
        <f t="shared" si="3"/>
        <v>11163.931823910432</v>
      </c>
      <c r="AV40" s="153">
        <f t="shared" si="4"/>
        <v>26532.65075157868</v>
      </c>
      <c r="AW40" s="273"/>
      <c r="AX40" s="155">
        <f t="shared" si="8"/>
        <v>37696.582575489112</v>
      </c>
      <c r="AZ40" s="146">
        <f>+IF(AZ39&gt;$G$13+$G$14,XX,AZ39+1)</f>
        <v>2033</v>
      </c>
      <c r="BA40" s="117"/>
      <c r="BB40" s="154">
        <f t="shared" si="17"/>
        <v>78.315274069839944</v>
      </c>
      <c r="BD40" s="154">
        <f t="shared" si="18"/>
        <v>8.8228951337185553</v>
      </c>
      <c r="BF40" s="153">
        <f t="shared" si="9"/>
        <v>6701.3054393037937</v>
      </c>
      <c r="BH40" s="157"/>
    </row>
    <row r="41" spans="2:60" ht="12">
      <c r="B41" s="2"/>
      <c r="C41">
        <f>+IF(C40&gt;$G$13+$G$14,XX,C40+1)</f>
        <v>2034</v>
      </c>
      <c r="E41" s="169">
        <f>'(2.2)_Forward_Price_Curve'!S48</f>
        <v>2.1999999999999999E-2</v>
      </c>
      <c r="G41" s="18">
        <v>657360.38639999996</v>
      </c>
      <c r="I41" s="28">
        <f t="shared" si="10"/>
        <v>63.363736106980873</v>
      </c>
      <c r="K41" s="28">
        <f t="shared" si="10"/>
        <v>1.3641450569834137</v>
      </c>
      <c r="M41" s="28">
        <f t="shared" si="11"/>
        <v>0</v>
      </c>
      <c r="O41" s="270">
        <f>'(2.2)_Forward_Price_Curve'!AC47</f>
        <v>1.5286401492284176</v>
      </c>
      <c r="Q41" s="28">
        <v>0</v>
      </c>
      <c r="S41" s="18">
        <f t="shared" si="5"/>
        <v>14194.167205681901</v>
      </c>
      <c r="U41" s="18">
        <f t="shared" si="0"/>
        <v>39304.781647031181</v>
      </c>
      <c r="W41" s="18">
        <f t="shared" si="1"/>
        <v>-25110.61444134928</v>
      </c>
      <c r="Y41" s="271">
        <f t="shared" si="6"/>
        <v>-38.199159792494122</v>
      </c>
      <c r="Z41" s="235"/>
      <c r="AB41" s="146">
        <f>+IF(AB40&gt;$G$13+$G$14,XX,AB40+1)</f>
        <v>2034</v>
      </c>
      <c r="AC41" s="117"/>
      <c r="AD41" s="151">
        <f t="shared" si="2"/>
        <v>657360.38639999996</v>
      </c>
      <c r="AF41" s="154">
        <f t="shared" si="12"/>
        <v>125.11503210727788</v>
      </c>
      <c r="AH41" s="154">
        <f t="shared" si="13"/>
        <v>26.212416917751924</v>
      </c>
      <c r="AJ41" s="154">
        <f t="shared" si="14"/>
        <v>3.0151533449364232</v>
      </c>
      <c r="AL41" s="153">
        <f t="shared" si="7"/>
        <v>18258.272483004937</v>
      </c>
      <c r="AN41" s="154">
        <f>INDEX('(2.2)_Forward_Price_Curve'!$L:$L,MATCH($AB41,'(2.2)_Forward_Price_Curve'!$C:$C,0),1)</f>
        <v>6.0488291666666667</v>
      </c>
      <c r="AP41" s="154">
        <f t="shared" si="15"/>
        <v>39.322826392631285</v>
      </c>
      <c r="AR41" s="154">
        <f t="shared" si="16"/>
        <v>3.1124098949727967</v>
      </c>
      <c r="AS41" s="154"/>
      <c r="AT41" s="153">
        <f t="shared" si="3"/>
        <v>11409.538324036461</v>
      </c>
      <c r="AV41" s="153">
        <f t="shared" si="4"/>
        <v>27895.24332299472</v>
      </c>
      <c r="AW41" s="273"/>
      <c r="AX41" s="155">
        <f t="shared" si="8"/>
        <v>39304.781647031181</v>
      </c>
      <c r="AZ41" s="146">
        <f>+IF(AZ40&gt;$G$13+$G$14,XX,AZ40+1)</f>
        <v>2034</v>
      </c>
      <c r="BA41" s="117"/>
      <c r="BB41" s="154">
        <f t="shared" si="17"/>
        <v>80.038210099376428</v>
      </c>
      <c r="BD41" s="154">
        <f t="shared" si="18"/>
        <v>9.0169988266603642</v>
      </c>
      <c r="BF41" s="153">
        <f t="shared" si="9"/>
        <v>6848.7341589684775</v>
      </c>
      <c r="BH41" s="157"/>
    </row>
    <row r="42" spans="2:60" ht="12">
      <c r="B42" s="2"/>
      <c r="C42">
        <f>+IF(C41&gt;$G$13+$G$14,XX,C41+1)</f>
        <v>2035</v>
      </c>
      <c r="E42" s="169">
        <f>'(2.2)_Forward_Price_Curve'!S49</f>
        <v>2.1999999999999999E-2</v>
      </c>
      <c r="G42" s="18">
        <v>657360.38639999996</v>
      </c>
      <c r="I42" s="28">
        <f t="shared" si="10"/>
        <v>64.757738301334456</v>
      </c>
      <c r="K42" s="28">
        <f t="shared" si="10"/>
        <v>1.3941562482370489</v>
      </c>
      <c r="M42" s="28">
        <f t="shared" si="11"/>
        <v>0</v>
      </c>
      <c r="O42" s="270">
        <f>'(2.2)_Forward_Price_Curve'!AC48</f>
        <v>1.5607569013547813</v>
      </c>
      <c r="Q42" s="28">
        <v>0</v>
      </c>
      <c r="S42" s="18">
        <f t="shared" si="5"/>
        <v>14505.444080253008</v>
      </c>
      <c r="U42" s="18">
        <f t="shared" si="0"/>
        <v>38238.040652860123</v>
      </c>
      <c r="W42" s="18">
        <f t="shared" si="1"/>
        <v>-23732.596572607115</v>
      </c>
      <c r="Y42" s="271">
        <f t="shared" si="6"/>
        <v>-36.102869998871469</v>
      </c>
      <c r="Z42" s="235"/>
      <c r="AB42" s="146">
        <f>+IF(AB41&gt;$G$13+$G$14,XX,AB41+1)</f>
        <v>2035</v>
      </c>
      <c r="AC42" s="117"/>
      <c r="AD42" s="151">
        <f t="shared" si="2"/>
        <v>657360.38639999996</v>
      </c>
      <c r="AF42" s="154">
        <f t="shared" si="12"/>
        <v>127.867562813638</v>
      </c>
      <c r="AH42" s="154">
        <f t="shared" si="13"/>
        <v>26.789090089942466</v>
      </c>
      <c r="AJ42" s="154">
        <f t="shared" si="14"/>
        <v>3.0814867185250248</v>
      </c>
      <c r="AL42" s="153">
        <f t="shared" si="7"/>
        <v>18659.95447763105</v>
      </c>
      <c r="AN42" s="154">
        <f>INDEX('(2.2)_Forward_Price_Curve'!$L:$L,MATCH($AB42,'(2.2)_Forward_Price_Curve'!$C:$C,0),1)</f>
        <v>5.7299374999999992</v>
      </c>
      <c r="AP42" s="154">
        <f t="shared" si="15"/>
        <v>37.24974393305498</v>
      </c>
      <c r="AR42" s="154">
        <f t="shared" si="16"/>
        <v>3.1808829126621982</v>
      </c>
      <c r="AS42" s="154"/>
      <c r="AT42" s="153">
        <f t="shared" si="3"/>
        <v>11660.548167165267</v>
      </c>
      <c r="AV42" s="153">
        <f t="shared" si="4"/>
        <v>26577.492485694856</v>
      </c>
      <c r="AW42" s="273"/>
      <c r="AX42" s="155">
        <f t="shared" si="8"/>
        <v>38238.040652860123</v>
      </c>
      <c r="AZ42" s="146">
        <f>+IF(AZ41&gt;$G$13+$G$14,XX,AZ41+1)</f>
        <v>2035</v>
      </c>
      <c r="BA42" s="117"/>
      <c r="BB42" s="154">
        <f t="shared" si="17"/>
        <v>81.799050721562708</v>
      </c>
      <c r="BD42" s="154">
        <f t="shared" si="18"/>
        <v>9.2153728008468931</v>
      </c>
      <c r="BF42" s="153">
        <f t="shared" si="9"/>
        <v>6999.4063104657835</v>
      </c>
      <c r="BH42" s="157"/>
    </row>
    <row r="43" spans="2:60" ht="12">
      <c r="B43" s="2"/>
      <c r="C43">
        <f>+IF(C42&gt;$G$13+$G$14,XX,C42+1)</f>
        <v>2036</v>
      </c>
      <c r="E43" s="169">
        <f>'(2.2)_Forward_Price_Curve'!S50</f>
        <v>2.1999999999999999E-2</v>
      </c>
      <c r="G43" s="18">
        <v>657360.38639999996</v>
      </c>
      <c r="I43" s="28">
        <f t="shared" si="10"/>
        <v>66.182408543963817</v>
      </c>
      <c r="K43" s="28">
        <f t="shared" si="10"/>
        <v>1.424827685698264</v>
      </c>
      <c r="M43" s="28">
        <f t="shared" si="11"/>
        <v>0</v>
      </c>
      <c r="O43" s="270">
        <f>'(2.2)_Forward_Price_Curve'!AC49</f>
        <v>1.5935251628391218</v>
      </c>
      <c r="Q43" s="28">
        <v>0</v>
      </c>
      <c r="S43" s="18">
        <f t="shared" si="5"/>
        <v>14823.532852335058</v>
      </c>
      <c r="U43" s="18">
        <f t="shared" si="0"/>
        <v>38745.396513556494</v>
      </c>
      <c r="W43" s="18">
        <f t="shared" si="1"/>
        <v>-23921.863661221436</v>
      </c>
      <c r="Y43" s="271">
        <f t="shared" si="6"/>
        <v>-36.390789825697105</v>
      </c>
      <c r="Z43" s="235"/>
      <c r="AB43" s="146">
        <f>+IF(AB42&gt;$G$13+$G$14,XX,AB42+1)</f>
        <v>2036</v>
      </c>
      <c r="AC43" s="117"/>
      <c r="AD43" s="151">
        <f t="shared" si="2"/>
        <v>657360.38639999996</v>
      </c>
      <c r="AF43" s="154">
        <f t="shared" si="12"/>
        <v>130.68064919553805</v>
      </c>
      <c r="AH43" s="154">
        <f t="shared" si="13"/>
        <v>27.378450071921201</v>
      </c>
      <c r="AJ43" s="154">
        <f t="shared" si="14"/>
        <v>3.1492794263325754</v>
      </c>
      <c r="AL43" s="153">
        <f t="shared" si="7"/>
        <v>19070.473476138934</v>
      </c>
      <c r="AN43" s="154">
        <f>INDEX('(2.2)_Forward_Price_Curve'!$L:$L,MATCH($AB43,'(2.2)_Forward_Price_Curve'!$C:$C,0),1)</f>
        <v>5.7778666666666672</v>
      </c>
      <c r="AP43" s="154">
        <f t="shared" si="15"/>
        <v>37.561326596087184</v>
      </c>
      <c r="AR43" s="154">
        <f t="shared" si="16"/>
        <v>3.2508623367407665</v>
      </c>
      <c r="AS43" s="154"/>
      <c r="AT43" s="153">
        <f t="shared" si="3"/>
        <v>11917.080226842903</v>
      </c>
      <c r="AV43" s="153">
        <f t="shared" si="4"/>
        <v>26828.316286713587</v>
      </c>
      <c r="AW43" s="273"/>
      <c r="AX43" s="155">
        <f t="shared" si="8"/>
        <v>38745.396513556494</v>
      </c>
      <c r="AZ43" s="146">
        <f>+IF(AZ42&gt;$G$13+$G$14,XX,AZ42+1)</f>
        <v>2036</v>
      </c>
      <c r="BA43" s="117"/>
      <c r="BB43" s="154">
        <f t="shared" si="17"/>
        <v>83.598629837437088</v>
      </c>
      <c r="BD43" s="154">
        <f t="shared" si="18"/>
        <v>9.4181110024655244</v>
      </c>
      <c r="BF43" s="153">
        <f t="shared" si="9"/>
        <v>7153.3932492960312</v>
      </c>
      <c r="BH43" s="157"/>
    </row>
    <row r="44" spans="2:60" ht="12">
      <c r="B44" s="2"/>
      <c r="C44">
        <f>+IF(C43&gt;$G$13+$G$14,XX,C43+1)</f>
        <v>2037</v>
      </c>
      <c r="E44" s="169">
        <f>'(2.2)_Forward_Price_Curve'!S51</f>
        <v>2.1999999999999999E-2</v>
      </c>
      <c r="G44" s="18">
        <v>657360.38639999996</v>
      </c>
      <c r="I44" s="28">
        <f t="shared" si="10"/>
        <v>67.638421531931016</v>
      </c>
      <c r="K44" s="28">
        <f t="shared" si="10"/>
        <v>1.4561738947836258</v>
      </c>
      <c r="M44" s="28">
        <f t="shared" si="11"/>
        <v>0</v>
      </c>
      <c r="O44" s="270">
        <f>'(2.2)_Forward_Price_Curve'!AC50</f>
        <v>1.6267336732773778</v>
      </c>
      <c r="Q44" s="28">
        <v>0</v>
      </c>
      <c r="S44" s="18">
        <f t="shared" si="5"/>
        <v>15148.435087370683</v>
      </c>
      <c r="U44" s="18">
        <f t="shared" si="0"/>
        <v>40509.298345029587</v>
      </c>
      <c r="W44" s="18">
        <f t="shared" si="1"/>
        <v>-25360.863257658904</v>
      </c>
      <c r="Y44" s="271">
        <f t="shared" si="6"/>
        <v>-38.579847192415038</v>
      </c>
      <c r="Z44" s="235"/>
      <c r="AB44" s="146">
        <f>+IF(AB43&gt;$G$13+$G$14,XX,AB43+1)</f>
        <v>2037</v>
      </c>
      <c r="AC44" s="117"/>
      <c r="AD44" s="151">
        <f t="shared" si="2"/>
        <v>657360.38639999996</v>
      </c>
      <c r="AF44" s="154">
        <f t="shared" si="12"/>
        <v>133.5556234778399</v>
      </c>
      <c r="AH44" s="154">
        <f t="shared" si="13"/>
        <v>27.980775973503466</v>
      </c>
      <c r="AJ44" s="154">
        <f t="shared" si="14"/>
        <v>3.2185635737118923</v>
      </c>
      <c r="AL44" s="153">
        <f t="shared" si="7"/>
        <v>19490.023892613994</v>
      </c>
      <c r="AN44" s="154">
        <f>INDEX('(2.2)_Forward_Price_Curve'!$L:$L,MATCH($AB44,'(2.2)_Forward_Price_Curve'!$C:$C,0),1)</f>
        <v>6.1182749999999997</v>
      </c>
      <c r="AP44" s="154">
        <f t="shared" si="15"/>
        <v>39.774286728609511</v>
      </c>
      <c r="AR44" s="154">
        <f t="shared" si="16"/>
        <v>3.3223813081490636</v>
      </c>
      <c r="AS44" s="154"/>
      <c r="AT44" s="153">
        <f t="shared" si="3"/>
        <v>12179.255991833448</v>
      </c>
      <c r="AV44" s="153">
        <f t="shared" si="4"/>
        <v>28330.042353196142</v>
      </c>
      <c r="AW44" s="273"/>
      <c r="AX44" s="155">
        <f t="shared" si="8"/>
        <v>40509.298345029587</v>
      </c>
      <c r="AZ44" s="146">
        <f>+IF(AZ43&gt;$G$13+$G$14,XX,AZ43+1)</f>
        <v>2037</v>
      </c>
      <c r="BA44" s="117"/>
      <c r="BB44" s="154">
        <f t="shared" si="17"/>
        <v>85.437799693860711</v>
      </c>
      <c r="BD44" s="154">
        <f t="shared" si="18"/>
        <v>9.6253094445197664</v>
      </c>
      <c r="BF44" s="153">
        <f t="shared" si="9"/>
        <v>7310.7679007805446</v>
      </c>
      <c r="BH44" s="157"/>
    </row>
    <row r="45" spans="2:60" ht="12">
      <c r="B45" s="2"/>
      <c r="C45">
        <f>+IF(C44&gt;$G$13+$G$14,XX,C44+1)</f>
        <v>2038</v>
      </c>
      <c r="E45" s="169">
        <f>'(2.2)_Forward_Price_Curve'!S52</f>
        <v>2.1999999999999999E-2</v>
      </c>
      <c r="G45" s="18">
        <v>657360.38639999996</v>
      </c>
      <c r="I45" s="28">
        <f t="shared" si="10"/>
        <v>69.126466805633498</v>
      </c>
      <c r="K45" s="28">
        <f t="shared" si="10"/>
        <v>1.4882097204688656</v>
      </c>
      <c r="M45" s="28">
        <f t="shared" si="11"/>
        <v>0</v>
      </c>
      <c r="O45" s="270">
        <f>'(2.2)_Forward_Price_Curve'!AC51</f>
        <v>1.6606577113778709</v>
      </c>
      <c r="Q45" s="28">
        <v>0</v>
      </c>
      <c r="S45" s="18">
        <f t="shared" si="5"/>
        <v>15480.475272014046</v>
      </c>
      <c r="U45" s="18">
        <f t="shared" si="0"/>
        <v>42934.603306525096</v>
      </c>
      <c r="W45" s="18">
        <f t="shared" si="1"/>
        <v>-27454.12803451105</v>
      </c>
      <c r="Y45" s="271">
        <f t="shared" si="6"/>
        <v>-41.764196021701515</v>
      </c>
      <c r="Z45" s="235"/>
      <c r="AB45" s="146">
        <f>+IF(AB44&gt;$G$13+$G$14,XX,AB44+1)</f>
        <v>2038</v>
      </c>
      <c r="AC45" s="117"/>
      <c r="AD45" s="151">
        <f t="shared" si="2"/>
        <v>657360.38639999996</v>
      </c>
      <c r="AF45" s="154">
        <f t="shared" si="12"/>
        <v>136.49384719435238</v>
      </c>
      <c r="AH45" s="154">
        <f t="shared" si="13"/>
        <v>28.596353044920544</v>
      </c>
      <c r="AJ45" s="154">
        <f t="shared" si="14"/>
        <v>3.2893719723335542</v>
      </c>
      <c r="AL45" s="153">
        <f t="shared" si="7"/>
        <v>19918.804418251504</v>
      </c>
      <c r="AN45" s="154">
        <f>INDEX('(2.2)_Forward_Price_Curve'!$L:$L,MATCH($AB45,'(2.2)_Forward_Price_Curve'!$C:$C,0),1)</f>
        <v>6.6118625</v>
      </c>
      <c r="AP45" s="154">
        <f t="shared" si="15"/>
        <v>42.983049124980646</v>
      </c>
      <c r="AR45" s="154">
        <f t="shared" si="16"/>
        <v>3.395473696928343</v>
      </c>
      <c r="AS45" s="154"/>
      <c r="AT45" s="153">
        <f t="shared" si="3"/>
        <v>12447.199623653789</v>
      </c>
      <c r="AV45" s="153">
        <f t="shared" si="4"/>
        <v>30487.403682871307</v>
      </c>
      <c r="AW45" s="273"/>
      <c r="AX45" s="155">
        <f t="shared" si="8"/>
        <v>42934.603306525096</v>
      </c>
      <c r="AZ45" s="146">
        <f>+IF(AZ44&gt;$G$13+$G$14,XX,AZ44+1)</f>
        <v>2038</v>
      </c>
      <c r="BA45" s="117"/>
      <c r="BB45" s="154">
        <f t="shared" si="17"/>
        <v>87.317431287125643</v>
      </c>
      <c r="BD45" s="154">
        <f t="shared" si="18"/>
        <v>9.8370662522992021</v>
      </c>
      <c r="BF45" s="153">
        <f t="shared" si="9"/>
        <v>7471.6047945977161</v>
      </c>
      <c r="BH45" s="157"/>
    </row>
    <row r="46" spans="2:60" ht="12">
      <c r="B46" s="2"/>
      <c r="C46">
        <f>+IF(C45&gt;$G$13+$G$14,XX,C45+1)</f>
        <v>2039</v>
      </c>
      <c r="E46" s="169">
        <f>'(2.2)_Forward_Price_Curve'!S53</f>
        <v>2.1999999999999999E-2</v>
      </c>
      <c r="G46" s="18">
        <v>657360.38639999996</v>
      </c>
      <c r="I46" s="28">
        <f t="shared" si="10"/>
        <v>70.647249075357436</v>
      </c>
      <c r="K46" s="28">
        <f t="shared" si="10"/>
        <v>1.5209503343191806</v>
      </c>
      <c r="M46" s="28">
        <f t="shared" si="11"/>
        <v>0</v>
      </c>
      <c r="O46" s="270">
        <f>'(2.2)_Forward_Price_Curve'!AC52</f>
        <v>1.6953423361778306</v>
      </c>
      <c r="Q46" s="28">
        <v>0</v>
      </c>
      <c r="S46" s="18">
        <f t="shared" si="5"/>
        <v>15819.829713272748</v>
      </c>
      <c r="U46" s="18">
        <f t="shared" si="0"/>
        <v>45309.008480705575</v>
      </c>
      <c r="W46" s="18">
        <f t="shared" si="1"/>
        <v>-29489.17876743283</v>
      </c>
      <c r="Y46" s="271">
        <f t="shared" si="6"/>
        <v>-44.859987576873607</v>
      </c>
      <c r="Z46" s="235"/>
      <c r="AB46" s="146">
        <f>+IF(AB45&gt;$G$13+$G$14,XX,AB45+1)</f>
        <v>2039</v>
      </c>
      <c r="AC46" s="117"/>
      <c r="AD46" s="151">
        <f t="shared" si="2"/>
        <v>657360.38639999996</v>
      </c>
      <c r="AF46" s="154">
        <f t="shared" si="12"/>
        <v>139.49671183262814</v>
      </c>
      <c r="AH46" s="154">
        <f t="shared" si="13"/>
        <v>29.225472811908798</v>
      </c>
      <c r="AJ46" s="154">
        <f t="shared" si="14"/>
        <v>3.3617381557248924</v>
      </c>
      <c r="AL46" s="153">
        <f t="shared" si="7"/>
        <v>20357.018115453036</v>
      </c>
      <c r="AN46" s="154">
        <f>INDEX('(2.2)_Forward_Price_Curve'!$L:$L,MATCH($AB46,'(2.2)_Forward_Price_Curve'!$C:$C,0),1)</f>
        <v>7.0919124999999994</v>
      </c>
      <c r="AP46" s="154">
        <f t="shared" si="15"/>
        <v>46.103805603574521</v>
      </c>
      <c r="AR46" s="154">
        <f t="shared" si="16"/>
        <v>3.4701741182607666</v>
      </c>
      <c r="AS46" s="154"/>
      <c r="AT46" s="153">
        <f t="shared" si="3"/>
        <v>12721.03801537417</v>
      </c>
      <c r="AV46" s="153">
        <f t="shared" si="4"/>
        <v>32587.970465331404</v>
      </c>
      <c r="AW46" s="273"/>
      <c r="AX46" s="155">
        <f t="shared" si="8"/>
        <v>45309.008480705575</v>
      </c>
      <c r="AZ46" s="146">
        <f>+IF(AZ45&gt;$G$13+$G$14,XX,AZ45+1)</f>
        <v>2039</v>
      </c>
      <c r="BA46" s="117"/>
      <c r="BB46" s="154">
        <f t="shared" si="17"/>
        <v>89.238414775442408</v>
      </c>
      <c r="BD46" s="154">
        <f t="shared" si="18"/>
        <v>10.053481709849784</v>
      </c>
      <c r="BF46" s="153">
        <f t="shared" si="9"/>
        <v>7635.9801000788666</v>
      </c>
      <c r="BH46" s="157"/>
    </row>
    <row r="47" spans="2:60" ht="12">
      <c r="B47" s="2"/>
      <c r="C47">
        <f>+IF(C46&gt;$G$13+$G$14,XX,C46+1)</f>
        <v>2040</v>
      </c>
      <c r="E47" s="169">
        <f>'(2.2)_Forward_Price_Curve'!S54</f>
        <v>2.1999999999999999E-2</v>
      </c>
      <c r="G47" s="18">
        <v>657360.38639999996</v>
      </c>
      <c r="I47" s="28">
        <f t="shared" si="10"/>
        <v>72.201488555015302</v>
      </c>
      <c r="K47" s="28">
        <f t="shared" si="10"/>
        <v>1.5544112416742026</v>
      </c>
      <c r="M47" s="28">
        <f t="shared" si="11"/>
        <v>0</v>
      </c>
      <c r="O47" s="270">
        <f>'(2.2)_Forward_Price_Curve'!AC53</f>
        <v>1.730529504666237</v>
      </c>
      <c r="Q47" s="28"/>
      <c r="S47" s="18">
        <f t="shared" si="5"/>
        <v>16166.478697988425</v>
      </c>
      <c r="U47" s="18">
        <f t="shared" si="0"/>
        <v>46624.724131588679</v>
      </c>
      <c r="W47" s="18">
        <f t="shared" si="1"/>
        <v>-30458.245433600256</v>
      </c>
      <c r="Y47" s="271">
        <f t="shared" si="6"/>
        <v>-46.334166256052107</v>
      </c>
      <c r="Z47" s="235"/>
      <c r="AB47" s="146">
        <f>+IF(AB46&gt;$G$13+$G$14,XX,AB46+1)</f>
        <v>2040</v>
      </c>
      <c r="AC47" s="117"/>
      <c r="AD47" s="151">
        <f t="shared" si="2"/>
        <v>657360.38639999996</v>
      </c>
      <c r="AF47" s="154">
        <f t="shared" si="12"/>
        <v>142.56563949294596</v>
      </c>
      <c r="AH47" s="154">
        <f t="shared" si="13"/>
        <v>29.868433213770793</v>
      </c>
      <c r="AJ47" s="154">
        <f t="shared" si="14"/>
        <v>3.4356963951508401</v>
      </c>
      <c r="AL47" s="153">
        <f t="shared" si="7"/>
        <v>20804.872513993007</v>
      </c>
      <c r="AN47" s="154">
        <f>INDEX('(2.2)_Forward_Price_Curve'!$L:$L,MATCH($AB47,'(2.2)_Forward_Price_Curve'!$C:$C,0),1)</f>
        <v>7.3225625000000001</v>
      </c>
      <c r="AP47" s="154">
        <f t="shared" si="15"/>
        <v>47.603237916432938</v>
      </c>
      <c r="AR47" s="154">
        <f t="shared" si="16"/>
        <v>3.5465179488625034</v>
      </c>
      <c r="AS47" s="154"/>
      <c r="AT47" s="153">
        <f t="shared" si="3"/>
        <v>13000.900851712406</v>
      </c>
      <c r="AV47" s="153">
        <f t="shared" si="4"/>
        <v>33623.823279876277</v>
      </c>
      <c r="AW47" s="273"/>
      <c r="AX47" s="155">
        <f t="shared" si="8"/>
        <v>46624.724131588679</v>
      </c>
      <c r="AZ47" s="146">
        <f>+IF(AZ46&gt;$G$13+$G$14,XX,AZ46+1)</f>
        <v>2040</v>
      </c>
      <c r="BA47" s="117"/>
      <c r="BB47" s="154">
        <f t="shared" si="17"/>
        <v>91.201659900502136</v>
      </c>
      <c r="BD47" s="154">
        <f t="shared" si="18"/>
        <v>10.274658307466479</v>
      </c>
      <c r="BF47" s="153">
        <f t="shared" si="9"/>
        <v>7803.9716622806009</v>
      </c>
      <c r="BH47" s="157"/>
    </row>
    <row r="48" spans="2:60" ht="12">
      <c r="B48" s="2"/>
      <c r="C48">
        <f>+IF(C47&gt;$G$13+$G$14,XX,C47+1)</f>
        <v>2041</v>
      </c>
      <c r="E48" s="169">
        <f>'(2.2)_Forward_Price_Curve'!S55</f>
        <v>2.1999999999999999E-2</v>
      </c>
      <c r="G48" s="18">
        <v>657360.38639999996</v>
      </c>
      <c r="I48" s="28">
        <f t="shared" si="10"/>
        <v>73.78992130322564</v>
      </c>
      <c r="K48" s="28">
        <f t="shared" si="10"/>
        <v>1.5886082889910351</v>
      </c>
      <c r="M48" s="28">
        <f t="shared" si="11"/>
        <v>0</v>
      </c>
      <c r="O48" s="270">
        <f>'(2.2)_Forward_Price_Curve'!AC54</f>
        <v>1.7664344168351047</v>
      </c>
      <c r="Q48" s="28"/>
      <c r="S48" s="18">
        <f t="shared" si="5"/>
        <v>16520.716902316148</v>
      </c>
      <c r="U48" s="18">
        <f t="shared" si="0"/>
        <v>47650.468062483633</v>
      </c>
      <c r="W48" s="18">
        <f t="shared" si="1"/>
        <v>-31129.751160167485</v>
      </c>
      <c r="Y48" s="271">
        <f t="shared" si="6"/>
        <v>-47.355684650619047</v>
      </c>
      <c r="Z48" s="235"/>
      <c r="AB48" s="146">
        <f>+IF(AB47&gt;$G$13+$G$14,XX,AB47+1)</f>
        <v>2041</v>
      </c>
      <c r="AC48" s="117"/>
      <c r="AD48" s="151">
        <f t="shared" si="2"/>
        <v>657360.38639999996</v>
      </c>
      <c r="AF48" s="154">
        <f t="shared" si="12"/>
        <v>145.70208356179077</v>
      </c>
      <c r="AH48" s="154">
        <f t="shared" si="13"/>
        <v>30.525538744473749</v>
      </c>
      <c r="AJ48" s="154">
        <f t="shared" si="14"/>
        <v>3.5112817158441585</v>
      </c>
      <c r="AL48" s="153">
        <f t="shared" si="7"/>
        <v>21262.579709300851</v>
      </c>
      <c r="AN48" s="154">
        <f>INDEX('(2.2)_Forward_Price_Curve'!$L:$L,MATCH($AB48,'(2.2)_Forward_Price_Curve'!$C:$C,0),1)</f>
        <v>7.4836588750000006</v>
      </c>
      <c r="AP48" s="154">
        <f t="shared" si="15"/>
        <v>48.650509150594466</v>
      </c>
      <c r="AR48" s="154">
        <f t="shared" si="16"/>
        <v>3.6245413437374787</v>
      </c>
      <c r="AS48" s="154"/>
      <c r="AT48" s="153">
        <f t="shared" si="3"/>
        <v>13286.920670450078</v>
      </c>
      <c r="AV48" s="153">
        <f t="shared" si="4"/>
        <v>34363.547392033557</v>
      </c>
      <c r="AW48" s="273"/>
      <c r="AX48" s="155">
        <f t="shared" si="8"/>
        <v>47650.468062483633</v>
      </c>
      <c r="AZ48" s="146">
        <f>+IF(AZ47&gt;$G$13+$G$14,XX,AZ47+1)</f>
        <v>2041</v>
      </c>
      <c r="BA48" s="117"/>
      <c r="BB48" s="154">
        <f t="shared" si="17"/>
        <v>93.20809641831319</v>
      </c>
      <c r="BD48" s="154">
        <f t="shared" si="18"/>
        <v>10.500700790230741</v>
      </c>
      <c r="BF48" s="153">
        <f t="shared" si="9"/>
        <v>7975.6590388507739</v>
      </c>
      <c r="BH48" s="157"/>
    </row>
    <row r="49" spans="2:60" ht="12">
      <c r="B49" s="2"/>
      <c r="C49">
        <f>+IF(C48&gt;$G$13+$G$14,XX,C48+1)</f>
        <v>2042</v>
      </c>
      <c r="E49" s="169">
        <f>'(2.2)_Forward_Price_Curve'!S56</f>
        <v>2.1999999999999999E-2</v>
      </c>
      <c r="G49" s="18">
        <v>657360.38639999996</v>
      </c>
      <c r="I49" s="28">
        <f t="shared" si="10"/>
        <v>75.413299571896601</v>
      </c>
      <c r="K49" s="28">
        <f t="shared" si="10"/>
        <v>1.623557671348838</v>
      </c>
      <c r="M49" s="28">
        <f t="shared" si="11"/>
        <v>0</v>
      </c>
      <c r="O49" s="270">
        <f>'(2.2)_Forward_Price_Curve'!AC55</f>
        <v>1.8033030507073435</v>
      </c>
      <c r="Q49" s="28"/>
      <c r="S49" s="18">
        <f t="shared" si="5"/>
        <v>16882.862605337774</v>
      </c>
      <c r="U49" s="18">
        <f t="shared" si="0"/>
        <v>48698.778359858276</v>
      </c>
      <c r="W49" s="18">
        <f t="shared" si="1"/>
        <v>-31815.915754520502</v>
      </c>
      <c r="Y49" s="271">
        <f t="shared" si="6"/>
        <v>-48.399502636230807</v>
      </c>
      <c r="Z49" s="235"/>
      <c r="AB49" s="146">
        <f>+IF(AB48&gt;$G$13+$G$14,XX,AB48+1)</f>
        <v>2042</v>
      </c>
      <c r="AC49" s="117"/>
      <c r="AD49" s="151">
        <f t="shared" si="2"/>
        <v>657360.38639999996</v>
      </c>
      <c r="AF49" s="154">
        <f t="shared" si="12"/>
        <v>148.90752940015017</v>
      </c>
      <c r="AH49" s="154">
        <f t="shared" si="13"/>
        <v>31.197100596852174</v>
      </c>
      <c r="AJ49" s="154">
        <f t="shared" si="14"/>
        <v>3.5885299135927302</v>
      </c>
      <c r="AL49" s="153">
        <f t="shared" si="7"/>
        <v>21730.356462905467</v>
      </c>
      <c r="AN49" s="154">
        <f>INDEX('(2.2)_Forward_Price_Curve'!$L:$L,MATCH($AB49,'(2.2)_Forward_Price_Curve'!$C:$C,0),1)</f>
        <v>7.6482993702500011</v>
      </c>
      <c r="AP49" s="154">
        <f t="shared" si="15"/>
        <v>49.720820351907548</v>
      </c>
      <c r="AR49" s="154">
        <f t="shared" si="16"/>
        <v>3.7042812532997034</v>
      </c>
      <c r="AS49" s="154"/>
      <c r="AT49" s="153">
        <f t="shared" si="3"/>
        <v>13579.232925199976</v>
      </c>
      <c r="AV49" s="153">
        <f t="shared" si="4"/>
        <v>35119.545434658299</v>
      </c>
      <c r="AW49" s="273"/>
      <c r="AX49" s="155">
        <f t="shared" si="8"/>
        <v>48698.778359858276</v>
      </c>
      <c r="AZ49" s="146">
        <f>+IF(AZ48&gt;$G$13+$G$14,XX,AZ48+1)</f>
        <v>2042</v>
      </c>
      <c r="BA49" s="117"/>
      <c r="BB49" s="154">
        <f t="shared" si="17"/>
        <v>95.258674539516079</v>
      </c>
      <c r="BD49" s="154">
        <f t="shared" si="18"/>
        <v>10.731716207615818</v>
      </c>
      <c r="BF49" s="153">
        <f t="shared" si="9"/>
        <v>8151.1235377054909</v>
      </c>
      <c r="BH49" s="157"/>
    </row>
    <row r="50" spans="2:60" ht="12">
      <c r="B50" s="2"/>
      <c r="C50">
        <f>+IF(C49&gt;$G$13+$G$14,XX,C49+1)</f>
        <v>2043</v>
      </c>
      <c r="E50" s="169">
        <f>'(2.2)_Forward_Price_Curve'!S57</f>
        <v>2.3E-2</v>
      </c>
      <c r="G50" s="18">
        <v>657360.38639999996</v>
      </c>
      <c r="I50" s="28">
        <f t="shared" si="10"/>
        <v>77.147805462050215</v>
      </c>
      <c r="K50" s="28">
        <f t="shared" si="10"/>
        <v>1.660899497789861</v>
      </c>
      <c r="M50" s="28">
        <f t="shared" si="11"/>
        <v>0</v>
      </c>
      <c r="O50" s="270">
        <f>'(2.2)_Forward_Price_Curve'!AC56</f>
        <v>1.8413139188621417</v>
      </c>
      <c r="Q50" s="28"/>
      <c r="S50" s="18">
        <f t="shared" si="5"/>
        <v>17268.890624463369</v>
      </c>
      <c r="U50" s="18">
        <f t="shared" si="0"/>
        <v>49786.16576445636</v>
      </c>
      <c r="W50" s="18">
        <f t="shared" si="1"/>
        <v>-32517.275139992991</v>
      </c>
      <c r="Y50" s="271">
        <f t="shared" si="6"/>
        <v>-49.466435478523671</v>
      </c>
      <c r="Z50" s="235"/>
      <c r="AB50" s="146">
        <f>+IF(AB49&gt;$G$13+$G$14,XX,AB49+1)</f>
        <v>2043</v>
      </c>
      <c r="AC50" s="117"/>
      <c r="AD50" s="151">
        <f t="shared" si="2"/>
        <v>657360.38639999996</v>
      </c>
      <c r="AF50" s="154">
        <f t="shared" si="12"/>
        <v>152.33240257635362</v>
      </c>
      <c r="AH50" s="154">
        <f t="shared" si="13"/>
        <v>31.91463391057977</v>
      </c>
      <c r="AJ50" s="154">
        <f t="shared" si="14"/>
        <v>3.6710661016053625</v>
      </c>
      <c r="AL50" s="153">
        <f t="shared" si="7"/>
        <v>22230.154661552293</v>
      </c>
      <c r="AN50" s="154">
        <f>INDEX('(2.2)_Forward_Price_Curve'!$L:$L,MATCH($AB50,'(2.2)_Forward_Price_Curve'!$C:$C,0),1)</f>
        <v>7.8165619563955016</v>
      </c>
      <c r="AP50" s="154">
        <f t="shared" si="15"/>
        <v>50.814678399649516</v>
      </c>
      <c r="AR50" s="154">
        <f t="shared" si="16"/>
        <v>3.7894797221255963</v>
      </c>
      <c r="AS50" s="154"/>
      <c r="AT50" s="153">
        <f t="shared" si="3"/>
        <v>13891.555282479576</v>
      </c>
      <c r="AV50" s="153">
        <f t="shared" si="4"/>
        <v>35894.610481976786</v>
      </c>
      <c r="AW50" s="273"/>
      <c r="AX50" s="155">
        <f t="shared" si="8"/>
        <v>49786.16576445636</v>
      </c>
      <c r="AZ50" s="146">
        <f>+IF(AZ49&gt;$G$13+$G$14,XX,AZ49+1)</f>
        <v>2043</v>
      </c>
      <c r="BA50" s="117"/>
      <c r="BB50" s="154">
        <f t="shared" si="17"/>
        <v>97.449624053924936</v>
      </c>
      <c r="BD50" s="154">
        <f t="shared" si="18"/>
        <v>10.978545680390981</v>
      </c>
      <c r="BF50" s="153">
        <f t="shared" si="9"/>
        <v>8338.5993790727171</v>
      </c>
      <c r="BH50" s="157"/>
    </row>
    <row r="51" spans="2:60" ht="12">
      <c r="B51" s="2"/>
      <c r="C51">
        <f>+IF(C50&gt;$G$13+$G$14,XX,C50+1)</f>
        <v>2044</v>
      </c>
      <c r="E51" s="169">
        <f>'(2.2)_Forward_Price_Curve'!S58</f>
        <v>2.3E-2</v>
      </c>
      <c r="G51" s="18">
        <v>657360.38639999996</v>
      </c>
      <c r="I51" s="28">
        <f t="shared" si="10"/>
        <v>78.922204987677361</v>
      </c>
      <c r="K51" s="28">
        <f t="shared" si="10"/>
        <v>1.6991001862390276</v>
      </c>
      <c r="M51" s="28">
        <f t="shared" si="11"/>
        <v>0</v>
      </c>
      <c r="O51" s="270">
        <f>'(2.2)_Forward_Price_Curve'!AC57</f>
        <v>1.8803404620364608</v>
      </c>
      <c r="Q51" s="28"/>
      <c r="S51" s="18">
        <f t="shared" si="5"/>
        <v>17663.89025525565</v>
      </c>
      <c r="U51" s="18">
        <f t="shared" si="0"/>
        <v>50897.84402041127</v>
      </c>
      <c r="W51" s="18">
        <f t="shared" si="1"/>
        <v>-33233.953765155617</v>
      </c>
      <c r="Y51" s="271">
        <f t="shared" si="6"/>
        <v>-50.556672493089586</v>
      </c>
      <c r="Z51" s="235"/>
      <c r="AB51" s="146">
        <f>+IF(AB50&gt;$G$13+$G$14,XX,AB50+1)</f>
        <v>2044</v>
      </c>
      <c r="AC51" s="117"/>
      <c r="AD51" s="151">
        <f t="shared" si="2"/>
        <v>657360.38639999996</v>
      </c>
      <c r="AF51" s="154">
        <f t="shared" si="12"/>
        <v>155.83604783560975</v>
      </c>
      <c r="AH51" s="154">
        <f t="shared" si="13"/>
        <v>32.648670490523102</v>
      </c>
      <c r="AJ51" s="154">
        <f t="shared" si="14"/>
        <v>3.7555006219422857</v>
      </c>
      <c r="AL51" s="153">
        <f t="shared" si="7"/>
        <v>22741.448218767993</v>
      </c>
      <c r="AN51" s="154">
        <f>INDEX('(2.2)_Forward_Price_Curve'!$L:$L,MATCH($AB51,'(2.2)_Forward_Price_Curve'!$C:$C,0),1)</f>
        <v>7.9885263194362031</v>
      </c>
      <c r="AP51" s="154">
        <f t="shared" si="15"/>
        <v>51.932601324441805</v>
      </c>
      <c r="AR51" s="154">
        <f t="shared" si="16"/>
        <v>3.8766377557344844</v>
      </c>
      <c r="AS51" s="154"/>
      <c r="AT51" s="153">
        <f t="shared" si="3"/>
        <v>14211.061053976606</v>
      </c>
      <c r="AV51" s="153">
        <f t="shared" si="4"/>
        <v>36686.782966434665</v>
      </c>
      <c r="AW51" s="273"/>
      <c r="AX51" s="155">
        <f t="shared" si="8"/>
        <v>50897.84402041127</v>
      </c>
      <c r="AZ51" s="146">
        <f>+IF(AZ50&gt;$G$13+$G$14,XX,AZ50+1)</f>
        <v>2044</v>
      </c>
      <c r="BA51" s="117"/>
      <c r="BB51" s="154">
        <f t="shared" si="17"/>
        <v>99.690965407165194</v>
      </c>
      <c r="BD51" s="154">
        <f t="shared" si="18"/>
        <v>11.231052231039973</v>
      </c>
      <c r="BF51" s="153">
        <f t="shared" si="9"/>
        <v>8530.3871647913875</v>
      </c>
      <c r="BH51" s="157"/>
    </row>
    <row r="52" spans="2:60" ht="12">
      <c r="B52" s="2"/>
      <c r="C52">
        <f>+IF(C51&gt;$G$13+$G$14,XX,C51+1)</f>
        <v>2045</v>
      </c>
      <c r="E52" s="169">
        <f>'(2.2)_Forward_Price_Curve'!S59</f>
        <v>2.3E-2</v>
      </c>
      <c r="G52" s="18">
        <v>657360.38639999996</v>
      </c>
      <c r="I52" s="28">
        <f t="shared" si="10"/>
        <v>80.737415702393932</v>
      </c>
      <c r="K52" s="28">
        <f t="shared" si="10"/>
        <v>1.738179490522525</v>
      </c>
      <c r="M52" s="28">
        <f t="shared" si="11"/>
        <v>0</v>
      </c>
      <c r="O52" s="270">
        <f>'(2.2)_Forward_Price_Curve'!AC58</f>
        <v>1.9203752935028859</v>
      </c>
      <c r="Q52" s="28"/>
      <c r="S52" s="18">
        <f t="shared" si="5"/>
        <v>18068.047632756934</v>
      </c>
      <c r="U52" s="18">
        <f t="shared" si="0"/>
        <v>52034.355998007341</v>
      </c>
      <c r="W52" s="18">
        <f t="shared" si="1"/>
        <v>-33966.308365250406</v>
      </c>
      <c r="Y52" s="271">
        <f t="shared" si="6"/>
        <v>-51.67075635826663</v>
      </c>
      <c r="Z52" s="235"/>
      <c r="AB52" s="146">
        <f>+IF(AB51&gt;$G$13+$G$14,XX,AB51+1)</f>
        <v>2045</v>
      </c>
      <c r="AC52" s="117"/>
      <c r="AD52" s="151">
        <f t="shared" si="2"/>
        <v>657360.38639999996</v>
      </c>
      <c r="AF52" s="154">
        <f t="shared" si="12"/>
        <v>159.42027693582875</v>
      </c>
      <c r="AH52" s="154">
        <f t="shared" si="13"/>
        <v>33.39958991180513</v>
      </c>
      <c r="AJ52" s="154">
        <f t="shared" si="14"/>
        <v>3.8418771362469579</v>
      </c>
      <c r="AL52" s="153">
        <f t="shared" si="7"/>
        <v>23264.501527799657</v>
      </c>
      <c r="AN52" s="154">
        <f>INDEX('(2.2)_Forward_Price_Curve'!$L:$L,MATCH($AB52,'(2.2)_Forward_Price_Curve'!$C:$C,0),1)</f>
        <v>8.164273898463799</v>
      </c>
      <c r="AP52" s="154">
        <f t="shared" si="15"/>
        <v>53.075118553579522</v>
      </c>
      <c r="AR52" s="154">
        <f t="shared" si="16"/>
        <v>3.9658004241163773</v>
      </c>
      <c r="AS52" s="154"/>
      <c r="AT52" s="153">
        <f t="shared" si="3"/>
        <v>14537.915458218069</v>
      </c>
      <c r="AV52" s="153">
        <f t="shared" si="4"/>
        <v>37496.44053978927</v>
      </c>
      <c r="AW52" s="273"/>
      <c r="AX52" s="155">
        <f t="shared" si="8"/>
        <v>52034.355998007341</v>
      </c>
      <c r="AZ52" s="146">
        <f>+IF(AZ51&gt;$G$13+$G$14,XX,AZ51+1)</f>
        <v>2045</v>
      </c>
      <c r="BA52" s="117"/>
      <c r="BB52" s="154">
        <f t="shared" si="17"/>
        <v>101.98385761152998</v>
      </c>
      <c r="BD52" s="154">
        <f t="shared" si="18"/>
        <v>11.489366432353892</v>
      </c>
      <c r="BF52" s="153">
        <f t="shared" si="9"/>
        <v>8726.5860695815882</v>
      </c>
      <c r="BH52" s="157"/>
    </row>
    <row r="53" spans="2:60" ht="12">
      <c r="B53" s="2"/>
      <c r="C53">
        <f>+IF(C52&gt;$G$13+$G$14,XX,C52+1)</f>
        <v>2046</v>
      </c>
      <c r="E53" s="169">
        <f>'(2.2)_Forward_Price_Curve'!S60</f>
        <v>2.3E-2</v>
      </c>
      <c r="G53" s="18">
        <v>657360.38639999996</v>
      </c>
      <c r="I53" s="28">
        <f t="shared" si="10"/>
        <v>82.59437626354898</v>
      </c>
      <c r="K53" s="28">
        <f t="shared" si="10"/>
        <v>1.7781576188045429</v>
      </c>
      <c r="M53" s="28">
        <f t="shared" si="11"/>
        <v>0</v>
      </c>
      <c r="O53" s="270">
        <f>'(2.2)_Forward_Price_Curve'!AC59</f>
        <v>1.9616503565022387</v>
      </c>
      <c r="Q53" s="28"/>
      <c r="S53" s="18">
        <f t="shared" si="5"/>
        <v>18481.71061083797</v>
      </c>
      <c r="U53" s="18">
        <f t="shared" si="0"/>
        <v>53196.256705520907</v>
      </c>
      <c r="W53" s="18">
        <f t="shared" si="1"/>
        <v>-34714.546094682941</v>
      </c>
      <c r="Y53" s="271">
        <f t="shared" si="6"/>
        <v>-52.809002204704406</v>
      </c>
      <c r="Z53" s="235"/>
      <c r="AB53" s="146">
        <f>+IF(AB52&gt;$G$13+$G$14,XX,AB52+1)</f>
        <v>2046</v>
      </c>
      <c r="AC53" s="117"/>
      <c r="AD53" s="151">
        <f t="shared" si="2"/>
        <v>657360.38639999996</v>
      </c>
      <c r="AF53" s="154">
        <f t="shared" si="12"/>
        <v>163.0869433053528</v>
      </c>
      <c r="AH53" s="154">
        <f t="shared" si="13"/>
        <v>34.167780479776646</v>
      </c>
      <c r="AJ53" s="154">
        <f t="shared" si="14"/>
        <v>3.9302403103806376</v>
      </c>
      <c r="AL53" s="153">
        <f t="shared" si="7"/>
        <v>23799.585062939048</v>
      </c>
      <c r="AN53" s="154">
        <f>INDEX('(2.2)_Forward_Price_Curve'!$L:$L,MATCH($AB53,'(2.2)_Forward_Price_Curve'!$C:$C,0),1)</f>
        <v>8.3438879242300033</v>
      </c>
      <c r="AP53" s="154">
        <f t="shared" si="15"/>
        <v>54.242771161758284</v>
      </c>
      <c r="AR53" s="154">
        <f t="shared" si="16"/>
        <v>4.0570138338710535</v>
      </c>
      <c r="AS53" s="154"/>
      <c r="AT53" s="153">
        <f t="shared" si="3"/>
        <v>14872.287513757085</v>
      </c>
      <c r="AV53" s="153">
        <f t="shared" si="4"/>
        <v>38323.969191763819</v>
      </c>
      <c r="AW53" s="273"/>
      <c r="AX53" s="155">
        <f t="shared" si="8"/>
        <v>53196.256705520907</v>
      </c>
      <c r="AZ53" s="146">
        <f>+IF(AZ52&gt;$G$13+$G$14,XX,AZ52+1)</f>
        <v>2046</v>
      </c>
      <c r="BA53" s="117"/>
      <c r="BB53" s="154">
        <f t="shared" si="17"/>
        <v>104.32948633659517</v>
      </c>
      <c r="BD53" s="154">
        <f t="shared" si="18"/>
        <v>11.753621860298031</v>
      </c>
      <c r="BF53" s="153">
        <f t="shared" si="9"/>
        <v>8927.2975491819634</v>
      </c>
      <c r="BH53" s="157"/>
    </row>
    <row r="54" spans="2:60" ht="12">
      <c r="B54" s="2"/>
      <c r="C54">
        <f>+IF(C53&gt;$G$13+$G$14,XX,C53+1)</f>
        <v>2047</v>
      </c>
      <c r="E54" s="169">
        <f>'(2.2)_Forward_Price_Curve'!S61</f>
        <v>2.1999999999999999E-2</v>
      </c>
      <c r="G54" s="18">
        <v>657360.38639999996</v>
      </c>
      <c r="I54" s="28">
        <f t="shared" si="10"/>
        <v>84.41145254134706</v>
      </c>
      <c r="K54" s="28">
        <f t="shared" si="10"/>
        <v>1.8172770864182428</v>
      </c>
      <c r="M54" s="28">
        <f t="shared" si="11"/>
        <v>0</v>
      </c>
      <c r="O54" s="270">
        <f>'(2.2)_Forward_Price_Curve'!AC60</f>
        <v>2.0038320171796222</v>
      </c>
      <c r="Q54" s="28"/>
      <c r="S54" s="18">
        <f t="shared" si="5"/>
        <v>18887.667549838981</v>
      </c>
      <c r="U54" s="18">
        <f t="shared" si="0"/>
        <v>54366.574353042357</v>
      </c>
      <c r="W54" s="18">
        <f t="shared" si="1"/>
        <v>-35478.906803203376</v>
      </c>
      <c r="Y54" s="271">
        <f t="shared" si="6"/>
        <v>-53.971774900373546</v>
      </c>
      <c r="Z54" s="235"/>
      <c r="AB54" s="146">
        <f>+IF(AB53&gt;$G$13+$G$14,XX,AB53+1)</f>
        <v>2047</v>
      </c>
      <c r="AC54" s="117"/>
      <c r="AD54" s="151">
        <f t="shared" si="2"/>
        <v>657360.38639999996</v>
      </c>
      <c r="AF54" s="154">
        <f t="shared" si="12"/>
        <v>166.67485605807056</v>
      </c>
      <c r="AH54" s="154">
        <f t="shared" si="13"/>
        <v>34.91947165033173</v>
      </c>
      <c r="AJ54" s="154">
        <f t="shared" si="14"/>
        <v>4.016705597209012</v>
      </c>
      <c r="AL54" s="153">
        <f t="shared" si="7"/>
        <v>24323.175934323703</v>
      </c>
      <c r="AN54" s="154">
        <f>INDEX('(2.2)_Forward_Price_Curve'!$L:$L,MATCH($AB54,'(2.2)_Forward_Price_Curve'!$C:$C,0),1)</f>
        <v>8.5274534585630644</v>
      </c>
      <c r="AP54" s="154">
        <f t="shared" si="15"/>
        <v>55.436112127316967</v>
      </c>
      <c r="AR54" s="154">
        <f t="shared" si="16"/>
        <v>4.1462681382162172</v>
      </c>
      <c r="AS54" s="154"/>
      <c r="AT54" s="153">
        <f t="shared" si="3"/>
        <v>15199.477839059735</v>
      </c>
      <c r="AV54" s="153">
        <f t="shared" si="4"/>
        <v>39167.096513982622</v>
      </c>
      <c r="AW54" s="273"/>
      <c r="AX54" s="155">
        <f t="shared" si="8"/>
        <v>54366.574353042357</v>
      </c>
      <c r="AZ54" s="146">
        <f>+IF(AZ53&gt;$G$13+$G$14,XX,AZ53+1)</f>
        <v>2047</v>
      </c>
      <c r="BA54" s="117"/>
      <c r="BB54" s="154">
        <f t="shared" si="17"/>
        <v>106.62473503600026</v>
      </c>
      <c r="BD54" s="154">
        <f t="shared" si="18"/>
        <v>12.012201541224588</v>
      </c>
      <c r="BF54" s="153">
        <f t="shared" si="9"/>
        <v>9123.6980952639678</v>
      </c>
      <c r="BH54" s="157"/>
    </row>
    <row r="55" spans="2:60" ht="12">
      <c r="B55" s="2"/>
      <c r="C55">
        <f>+IF(C54&gt;$G$13+$G$14,XX,C54+1)</f>
        <v>2048</v>
      </c>
      <c r="E55" s="169">
        <f>'(2.2)_Forward_Price_Curve'!S62</f>
        <v>2.1999999999999999E-2</v>
      </c>
      <c r="G55" s="18">
        <v>657360.38639999996</v>
      </c>
      <c r="I55" s="28">
        <f t="shared" si="10"/>
        <v>86.2685044972567</v>
      </c>
      <c r="K55" s="28">
        <f t="shared" si="10"/>
        <v>1.8572571823194441</v>
      </c>
      <c r="M55" s="28">
        <f t="shared" si="11"/>
        <v>0</v>
      </c>
      <c r="O55" s="270">
        <f>'(2.2)_Forward_Price_Curve'!AC61</f>
        <v>2.0468358206182615</v>
      </c>
      <c r="Q55" s="28"/>
      <c r="S55" s="18">
        <f t="shared" si="5"/>
        <v>19302.485957420467</v>
      </c>
      <c r="U55" s="18">
        <f t="shared" si="0"/>
        <v>55562.638988809296</v>
      </c>
      <c r="W55" s="18">
        <f t="shared" si="1"/>
        <v>-36260.153031388829</v>
      </c>
      <c r="Y55" s="271">
        <f t="shared" si="6"/>
        <v>-55.160234449121084</v>
      </c>
      <c r="Z55" s="235"/>
      <c r="AB55" s="146">
        <f>+IF(AB54&gt;$G$13+$G$14,XX,AB54+1)</f>
        <v>2048</v>
      </c>
      <c r="AC55" s="117"/>
      <c r="AD55" s="151">
        <f t="shared" si="2"/>
        <v>657360.38639999996</v>
      </c>
      <c r="AF55" s="154">
        <f t="shared" si="12"/>
        <v>170.34170289134812</v>
      </c>
      <c r="AH55" s="154">
        <f t="shared" si="13"/>
        <v>35.687700026639028</v>
      </c>
      <c r="AJ55" s="154">
        <f t="shared" si="14"/>
        <v>4.1050731203476101</v>
      </c>
      <c r="AL55" s="153">
        <f t="shared" si="7"/>
        <v>24858.285804878826</v>
      </c>
      <c r="AN55" s="154">
        <f>INDEX('(2.2)_Forward_Price_Curve'!$L:$L,MATCH($AB55,'(2.2)_Forward_Price_Curve'!$C:$C,0),1)</f>
        <v>8.7150574346514524</v>
      </c>
      <c r="AP55" s="154">
        <f t="shared" si="15"/>
        <v>56.655706594117945</v>
      </c>
      <c r="AR55" s="154">
        <f t="shared" si="16"/>
        <v>4.237486037256974</v>
      </c>
      <c r="AS55" s="154"/>
      <c r="AT55" s="153">
        <f t="shared" si="3"/>
        <v>15533.866351519051</v>
      </c>
      <c r="AV55" s="153">
        <f t="shared" si="4"/>
        <v>40028.772637290247</v>
      </c>
      <c r="AW55" s="273"/>
      <c r="AX55" s="155">
        <f t="shared" si="8"/>
        <v>55562.638988809296</v>
      </c>
      <c r="AZ55" s="146">
        <f>+IF(AZ54&gt;$G$13+$G$14,XX,AZ54+1)</f>
        <v>2048</v>
      </c>
      <c r="BA55" s="117"/>
      <c r="BB55" s="154">
        <f t="shared" si="17"/>
        <v>108.97047920679226</v>
      </c>
      <c r="BD55" s="154">
        <f t="shared" si="18"/>
        <v>12.27646997513153</v>
      </c>
      <c r="BF55" s="153">
        <f t="shared" si="9"/>
        <v>9324.4194533597747</v>
      </c>
      <c r="BH55" s="157"/>
    </row>
    <row r="56" spans="2:60" ht="12">
      <c r="B56" s="2"/>
      <c r="C56">
        <f>+IF(C55&gt;$G$13+$G$14,XX,C55+1)</f>
        <v>2049</v>
      </c>
      <c r="E56" s="169">
        <f>'(2.2)_Forward_Price_Curve'!S63</f>
        <v>2.1999999999999999E-2</v>
      </c>
      <c r="G56" s="18">
        <v>657360.38639999996</v>
      </c>
      <c r="I56" s="28">
        <f t="shared" si="10"/>
        <v>88.166411596196355</v>
      </c>
      <c r="K56" s="28">
        <f t="shared" si="10"/>
        <v>1.898116840330472</v>
      </c>
      <c r="M56" s="28">
        <f t="shared" si="11"/>
        <v>0</v>
      </c>
      <c r="O56" s="270">
        <f>'(2.2)_Forward_Price_Curve'!AC62</f>
        <v>2.0909596981572163</v>
      </c>
      <c r="Q56" s="28"/>
      <c r="S56" s="18">
        <f t="shared" si="5"/>
        <v>19726.544744381532</v>
      </c>
      <c r="U56" s="18">
        <f t="shared" si="0"/>
        <v>56785.017046563109</v>
      </c>
      <c r="W56" s="18">
        <f t="shared" si="1"/>
        <v>-37058.472302181573</v>
      </c>
      <c r="Y56" s="271">
        <f t="shared" si="6"/>
        <v>-56.374666117516405</v>
      </c>
      <c r="Z56" s="235"/>
      <c r="AB56" s="146">
        <f>+IF(AB55&gt;$G$13+$G$14,XX,AB55+1)</f>
        <v>2049</v>
      </c>
      <c r="AC56" s="117"/>
      <c r="AD56" s="151">
        <f t="shared" si="2"/>
        <v>657360.38639999996</v>
      </c>
      <c r="AF56" s="154">
        <f t="shared" si="12"/>
        <v>174.08922035495777</v>
      </c>
      <c r="AH56" s="154">
        <f t="shared" si="13"/>
        <v>36.472829427225086</v>
      </c>
      <c r="AJ56" s="154">
        <f t="shared" si="14"/>
        <v>4.1953847289952577</v>
      </c>
      <c r="AL56" s="153">
        <f t="shared" si="7"/>
        <v>25405.168092586162</v>
      </c>
      <c r="AN56" s="154">
        <f>INDEX('(2.2)_Forward_Price_Curve'!$L:$L,MATCH($AB56,'(2.2)_Forward_Price_Curve'!$C:$C,0),1)</f>
        <v>8.9067886982137843</v>
      </c>
      <c r="AP56" s="154">
        <f t="shared" si="15"/>
        <v>57.902132139188545</v>
      </c>
      <c r="AR56" s="154">
        <f t="shared" si="16"/>
        <v>4.3307107300766274</v>
      </c>
      <c r="AS56" s="154"/>
      <c r="AT56" s="153">
        <f t="shared" si="3"/>
        <v>15875.611411252472</v>
      </c>
      <c r="AV56" s="153">
        <f t="shared" si="4"/>
        <v>40909.405635310635</v>
      </c>
      <c r="AW56" s="273"/>
      <c r="AX56" s="155">
        <f t="shared" si="8"/>
        <v>56785.017046563109</v>
      </c>
      <c r="AZ56" s="146">
        <f>+IF(AZ55&gt;$G$13+$G$14,XX,AZ55+1)</f>
        <v>2049</v>
      </c>
      <c r="BA56" s="117"/>
      <c r="BB56" s="154">
        <f t="shared" si="17"/>
        <v>111.36782974934169</v>
      </c>
      <c r="BD56" s="154">
        <f t="shared" si="18"/>
        <v>12.546552314584424</v>
      </c>
      <c r="BF56" s="153">
        <f t="shared" si="9"/>
        <v>9529.55668133369</v>
      </c>
      <c r="BH56" s="157"/>
    </row>
    <row r="57" spans="2:60" ht="12">
      <c r="B57" s="2"/>
      <c r="C57">
        <f>+IF(C56&gt;$G$13+$G$14,XX,C56+1)</f>
        <v>2050</v>
      </c>
      <c r="E57" s="169">
        <f>'(2.2)_Forward_Price_Curve'!S64</f>
        <v>2.1999999999999999E-2</v>
      </c>
      <c r="G57" s="18">
        <v>657360.38639999996</v>
      </c>
      <c r="I57" s="28">
        <f t="shared" si="10"/>
        <v>90.106072651312672</v>
      </c>
      <c r="K57" s="28">
        <f t="shared" si="10"/>
        <v>1.9398754108177425</v>
      </c>
      <c r="M57" s="28">
        <f t="shared" si="11"/>
        <v>0</v>
      </c>
      <c r="O57" s="270">
        <f>'(2.2)_Forward_Price_Curve'!AC63</f>
        <v>2.1361590832077506</v>
      </c>
      <c r="Q57" s="28"/>
      <c r="S57" s="18">
        <f t="shared" si="5"/>
        <v>20160.001704326987</v>
      </c>
      <c r="U57" s="18">
        <f t="shared" si="0"/>
        <v>58034.287421587491</v>
      </c>
      <c r="W57" s="18">
        <f t="shared" si="1"/>
        <v>-37874.2857172605</v>
      </c>
      <c r="Y57" s="271">
        <f t="shared" si="6"/>
        <v>-57.615710500410685</v>
      </c>
      <c r="Z57" s="235"/>
      <c r="AB57" s="146">
        <f>+IF(AB56&gt;$G$13+$G$14,XX,AB56+1)</f>
        <v>2050</v>
      </c>
      <c r="AC57" s="117"/>
      <c r="AD57" s="151">
        <f t="shared" si="2"/>
        <v>657360.38639999996</v>
      </c>
      <c r="AF57" s="154">
        <f t="shared" si="12"/>
        <v>177.91918320276685</v>
      </c>
      <c r="AH57" s="154">
        <f t="shared" si="13"/>
        <v>37.275231674624038</v>
      </c>
      <c r="AJ57" s="154">
        <f t="shared" si="14"/>
        <v>4.2876831930331534</v>
      </c>
      <c r="AL57" s="153">
        <f t="shared" si="7"/>
        <v>25964.081790623062</v>
      </c>
      <c r="AN57" s="154">
        <f>INDEX('(2.2)_Forward_Price_Curve'!$L:$L,MATCH($AB57,'(2.2)_Forward_Price_Curve'!$C:$C,0),1)</f>
        <v>9.1027380495744872</v>
      </c>
      <c r="AP57" s="154">
        <f t="shared" si="15"/>
        <v>59.175979046250688</v>
      </c>
      <c r="AR57" s="154">
        <f t="shared" si="16"/>
        <v>4.4259863661383134</v>
      </c>
      <c r="AS57" s="154"/>
      <c r="AT57" s="153">
        <f t="shared" si="3"/>
        <v>16224.87486230003</v>
      </c>
      <c r="AV57" s="153">
        <f t="shared" si="4"/>
        <v>41809.412559287462</v>
      </c>
      <c r="AW57" s="273"/>
      <c r="AX57" s="155">
        <f t="shared" si="8"/>
        <v>58034.287421587491</v>
      </c>
      <c r="AZ57" s="146">
        <f>+IF(AZ56&gt;$G$13+$G$14,XX,AZ56+1)</f>
        <v>2050</v>
      </c>
      <c r="BA57" s="117"/>
      <c r="BB57" s="154">
        <f t="shared" si="17"/>
        <v>113.81792200382722</v>
      </c>
      <c r="BD57" s="154">
        <f t="shared" si="18"/>
        <v>12.822576465505282</v>
      </c>
      <c r="BF57" s="153">
        <f t="shared" si="9"/>
        <v>9739.2069283230321</v>
      </c>
      <c r="BH57" s="157"/>
    </row>
    <row r="58" spans="2:60">
      <c r="B58" s="2"/>
      <c r="E58" s="169"/>
      <c r="G58" s="267"/>
      <c r="I58" s="267"/>
      <c r="K58" s="267"/>
      <c r="M58" s="267"/>
      <c r="O58" s="267"/>
      <c r="Q58" s="267"/>
      <c r="S58" s="267"/>
      <c r="U58" s="267"/>
      <c r="W58" s="267"/>
      <c r="Y58" s="267"/>
      <c r="Z58" s="235"/>
      <c r="AB58" s="2"/>
      <c r="AF58" s="274"/>
      <c r="AH58" s="274"/>
      <c r="AJ58" s="274"/>
      <c r="AL58" s="273"/>
      <c r="AN58" s="274"/>
      <c r="AP58" s="274"/>
      <c r="AR58" s="274"/>
      <c r="AS58" s="274"/>
      <c r="AT58" s="274"/>
      <c r="AV58" s="273"/>
      <c r="AW58" s="273"/>
      <c r="AX58" s="275"/>
      <c r="AZ58" s="2"/>
      <c r="BB58" s="274"/>
      <c r="BF58" s="273"/>
      <c r="BH58" s="235"/>
    </row>
    <row r="59" spans="2:60" ht="12">
      <c r="B59" s="2"/>
      <c r="C59" s="276" t="str">
        <f>G14&amp;"-year Nominal Levelized at "&amp;TEXT($G$18,"#.00%")</f>
        <v>30-year Nominal Levelized at 6.91%</v>
      </c>
      <c r="E59" s="169"/>
      <c r="G59" s="18">
        <f>+-PMT($G$18,$G$14,NPV($G$18,G28:G57))</f>
        <v>632808.80931340018</v>
      </c>
      <c r="I59" s="28">
        <f>+-PMT($G$18,$G$14,NPV($G$18,I28:I57))</f>
        <v>60.003333418383455</v>
      </c>
      <c r="J59" s="28"/>
      <c r="K59" s="28">
        <f>+-PMT($G$18,$G$14,NPV($G$18,K28:K57))</f>
        <v>1.2917996272665746</v>
      </c>
      <c r="M59" s="28">
        <f>+-PMT($G$18,$G$14,NPV($G$18,M28:M57))</f>
        <v>0</v>
      </c>
      <c r="O59" s="28">
        <f>+-PMT($G$18,$G$14,NPV($G$18,O28:O57))</f>
        <v>1.4415142627138942</v>
      </c>
      <c r="Q59" s="28">
        <f>+-PMT($G$18,$G$14,NPV($G$18,Q28:Q57))</f>
        <v>-8.0582080529943152</v>
      </c>
      <c r="S59" s="18">
        <f>+-PMT($G$18,$G$14,NPV($G$18,S28:S57))</f>
        <v>8415.5931049048413</v>
      </c>
      <c r="U59" s="18">
        <f>+-PMT($G$18,$G$14,NPV($G$18,U28:U57))</f>
        <v>33074.687742292917</v>
      </c>
      <c r="W59" s="18">
        <f>+-PMT($G$18,$G$14,NPV($G$18,W28:W57))</f>
        <v>-24659.094637388065</v>
      </c>
      <c r="Y59" s="271">
        <f>+-PMT($G$18,$G$14,NPV($G$18,Y28:Y57))</f>
        <v>-38.332150081912332</v>
      </c>
      <c r="Z59" s="235"/>
      <c r="AB59" s="2"/>
      <c r="AD59" s="151">
        <f>+-PMT($G$18,$G$14,NPV($G$18,AD28:AD57))</f>
        <v>632808.80931340018</v>
      </c>
      <c r="AF59" s="154">
        <f>+-PMT($G$18,$G$14,NPV($G$18,AF28:AF57))</f>
        <v>118.47974012311523</v>
      </c>
      <c r="AH59" s="154">
        <f>+-PMT($G$18,$G$14,NPV($G$18,AH28:AH57))</f>
        <v>24.82227988201381</v>
      </c>
      <c r="AJ59" s="154">
        <f>+-PMT($G$18,$G$14,NPV($G$18,AJ28:AJ57))</f>
        <v>2.8552491153349502</v>
      </c>
      <c r="AL59" s="153">
        <f>+-PMT($G$18,$G$14,NPV($G$18,AL28:AL57))</f>
        <v>17234.403376291706</v>
      </c>
      <c r="AN59" s="154">
        <f>+-PMT($G$18,$G$14,NPV($G$18,AN28:AN57))</f>
        <v>4.8572277558241472</v>
      </c>
      <c r="AP59" s="154">
        <f>+-PMT($G$18,$G$14,NPV($G$18,AP28:AP57))</f>
        <v>31.576346186843537</v>
      </c>
      <c r="AR59" s="154">
        <f>+-PMT($G$18,$G$14,NPV($G$18,AR28:AR57))</f>
        <v>2.9473478070708885</v>
      </c>
      <c r="AS59" s="154"/>
      <c r="AT59" s="153">
        <f>+-PMT($G$18,$G$14,NPV($G$18,AT28:AT57))</f>
        <v>10748.881775408978</v>
      </c>
      <c r="AV59" s="153">
        <f>+-PMT($G$18,$G$14,NPV($G$18,AV28:AV57))</f>
        <v>22325.805966883927</v>
      </c>
      <c r="AW59" s="273"/>
      <c r="AX59" s="155">
        <f>+-PMT($G$18,$G$14,NPV($G$18,AX28:AX57))</f>
        <v>33074.687742292917</v>
      </c>
      <c r="AZ59" s="2"/>
      <c r="BB59" s="154">
        <f>+-PMT($G$18,$G$14,NPV($G$18,BB28:BB57))</f>
        <v>75.79350117068627</v>
      </c>
      <c r="BD59" s="154">
        <f>+-PMT($G$18,$G$14,NPV($G$18,BD28:BD57))</f>
        <v>8.53879553623206</v>
      </c>
      <c r="BF59" s="153">
        <f>+-PMT($G$18,$G$14,NPV($G$18,BF28:BF57))</f>
        <v>6485.5216008827338</v>
      </c>
      <c r="BH59" s="157"/>
    </row>
    <row r="60" spans="2:60">
      <c r="B60" s="2"/>
      <c r="E60" s="169"/>
      <c r="W60" s="18"/>
      <c r="Y60" s="271"/>
      <c r="Z60" s="235"/>
      <c r="AB60" s="2"/>
      <c r="AT60" s="273"/>
      <c r="AX60" s="235"/>
      <c r="AZ60" s="2"/>
      <c r="BH60" s="235"/>
    </row>
    <row r="61" spans="2:60">
      <c r="B61" s="238"/>
      <c r="C61" s="277"/>
      <c r="D61" s="277"/>
      <c r="E61" s="278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39"/>
      <c r="AB61" s="238"/>
      <c r="AC61" s="277"/>
      <c r="AD61" s="277"/>
      <c r="AE61" s="277"/>
      <c r="AF61" s="277"/>
      <c r="AG61" s="277"/>
      <c r="AH61" s="277"/>
      <c r="AI61" s="277"/>
      <c r="AJ61" s="277"/>
      <c r="AK61" s="277"/>
      <c r="AL61" s="277"/>
      <c r="AM61" s="277"/>
      <c r="AN61" s="277"/>
      <c r="AO61" s="277"/>
      <c r="AP61" s="277"/>
      <c r="AQ61" s="277"/>
      <c r="AR61" s="277"/>
      <c r="AS61" s="277"/>
      <c r="AT61" s="277"/>
      <c r="AU61" s="277"/>
      <c r="AV61" s="277"/>
      <c r="AW61" s="277"/>
      <c r="AX61" s="239"/>
      <c r="AZ61" s="238"/>
      <c r="BA61" s="277"/>
      <c r="BB61" s="277"/>
      <c r="BC61" s="277"/>
      <c r="BD61" s="277"/>
      <c r="BE61" s="277"/>
      <c r="BF61" s="277"/>
      <c r="BG61" s="277"/>
      <c r="BH61" s="239"/>
    </row>
    <row r="62" spans="2:60">
      <c r="E62" s="169"/>
    </row>
    <row r="63" spans="2:60">
      <c r="E63" s="169"/>
      <c r="G63" s="18"/>
      <c r="I63" s="18"/>
      <c r="K63" s="18"/>
      <c r="O63" s="18"/>
      <c r="Q63" s="18"/>
      <c r="S63" s="18"/>
      <c r="U63" s="18"/>
      <c r="W63" s="18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</sheetData>
  <pageMargins left="0.25" right="0.25" top="0.25" bottom="0.75" header="0.3" footer="0.3"/>
  <pageSetup paperSize="5" scale="46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99769-E8FC-4AAC-8FF5-74CC044D704E}">
  <sheetPr>
    <tabColor theme="0" tint="-0.249977111117893"/>
    <pageSetUpPr fitToPage="1"/>
  </sheetPr>
  <dimension ref="A1:BH76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5.1640625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3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347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64.5</v>
      </c>
      <c r="H11" s="252"/>
      <c r="AB11" s="122" t="s">
        <v>99</v>
      </c>
      <c r="AC11" s="123"/>
      <c r="AD11" s="123"/>
      <c r="AE11" s="123"/>
      <c r="AF11" s="281">
        <f>+G11*(G12/AJ16)</f>
        <v>41.736874999999991</v>
      </c>
      <c r="AG11" s="127"/>
      <c r="AH11" s="123" t="s">
        <v>100</v>
      </c>
      <c r="AI11" s="124"/>
      <c r="AJ11" s="166">
        <f>'(2.1)_Proxy Resources'!$N$120</f>
        <v>10.44</v>
      </c>
      <c r="AK11" s="235"/>
      <c r="AZ11" s="122" t="s">
        <v>99</v>
      </c>
      <c r="BA11" s="123"/>
      <c r="BB11" s="123"/>
      <c r="BC11" s="123"/>
      <c r="BD11" s="134">
        <f>(AF11*AF13-G11*G19)</f>
        <v>38.724724999999992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0.31059999999999999</v>
      </c>
      <c r="H12" s="252"/>
      <c r="AB12" s="122" t="s">
        <v>32</v>
      </c>
      <c r="AC12" s="123"/>
      <c r="AD12" s="123"/>
      <c r="AE12" s="123"/>
      <c r="AF12" s="131">
        <f>+AD50/8760/AF11</f>
        <v>0.47864553706456692</v>
      </c>
      <c r="AG12" s="127"/>
      <c r="AH12" s="117" t="s">
        <v>101</v>
      </c>
      <c r="AI12" s="118"/>
      <c r="AJ12" s="117">
        <v>2004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2005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Resources'!$O$120</f>
        <v>3.0586666666666669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21</v>
      </c>
      <c r="H14" s="252"/>
      <c r="AB14" s="122" t="s">
        <v>104</v>
      </c>
      <c r="AC14" s="123"/>
      <c r="AD14" s="123"/>
      <c r="AE14" s="123"/>
      <c r="AF14" s="134">
        <f>'(2.1)_Proxy Resources'!$H$120</f>
        <v>7598.6666666666679</v>
      </c>
      <c r="AG14" s="127"/>
      <c r="AH14" s="117"/>
      <c r="AI14" s="118"/>
      <c r="AJ14" s="166"/>
      <c r="AK14" s="235"/>
      <c r="AZ14" s="122" t="s">
        <v>105</v>
      </c>
      <c r="BA14" s="123"/>
      <c r="BB14" s="123"/>
      <c r="BC14" s="123"/>
      <c r="BD14" s="167">
        <f>'(2.1)_Proxy Resources'!$J$121</f>
        <v>408</v>
      </c>
      <c r="BE14" s="132"/>
    </row>
    <row r="15" spans="1:57" ht="12">
      <c r="A15" t="s">
        <v>199</v>
      </c>
      <c r="B15" s="250"/>
      <c r="C15" s="231" t="s">
        <v>107</v>
      </c>
      <c r="D15" s="231"/>
      <c r="E15" s="231"/>
      <c r="F15" s="231"/>
      <c r="G15" s="283"/>
      <c r="H15" s="252"/>
      <c r="AB15" s="122" t="s">
        <v>200</v>
      </c>
      <c r="AC15" s="123"/>
      <c r="AD15" s="123"/>
      <c r="AE15" s="123"/>
      <c r="AF15" s="167">
        <f>'(2.1)_Proxy Resources'!$J$120</f>
        <v>672.6</v>
      </c>
      <c r="AG15" s="127"/>
      <c r="AH15" s="117" t="s">
        <v>145</v>
      </c>
      <c r="AI15" s="118"/>
      <c r="AJ15" s="166">
        <f>'(2.1)_Proxy Resources'!$P$120</f>
        <v>2.3626666666666671</v>
      </c>
      <c r="AK15" s="235"/>
      <c r="AZ15" s="122" t="s">
        <v>108</v>
      </c>
      <c r="BA15" s="123"/>
      <c r="BB15" s="123"/>
      <c r="BC15" s="123"/>
      <c r="BD15" s="136">
        <f>'(2.1)_Proxy Resources'!$K$121</f>
        <v>7.6700000000000004E-2</v>
      </c>
      <c r="BE15" s="132"/>
    </row>
    <row r="16" spans="1:57" ht="12">
      <c r="A16" t="s">
        <v>199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Resources'!$K$118</f>
        <v>7.9299999999999995E-2</v>
      </c>
      <c r="AG16" s="127"/>
      <c r="AH16" s="117" t="s">
        <v>110</v>
      </c>
      <c r="AI16" s="124"/>
      <c r="AJ16" s="137">
        <f>'(2.1)_Proxy Resources'!$D$120</f>
        <v>0.48000000000000004</v>
      </c>
      <c r="AK16" s="235"/>
      <c r="AZ16" s="122" t="s">
        <v>100</v>
      </c>
      <c r="BA16" s="124"/>
      <c r="BB16" s="166">
        <f>'(2.1)_Proxy Resources'!$N$121</f>
        <v>10.97</v>
      </c>
      <c r="BE16" s="130"/>
    </row>
    <row r="17" spans="1:60" ht="12">
      <c r="A17" t="s">
        <v>199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2004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'(2.2)_Forward_Price_Curve'!AA3</f>
        <v>8.6999999999999994E-2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'(2.2)_Forward_Price_Curve'!I103</f>
        <v>4.6699999999999998E-2</v>
      </c>
      <c r="H19" s="259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2005</v>
      </c>
      <c r="E28" s="169">
        <f>IF(AND(C28&gt;=2003,C28&lt;=2010),'(2.2)_Forward_Price_Curve'!$DA$48,IF(AND(C28&gt;=2011,C28&lt;=2020),'(2.2)_Forward_Price_Curve'!$DA$49,'(2.2)_Forward_Price_Curve'!$DA$50))</f>
        <v>2.0199999999999999E-2</v>
      </c>
      <c r="G28" s="18">
        <v>175000</v>
      </c>
      <c r="I28" s="284">
        <f>$G$15</f>
        <v>0</v>
      </c>
      <c r="J28" s="268"/>
      <c r="K28" s="268">
        <v>53.1</v>
      </c>
      <c r="L28" s="269"/>
      <c r="M28" s="268">
        <f>$G$17</f>
        <v>0</v>
      </c>
      <c r="O28" s="270">
        <f>O29*1-E29</f>
        <v>4.9264537342386037</v>
      </c>
      <c r="Q28" s="28"/>
      <c r="S28" s="18">
        <f>(I28*$G$11*1000+(K28+M28+O28+Q28)*G28)/1000</f>
        <v>10154.629403491756</v>
      </c>
      <c r="U28" s="18">
        <f t="shared" ref="U28:U42" si="0">AX28</f>
        <v>9338.6967463053898</v>
      </c>
      <c r="W28" s="18">
        <f t="shared" ref="W28:W42" si="1">S28-U28</f>
        <v>815.93265718636576</v>
      </c>
      <c r="Y28" s="271">
        <f>+W28*1000/G28</f>
        <v>4.6624723267792332</v>
      </c>
      <c r="Z28" s="235"/>
      <c r="AB28" s="146">
        <f>$C$28</f>
        <v>2005</v>
      </c>
      <c r="AC28" s="117"/>
      <c r="AD28" s="151">
        <f t="shared" ref="AD28:AD42" si="2">G28</f>
        <v>175000</v>
      </c>
      <c r="AF28" s="152">
        <f>$AF$15*$AF$16*(1+E28)</f>
        <v>54.414591035999997</v>
      </c>
      <c r="AG28" s="272"/>
      <c r="AH28" s="152">
        <f>$AJ$11*(1+E28)</f>
        <v>10.650888</v>
      </c>
      <c r="AI28" s="272"/>
      <c r="AJ28" s="152">
        <f>$AJ$13*(1+E28)</f>
        <v>3.1204517333333337</v>
      </c>
      <c r="AK28" s="272"/>
      <c r="AL28" s="153">
        <f>((AF28+AH28)*$AF$11*1000+AJ28*AD28)/1000</f>
        <v>3261.7088186739852</v>
      </c>
      <c r="AN28" s="154">
        <f>INDEX('(2.2)_Forward_Price_Curve'!$H:$H,MATCH($AB28,'(2.2)_Forward_Price_Curve'!$C:$C,0),1)</f>
        <v>5.5083917806249998</v>
      </c>
      <c r="AO28" s="279"/>
      <c r="AP28" s="154">
        <f>AN28*$AF$14/1000</f>
        <v>41.856433010375838</v>
      </c>
      <c r="AQ28" s="272"/>
      <c r="AR28" s="152">
        <f>$AJ$15*(1+E28)</f>
        <v>2.4103925333333338</v>
      </c>
      <c r="AS28" s="152"/>
      <c r="AT28" s="153">
        <f t="shared" ref="AT28:AT42" si="3">AL28-BF28</f>
        <v>1592.0022761562836</v>
      </c>
      <c r="AU28" s="272"/>
      <c r="AV28" s="153">
        <f t="shared" ref="AV28:AV42" si="4">(AP28+AR28)*AD28/1000</f>
        <v>7746.6944701491057</v>
      </c>
      <c r="AW28" s="273"/>
      <c r="AX28" s="155">
        <f>AT28+AV28</f>
        <v>9338.6967463053898</v>
      </c>
      <c r="AZ28" s="146">
        <f>$C$28</f>
        <v>2005</v>
      </c>
      <c r="BA28" s="117"/>
      <c r="BB28" s="152">
        <f>$BD$14*$BD$15*(1+E28)</f>
        <v>31.925730720000001</v>
      </c>
      <c r="BD28" s="152">
        <f>$BB$16*(1+E28)</f>
        <v>11.191594</v>
      </c>
      <c r="BE28" s="272"/>
      <c r="BF28" s="153">
        <f>(BB28+BD28)*$BD$11</f>
        <v>1669.7065425177016</v>
      </c>
      <c r="BG28" s="272"/>
      <c r="BH28" s="156"/>
    </row>
    <row r="29" spans="1:60" ht="12">
      <c r="B29" s="2"/>
      <c r="C29">
        <f>+IF(C28&gt;$G$13+$G$14,XX,C28+1)</f>
        <v>2006</v>
      </c>
      <c r="E29" s="169">
        <f>IF(AND(C29&gt;=2003,C29&lt;=2010),'(2.2)_Forward_Price_Curve'!$DA$48,IF(AND(C29&gt;=2011,C29&lt;=2020),'(2.2)_Forward_Price_Curve'!$DA$49,'(2.2)_Forward_Price_Curve'!$DA$50))</f>
        <v>2.0199999999999999E-2</v>
      </c>
      <c r="G29" s="18">
        <f>$G$28</f>
        <v>175000</v>
      </c>
      <c r="I29" s="28">
        <f>I28*(1+$E29)</f>
        <v>0</v>
      </c>
      <c r="K29" s="28">
        <v>53.1</v>
      </c>
      <c r="M29" s="28">
        <f>M28*(1+$E29)</f>
        <v>0</v>
      </c>
      <c r="O29" s="270">
        <f>'(2.2)_Forward_Price_Curve'!Y20</f>
        <v>4.9466537342386037</v>
      </c>
      <c r="Q29" s="28"/>
      <c r="S29" s="18">
        <f t="shared" ref="S29:S48" si="5">(I29*$G$11*1000+(K29+M29+O29+Q29)*G29)/1000</f>
        <v>10158.164403491755</v>
      </c>
      <c r="U29" s="18">
        <f t="shared" si="0"/>
        <v>8771.5634346465504</v>
      </c>
      <c r="W29" s="18">
        <f t="shared" si="1"/>
        <v>1386.600968845205</v>
      </c>
      <c r="Y29" s="271">
        <f t="shared" ref="Y29:Y42" si="6">+W29*1000/G29</f>
        <v>7.9234341076868855</v>
      </c>
      <c r="Z29" s="235"/>
      <c r="AB29" s="146">
        <f>+IF(AB28&gt;$G$13+$G$14,XX,AB28+1)</f>
        <v>2006</v>
      </c>
      <c r="AC29" s="117"/>
      <c r="AD29" s="151">
        <f t="shared" si="2"/>
        <v>175000</v>
      </c>
      <c r="AF29" s="154">
        <f>AF28*(1+$E29)</f>
        <v>55.513765774927194</v>
      </c>
      <c r="AH29" s="154">
        <f>AH28*(1+$E29)</f>
        <v>10.8660359376</v>
      </c>
      <c r="AJ29" s="154">
        <f>AJ28*(1+$E29)</f>
        <v>3.1834848583466671</v>
      </c>
      <c r="AL29" s="153">
        <f t="shared" ref="AL29:AL42" si="7">((AF29+AH29)*$AF$11*1000+AJ29*AD29)/1000</f>
        <v>3327.5953368111996</v>
      </c>
      <c r="AN29" s="154">
        <f>INDEX('(2.2)_Forward_Price_Curve'!$H:$H,MATCH($AB29,'(2.2)_Forward_Price_Curve'!$C:$C,0),1)</f>
        <v>5.0513097146666661</v>
      </c>
      <c r="AP29" s="154">
        <f t="shared" ref="AP29:AP42" si="8">AN29*$AF$14/1000</f>
        <v>38.38321875184711</v>
      </c>
      <c r="AR29" s="154">
        <f>AR28*(1+$E29)</f>
        <v>2.4590824625066672</v>
      </c>
      <c r="AS29" s="154"/>
      <c r="AT29" s="153">
        <f t="shared" si="3"/>
        <v>1624.1607221346405</v>
      </c>
      <c r="AV29" s="153">
        <f t="shared" si="4"/>
        <v>7147.4027125119101</v>
      </c>
      <c r="AW29" s="273"/>
      <c r="AX29" s="155">
        <f t="shared" ref="AX29:AX42" si="9">AT29+AV29</f>
        <v>8771.5634346465504</v>
      </c>
      <c r="AZ29" s="146">
        <f>+IF(AZ28&gt;$G$13+$G$14,XX,AZ28+1)</f>
        <v>2006</v>
      </c>
      <c r="BA29" s="117"/>
      <c r="BB29" s="154">
        <f>BB28*(1+$E29)</f>
        <v>32.570630480543997</v>
      </c>
      <c r="BD29" s="154">
        <f>BD28*(1+$E29)</f>
        <v>11.417664198800001</v>
      </c>
      <c r="BF29" s="153">
        <f t="shared" ref="BF29:BF42" si="10">(BB29+BD29)*$BD$11</f>
        <v>1703.434614676559</v>
      </c>
      <c r="BH29" s="157"/>
    </row>
    <row r="30" spans="1:60" ht="12">
      <c r="B30" s="2"/>
      <c r="C30">
        <f>+IF(C29&gt;$G$13+$G$14,XX,C29+1)</f>
        <v>2007</v>
      </c>
      <c r="E30" s="169">
        <f>IF(AND(C30&gt;=2003,C30&lt;=2010),'(2.2)_Forward_Price_Curve'!$DA$48,IF(AND(C30&gt;=2011,C30&lt;=2020),'(2.2)_Forward_Price_Curve'!$DA$49,'(2.2)_Forward_Price_Curve'!$DA$50))</f>
        <v>2.0199999999999999E-2</v>
      </c>
      <c r="G30" s="18">
        <f t="shared" ref="G30:G48" si="11">$G$28</f>
        <v>175000</v>
      </c>
      <c r="I30" s="28">
        <f t="shared" ref="I30:I48" si="12">I29*(1+$E30)</f>
        <v>0</v>
      </c>
      <c r="K30" s="28">
        <v>53.58</v>
      </c>
      <c r="M30" s="28">
        <f t="shared" ref="M30:M48" si="13">M29*(1+$E30)</f>
        <v>0</v>
      </c>
      <c r="O30" s="270">
        <f>'(2.2)_Forward_Price_Curve'!Y21</f>
        <v>5.0999999999999996</v>
      </c>
      <c r="Q30" s="28"/>
      <c r="S30" s="18">
        <f t="shared" si="5"/>
        <v>10269</v>
      </c>
      <c r="U30" s="18">
        <f t="shared" si="0"/>
        <v>8222.9715908665858</v>
      </c>
      <c r="W30" s="18">
        <f t="shared" si="1"/>
        <v>2046.0284091334142</v>
      </c>
      <c r="Y30" s="271">
        <f t="shared" si="6"/>
        <v>11.691590909333796</v>
      </c>
      <c r="Z30" s="235"/>
      <c r="AB30" s="146">
        <f>+IF(AB29&gt;$G$13+$G$14,XX,AB29+1)</f>
        <v>2007</v>
      </c>
      <c r="AC30" s="117"/>
      <c r="AD30" s="151">
        <f t="shared" si="2"/>
        <v>175000</v>
      </c>
      <c r="AF30" s="154">
        <f t="shared" ref="AF30:AF48" si="14">AF29*(1+$E30)</f>
        <v>56.635143843580721</v>
      </c>
      <c r="AH30" s="154">
        <f t="shared" ref="AH30:AH48" si="15">AH29*(1+$E30)</f>
        <v>11.08552986353952</v>
      </c>
      <c r="AJ30" s="154">
        <f t="shared" ref="AJ30:AJ48" si="16">AJ29*(1+$E30)</f>
        <v>3.2477912524852699</v>
      </c>
      <c r="AL30" s="153">
        <f t="shared" si="7"/>
        <v>3394.8127626147857</v>
      </c>
      <c r="AN30" s="154">
        <f>INDEX('(2.2)_Forward_Price_Curve'!$H:$H,MATCH($AB30,'(2.2)_Forward_Price_Curve'!$C:$C,0),1)</f>
        <v>4.6075531055833343</v>
      </c>
      <c r="AP30" s="154">
        <f t="shared" si="8"/>
        <v>35.011260198292568</v>
      </c>
      <c r="AR30" s="154">
        <f t="shared" ref="AR30:AR48" si="17">AR29*(1+$E30)</f>
        <v>2.5087559282493017</v>
      </c>
      <c r="AS30" s="154"/>
      <c r="AT30" s="153">
        <f t="shared" si="3"/>
        <v>1656.9687687217599</v>
      </c>
      <c r="AV30" s="153">
        <f t="shared" si="4"/>
        <v>6566.0028221448265</v>
      </c>
      <c r="AW30" s="273"/>
      <c r="AX30" s="155">
        <f t="shared" si="9"/>
        <v>8222.9715908665858</v>
      </c>
      <c r="AZ30" s="146">
        <f>+IF(AZ29&gt;$G$13+$G$14,XX,AZ29+1)</f>
        <v>2007</v>
      </c>
      <c r="BA30" s="117"/>
      <c r="BB30" s="154">
        <f t="shared" ref="BB30:BB48" si="18">BB29*(1+$E30)</f>
        <v>33.228557216250984</v>
      </c>
      <c r="BD30" s="154">
        <f t="shared" ref="BD30:BD48" si="19">BD29*(1+$E30)</f>
        <v>11.648301015615761</v>
      </c>
      <c r="BF30" s="153">
        <f t="shared" si="10"/>
        <v>1737.8439938930258</v>
      </c>
      <c r="BH30" s="157"/>
    </row>
    <row r="31" spans="1:60" ht="12">
      <c r="B31" s="2"/>
      <c r="C31">
        <f>+IF(C30&gt;$G$13+$G$14,XX,C30+1)</f>
        <v>2008</v>
      </c>
      <c r="E31" s="169">
        <f>IF(AND(C31&gt;=2003,C31&lt;=2010),'(2.2)_Forward_Price_Curve'!$DA$48,IF(AND(C31&gt;=2011,C31&lt;=2020),'(2.2)_Forward_Price_Curve'!$DA$49,'(2.2)_Forward_Price_Curve'!$DA$50))</f>
        <v>2.0199999999999999E-2</v>
      </c>
      <c r="G31" s="18">
        <f t="shared" si="11"/>
        <v>175000</v>
      </c>
      <c r="I31" s="28">
        <f t="shared" si="12"/>
        <v>0</v>
      </c>
      <c r="K31" s="28">
        <v>54.07</v>
      </c>
      <c r="M31" s="28">
        <f t="shared" si="13"/>
        <v>0</v>
      </c>
      <c r="O31" s="270">
        <f>'(2.2)_Forward_Price_Curve'!Y22</f>
        <v>5.1866999999999992</v>
      </c>
      <c r="Q31" s="28"/>
      <c r="S31" s="18">
        <f t="shared" si="5"/>
        <v>10369.922500000001</v>
      </c>
      <c r="U31" s="18">
        <f t="shared" si="0"/>
        <v>7827.2294652358114</v>
      </c>
      <c r="W31" s="18">
        <f t="shared" si="1"/>
        <v>2542.6930347641892</v>
      </c>
      <c r="Y31" s="271">
        <f t="shared" si="6"/>
        <v>14.529674484366796</v>
      </c>
      <c r="Z31" s="235"/>
      <c r="AB31" s="146">
        <f>+IF(AB30&gt;$G$13+$G$14,XX,AB30+1)</f>
        <v>2008</v>
      </c>
      <c r="AC31" s="117"/>
      <c r="AD31" s="151">
        <f t="shared" si="2"/>
        <v>175000</v>
      </c>
      <c r="AF31" s="154">
        <f t="shared" si="14"/>
        <v>57.779173749221052</v>
      </c>
      <c r="AH31" s="154">
        <f t="shared" si="15"/>
        <v>11.309457566783019</v>
      </c>
      <c r="AJ31" s="154">
        <f t="shared" si="16"/>
        <v>3.3133966357854723</v>
      </c>
      <c r="AL31" s="153">
        <f t="shared" si="7"/>
        <v>3463.387980419604</v>
      </c>
      <c r="AN31" s="154">
        <f>INDEX('(2.2)_Forward_Price_Curve'!$H:$H,MATCH($AB31,'(2.2)_Forward_Price_Curve'!$C:$C,0),1)</f>
        <v>4.278110837291667</v>
      </c>
      <c r="AP31" s="154">
        <f t="shared" si="8"/>
        <v>32.507938215633615</v>
      </c>
      <c r="AR31" s="154">
        <f t="shared" si="17"/>
        <v>2.5594327979999374</v>
      </c>
      <c r="AS31" s="154"/>
      <c r="AT31" s="153">
        <f t="shared" si="3"/>
        <v>1690.4395378499391</v>
      </c>
      <c r="AV31" s="153">
        <f t="shared" si="4"/>
        <v>6136.789927385872</v>
      </c>
      <c r="AW31" s="273"/>
      <c r="AX31" s="155">
        <f t="shared" si="9"/>
        <v>7827.2294652358114</v>
      </c>
      <c r="AZ31" s="146">
        <f>+IF(AZ30&gt;$G$13+$G$14,XX,AZ30+1)</f>
        <v>2008</v>
      </c>
      <c r="BA31" s="117"/>
      <c r="BB31" s="154">
        <f t="shared" si="18"/>
        <v>33.899774072019255</v>
      </c>
      <c r="BD31" s="154">
        <f t="shared" si="19"/>
        <v>11.8835966961312</v>
      </c>
      <c r="BF31" s="153">
        <f t="shared" si="10"/>
        <v>1772.9484425696648</v>
      </c>
      <c r="BH31" s="157"/>
    </row>
    <row r="32" spans="1:60" ht="12">
      <c r="B32" s="2"/>
      <c r="C32">
        <f>+IF(C31&gt;$G$13+$G$14,XX,C31+1)</f>
        <v>2009</v>
      </c>
      <c r="E32" s="169">
        <f>IF(AND(C32&gt;=2003,C32&lt;=2010),'(2.2)_Forward_Price_Curve'!$DA$48,IF(AND(C32&gt;=2011,C32&lt;=2020),'(2.2)_Forward_Price_Curve'!$DA$49,'(2.2)_Forward_Price_Curve'!$DA$50))</f>
        <v>2.0199999999999999E-2</v>
      </c>
      <c r="G32" s="18">
        <f t="shared" si="11"/>
        <v>175000</v>
      </c>
      <c r="I32" s="28">
        <f t="shared" si="12"/>
        <v>0</v>
      </c>
      <c r="K32" s="28">
        <v>54.58</v>
      </c>
      <c r="M32" s="28">
        <f t="shared" si="13"/>
        <v>0</v>
      </c>
      <c r="O32" s="270">
        <f>'(2.2)_Forward_Price_Curve'!Y23</f>
        <v>5.2748738999999985</v>
      </c>
      <c r="Q32" s="28"/>
      <c r="S32" s="18">
        <f t="shared" si="5"/>
        <v>10474.6029325</v>
      </c>
      <c r="U32" s="18">
        <f t="shared" si="0"/>
        <v>7775.3952916191774</v>
      </c>
      <c r="W32" s="18">
        <f t="shared" si="1"/>
        <v>2699.2076408808225</v>
      </c>
      <c r="Y32" s="271">
        <f t="shared" si="6"/>
        <v>15.42404366217613</v>
      </c>
      <c r="Z32" s="235"/>
      <c r="AB32" s="146">
        <f>+IF(AB31&gt;$G$13+$G$14,XX,AB31+1)</f>
        <v>2009</v>
      </c>
      <c r="AC32" s="117"/>
      <c r="AD32" s="151">
        <f t="shared" si="2"/>
        <v>175000</v>
      </c>
      <c r="AF32" s="154">
        <f t="shared" si="14"/>
        <v>58.946313058955319</v>
      </c>
      <c r="AH32" s="154">
        <f t="shared" si="15"/>
        <v>11.537908609632035</v>
      </c>
      <c r="AJ32" s="154">
        <f t="shared" si="16"/>
        <v>3.3803272478283386</v>
      </c>
      <c r="AL32" s="153">
        <f t="shared" si="7"/>
        <v>3533.3484176240804</v>
      </c>
      <c r="AN32" s="154">
        <f>INDEX('(2.2)_Forward_Price_Curve'!$H:$H,MATCH($AB32,'(2.2)_Forward_Price_Curve'!$C:$C,0),1)</f>
        <v>4.2066481892916672</v>
      </c>
      <c r="AP32" s="154">
        <f t="shared" si="8"/>
        <v>31.964917374364287</v>
      </c>
      <c r="AR32" s="154">
        <f t="shared" si="17"/>
        <v>2.6111333405195363</v>
      </c>
      <c r="AS32" s="154"/>
      <c r="AT32" s="153">
        <f t="shared" si="3"/>
        <v>1724.5864165145083</v>
      </c>
      <c r="AV32" s="153">
        <f t="shared" si="4"/>
        <v>6050.8088751046689</v>
      </c>
      <c r="AW32" s="273"/>
      <c r="AX32" s="155">
        <f t="shared" si="9"/>
        <v>7775.3952916191774</v>
      </c>
      <c r="AZ32" s="146">
        <f>+IF(AZ31&gt;$G$13+$G$14,XX,AZ31+1)</f>
        <v>2009</v>
      </c>
      <c r="BA32" s="117"/>
      <c r="BB32" s="154">
        <f t="shared" si="18"/>
        <v>34.584549508274044</v>
      </c>
      <c r="BD32" s="154">
        <f t="shared" si="19"/>
        <v>12.123645349393049</v>
      </c>
      <c r="BF32" s="153">
        <f t="shared" si="10"/>
        <v>1808.7620011095721</v>
      </c>
      <c r="BH32" s="157"/>
    </row>
    <row r="33" spans="2:60" ht="12">
      <c r="B33" s="2"/>
      <c r="C33">
        <f>+IF(C32&gt;$G$13+$G$14,XX,C32+1)</f>
        <v>2010</v>
      </c>
      <c r="E33" s="169">
        <f>IF(AND(C33&gt;=2003,C33&lt;=2010),'(2.2)_Forward_Price_Curve'!$DA$48,IF(AND(C33&gt;=2011,C33&lt;=2020),'(2.2)_Forward_Price_Curve'!$DA$49,'(2.2)_Forward_Price_Curve'!$DA$50))</f>
        <v>2.0199999999999999E-2</v>
      </c>
      <c r="G33" s="18">
        <f t="shared" si="11"/>
        <v>175000</v>
      </c>
      <c r="I33" s="28">
        <f t="shared" si="12"/>
        <v>0</v>
      </c>
      <c r="K33" s="28">
        <v>55.11</v>
      </c>
      <c r="M33" s="28">
        <f t="shared" si="13"/>
        <v>0</v>
      </c>
      <c r="O33" s="270">
        <f>'(2.2)_Forward_Price_Curve'!Y24</f>
        <v>5.3750965040999983</v>
      </c>
      <c r="Q33" s="28"/>
      <c r="S33" s="18">
        <f t="shared" si="5"/>
        <v>10584.8918882175</v>
      </c>
      <c r="U33" s="18">
        <f t="shared" si="0"/>
        <v>7991.1935110557333</v>
      </c>
      <c r="W33" s="18">
        <f t="shared" si="1"/>
        <v>2593.698377161767</v>
      </c>
      <c r="Y33" s="271">
        <f t="shared" si="6"/>
        <v>14.821133583781524</v>
      </c>
      <c r="Z33" s="235"/>
      <c r="AB33" s="146">
        <f>+IF(AB32&gt;$G$13+$G$14,XX,AB32+1)</f>
        <v>2010</v>
      </c>
      <c r="AC33" s="117"/>
      <c r="AD33" s="151">
        <f t="shared" si="2"/>
        <v>175000</v>
      </c>
      <c r="AF33" s="154">
        <f t="shared" si="14"/>
        <v>60.137028582746218</v>
      </c>
      <c r="AH33" s="154">
        <f t="shared" si="15"/>
        <v>11.770974363546602</v>
      </c>
      <c r="AJ33" s="154">
        <f t="shared" si="16"/>
        <v>3.4486098582344709</v>
      </c>
      <c r="AL33" s="153">
        <f t="shared" si="7"/>
        <v>3604.7220556600873</v>
      </c>
      <c r="AN33" s="154">
        <f>INDEX('(2.2)_Forward_Price_Curve'!$H:$H,MATCH($AB33,'(2.2)_Forward_Price_Curve'!$C:$C,0),1)</f>
        <v>4.3357920622499995</v>
      </c>
      <c r="AP33" s="154">
        <f t="shared" si="8"/>
        <v>32.946238617017002</v>
      </c>
      <c r="AR33" s="154">
        <f t="shared" si="17"/>
        <v>2.6638782339980307</v>
      </c>
      <c r="AS33" s="154"/>
      <c r="AT33" s="153">
        <f t="shared" si="3"/>
        <v>1759.4230621281019</v>
      </c>
      <c r="AV33" s="153">
        <f t="shared" si="4"/>
        <v>6231.7704489276312</v>
      </c>
      <c r="AW33" s="273"/>
      <c r="AX33" s="155">
        <f t="shared" si="9"/>
        <v>7991.1935110557333</v>
      </c>
      <c r="AZ33" s="146">
        <f>+IF(AZ32&gt;$G$13+$G$14,XX,AZ32+1)</f>
        <v>2010</v>
      </c>
      <c r="BA33" s="117"/>
      <c r="BB33" s="154">
        <f t="shared" si="18"/>
        <v>35.283157408341182</v>
      </c>
      <c r="BD33" s="154">
        <f t="shared" si="19"/>
        <v>12.368542985450789</v>
      </c>
      <c r="BF33" s="153">
        <f t="shared" si="10"/>
        <v>1845.2989935319854</v>
      </c>
      <c r="BH33" s="157"/>
    </row>
    <row r="34" spans="2:60" ht="12">
      <c r="B34" s="2"/>
      <c r="C34">
        <f>+IF(C33&gt;$G$13+$G$14,XX,C33+1)</f>
        <v>2011</v>
      </c>
      <c r="E34" s="169">
        <f>IF(AND(C34&gt;=2003,C34&lt;=2010),'(2.2)_Forward_Price_Curve'!$DA$48,IF(AND(C34&gt;=2011,C34&lt;=2020),'(2.2)_Forward_Price_Curve'!$DA$49,'(2.2)_Forward_Price_Curve'!$DA$50))</f>
        <v>2.9399999999999999E-2</v>
      </c>
      <c r="G34" s="18">
        <f t="shared" si="11"/>
        <v>175000</v>
      </c>
      <c r="I34" s="28">
        <f t="shared" si="12"/>
        <v>0</v>
      </c>
      <c r="K34" s="28">
        <v>55.65</v>
      </c>
      <c r="M34" s="28">
        <f t="shared" si="13"/>
        <v>0</v>
      </c>
      <c r="O34" s="270">
        <f>'(2.2)_Forward_Price_Curve'!Y25</f>
        <v>5.4772233376778976</v>
      </c>
      <c r="Q34" s="28"/>
      <c r="S34" s="18">
        <f t="shared" si="5"/>
        <v>10697.264084093633</v>
      </c>
      <c r="U34" s="18">
        <f t="shared" si="0"/>
        <v>8136.467083507132</v>
      </c>
      <c r="W34" s="18">
        <f t="shared" si="1"/>
        <v>2560.7970005865009</v>
      </c>
      <c r="Y34" s="271">
        <f t="shared" si="6"/>
        <v>14.633125717637148</v>
      </c>
      <c r="Z34" s="235"/>
      <c r="AB34" s="146">
        <f>+IF(AB33&gt;$G$13+$G$14,XX,AB33+1)</f>
        <v>2011</v>
      </c>
      <c r="AC34" s="117"/>
      <c r="AD34" s="151">
        <f t="shared" si="2"/>
        <v>175000</v>
      </c>
      <c r="AF34" s="154">
        <f t="shared" si="14"/>
        <v>61.905057223078963</v>
      </c>
      <c r="AH34" s="154">
        <f t="shared" si="15"/>
        <v>12.117041009834873</v>
      </c>
      <c r="AJ34" s="154">
        <f t="shared" si="16"/>
        <v>3.5499989880665646</v>
      </c>
      <c r="AL34" s="153">
        <f t="shared" si="7"/>
        <v>3710.7008840964941</v>
      </c>
      <c r="AN34" s="154">
        <f>INDEX('(2.2)_Forward_Price_Curve'!$H:$H,MATCH($AB34,'(2.2)_Forward_Price_Curve'!$C:$C,0),1)</f>
        <v>4.395833333333333</v>
      </c>
      <c r="AP34" s="154">
        <f t="shared" si="8"/>
        <v>33.402472222222229</v>
      </c>
      <c r="AR34" s="154">
        <f t="shared" si="17"/>
        <v>2.7421962540775731</v>
      </c>
      <c r="AS34" s="154"/>
      <c r="AT34" s="153">
        <f t="shared" si="3"/>
        <v>1811.1501001546678</v>
      </c>
      <c r="AV34" s="153">
        <f t="shared" si="4"/>
        <v>6325.3169833524644</v>
      </c>
      <c r="AW34" s="273"/>
      <c r="AX34" s="155">
        <f t="shared" si="9"/>
        <v>8136.467083507132</v>
      </c>
      <c r="AZ34" s="146">
        <f>+IF(AZ33&gt;$G$13+$G$14,XX,AZ33+1)</f>
        <v>2011</v>
      </c>
      <c r="BA34" s="117"/>
      <c r="BB34" s="154">
        <f t="shared" si="18"/>
        <v>36.320482236146418</v>
      </c>
      <c r="BD34" s="154">
        <f t="shared" si="19"/>
        <v>12.732178149223044</v>
      </c>
      <c r="BF34" s="153">
        <f t="shared" si="10"/>
        <v>1899.5507839418262</v>
      </c>
      <c r="BH34" s="157"/>
    </row>
    <row r="35" spans="2:60" ht="12">
      <c r="B35" s="2"/>
      <c r="C35">
        <f>+IF(C34&gt;$G$13+$G$14,XX,C34+1)</f>
        <v>2012</v>
      </c>
      <c r="E35" s="169">
        <f>IF(AND(C35&gt;=2003,C35&lt;=2010),'(2.2)_Forward_Price_Curve'!$DA$48,IF(AND(C35&gt;=2011,C35&lt;=2020),'(2.2)_Forward_Price_Curve'!$DA$49,'(2.2)_Forward_Price_Curve'!$DA$50))</f>
        <v>2.9399999999999999E-2</v>
      </c>
      <c r="G35" s="18">
        <f t="shared" si="11"/>
        <v>175000</v>
      </c>
      <c r="I35" s="28">
        <f t="shared" si="12"/>
        <v>0</v>
      </c>
      <c r="K35" s="28">
        <v>56.2</v>
      </c>
      <c r="M35" s="28">
        <f t="shared" si="13"/>
        <v>0</v>
      </c>
      <c r="O35" s="270">
        <f>'(2.2)_Forward_Price_Curve'!Y26</f>
        <v>5.5867678044314557</v>
      </c>
      <c r="Q35" s="28"/>
      <c r="S35" s="18">
        <f t="shared" si="5"/>
        <v>10812.684365775505</v>
      </c>
      <c r="U35" s="18">
        <f t="shared" si="0"/>
        <v>8254.7978850677973</v>
      </c>
      <c r="W35" s="18">
        <f t="shared" si="1"/>
        <v>2557.886480707708</v>
      </c>
      <c r="Y35" s="271">
        <f t="shared" si="6"/>
        <v>14.616494175472615</v>
      </c>
      <c r="Z35" s="235"/>
      <c r="AB35" s="146">
        <f>+IF(AB34&gt;$G$13+$G$14,XX,AB34+1)</f>
        <v>2012</v>
      </c>
      <c r="AC35" s="117"/>
      <c r="AD35" s="151">
        <f t="shared" si="2"/>
        <v>175000</v>
      </c>
      <c r="AF35" s="154">
        <f t="shared" si="14"/>
        <v>63.725065905437489</v>
      </c>
      <c r="AH35" s="154">
        <f t="shared" si="15"/>
        <v>12.473282015524019</v>
      </c>
      <c r="AJ35" s="154">
        <f t="shared" si="16"/>
        <v>3.6543689583157217</v>
      </c>
      <c r="AL35" s="153">
        <f t="shared" si="7"/>
        <v>3819.7954900889313</v>
      </c>
      <c r="AN35" s="154">
        <f>INDEX('(2.2)_Forward_Price_Curve'!$H:$H,MATCH($AB35,'(2.2)_Forward_Price_Curve'!$C:$C,0),1)</f>
        <v>4.4341666666666661</v>
      </c>
      <c r="AP35" s="154">
        <f t="shared" si="8"/>
        <v>33.693754444444444</v>
      </c>
      <c r="AR35" s="154">
        <f t="shared" si="17"/>
        <v>2.8228168239474538</v>
      </c>
      <c r="AS35" s="154"/>
      <c r="AT35" s="153">
        <f t="shared" si="3"/>
        <v>1864.3979130992154</v>
      </c>
      <c r="AV35" s="153">
        <f t="shared" si="4"/>
        <v>6390.3999719685826</v>
      </c>
      <c r="AW35" s="273"/>
      <c r="AX35" s="155">
        <f t="shared" si="9"/>
        <v>8254.7978850677973</v>
      </c>
      <c r="AZ35" s="146">
        <f>+IF(AZ34&gt;$G$13+$G$14,XX,AZ34+1)</f>
        <v>2012</v>
      </c>
      <c r="BA35" s="117"/>
      <c r="BB35" s="154">
        <f t="shared" si="18"/>
        <v>37.388304413889124</v>
      </c>
      <c r="BD35" s="154">
        <f t="shared" si="19"/>
        <v>13.106504186810202</v>
      </c>
      <c r="BF35" s="153">
        <f t="shared" si="10"/>
        <v>1955.3975769897158</v>
      </c>
      <c r="BH35" s="157"/>
    </row>
    <row r="36" spans="2:60" ht="12">
      <c r="B36" s="2"/>
      <c r="C36">
        <f>+IF(C35&gt;$G$13+$G$14,XX,C35+1)</f>
        <v>2013</v>
      </c>
      <c r="E36" s="169">
        <f>IF(AND(C36&gt;=2003,C36&lt;=2010),'(2.2)_Forward_Price_Curve'!$DA$48,IF(AND(C36&gt;=2011,C36&lt;=2020),'(2.2)_Forward_Price_Curve'!$DA$49,'(2.2)_Forward_Price_Curve'!$DA$50))</f>
        <v>2.9399999999999999E-2</v>
      </c>
      <c r="G36" s="18">
        <f t="shared" si="11"/>
        <v>175000</v>
      </c>
      <c r="I36" s="28">
        <f t="shared" si="12"/>
        <v>0</v>
      </c>
      <c r="K36" s="28">
        <v>56.78</v>
      </c>
      <c r="M36" s="28">
        <f t="shared" si="13"/>
        <v>0</v>
      </c>
      <c r="O36" s="270">
        <f>'(2.2)_Forward_Price_Curve'!Y27</f>
        <v>5.6929163927156532</v>
      </c>
      <c r="Q36" s="28"/>
      <c r="S36" s="18">
        <f t="shared" si="5"/>
        <v>10932.760368725239</v>
      </c>
      <c r="U36" s="18">
        <f t="shared" si="0"/>
        <v>8495.342034605459</v>
      </c>
      <c r="W36" s="18">
        <f t="shared" si="1"/>
        <v>2437.4183341197804</v>
      </c>
      <c r="Y36" s="271">
        <f t="shared" si="6"/>
        <v>13.928104766398745</v>
      </c>
      <c r="Z36" s="235"/>
      <c r="AB36" s="146">
        <f>+IF(AB35&gt;$G$13+$G$14,XX,AB35+1)</f>
        <v>2013</v>
      </c>
      <c r="AC36" s="117"/>
      <c r="AD36" s="151">
        <f t="shared" si="2"/>
        <v>175000</v>
      </c>
      <c r="AF36" s="154">
        <f t="shared" si="14"/>
        <v>65.598582843057358</v>
      </c>
      <c r="AH36" s="154">
        <f t="shared" si="15"/>
        <v>12.839996506780427</v>
      </c>
      <c r="AJ36" s="154">
        <f t="shared" si="16"/>
        <v>3.7618074056902042</v>
      </c>
      <c r="AL36" s="153">
        <f t="shared" si="7"/>
        <v>3932.0974774975457</v>
      </c>
      <c r="AN36" s="154">
        <f>INDEX('(2.2)_Forward_Price_Curve'!$H:$H,MATCH($AB36,'(2.2)_Forward_Price_Curve'!$C:$C,0),1)</f>
        <v>4.5629166666666672</v>
      </c>
      <c r="AP36" s="154">
        <f t="shared" si="8"/>
        <v>34.672082777777788</v>
      </c>
      <c r="AR36" s="154">
        <f t="shared" si="17"/>
        <v>2.9058076385715093</v>
      </c>
      <c r="AS36" s="154"/>
      <c r="AT36" s="153">
        <f t="shared" si="3"/>
        <v>1919.2112117443321</v>
      </c>
      <c r="AV36" s="153">
        <f t="shared" si="4"/>
        <v>6576.1308228611279</v>
      </c>
      <c r="AW36" s="273"/>
      <c r="AX36" s="155">
        <f t="shared" si="9"/>
        <v>8495.342034605459</v>
      </c>
      <c r="AZ36" s="146">
        <f>+IF(AZ35&gt;$G$13+$G$14,XX,AZ35+1)</f>
        <v>2013</v>
      </c>
      <c r="BA36" s="117"/>
      <c r="BB36" s="154">
        <f t="shared" si="18"/>
        <v>38.487520563657469</v>
      </c>
      <c r="BD36" s="154">
        <f t="shared" si="19"/>
        <v>13.491835409902423</v>
      </c>
      <c r="BF36" s="153">
        <f t="shared" si="10"/>
        <v>2012.8862657532136</v>
      </c>
      <c r="BH36" s="157"/>
    </row>
    <row r="37" spans="2:60" ht="12">
      <c r="B37" s="2"/>
      <c r="C37">
        <f>+IF(C36&gt;$G$13+$G$14,XX,C36+1)</f>
        <v>2014</v>
      </c>
      <c r="E37" s="169">
        <f>IF(AND(C37&gt;=2003,C37&lt;=2010),'(2.2)_Forward_Price_Curve'!$DA$48,IF(AND(C37&gt;=2011,C37&lt;=2020),'(2.2)_Forward_Price_Curve'!$DA$49,'(2.2)_Forward_Price_Curve'!$DA$50))</f>
        <v>2.9399999999999999E-2</v>
      </c>
      <c r="G37" s="18">
        <f t="shared" si="11"/>
        <v>175000</v>
      </c>
      <c r="I37" s="28">
        <f t="shared" si="12"/>
        <v>0</v>
      </c>
      <c r="K37" s="28">
        <v>57.37</v>
      </c>
      <c r="M37" s="28">
        <f t="shared" si="13"/>
        <v>0</v>
      </c>
      <c r="O37" s="270">
        <f>'(2.2)_Forward_Price_Curve'!Y28</f>
        <v>5.7953888877845348</v>
      </c>
      <c r="Q37" s="28"/>
      <c r="S37" s="18">
        <f t="shared" si="5"/>
        <v>11053.943055362293</v>
      </c>
      <c r="U37" s="18">
        <f t="shared" si="0"/>
        <v>8816.6025439756359</v>
      </c>
      <c r="W37" s="18">
        <f t="shared" si="1"/>
        <v>2237.3405113866575</v>
      </c>
      <c r="Y37" s="271">
        <f t="shared" si="6"/>
        <v>12.784802922209472</v>
      </c>
      <c r="Z37" s="235"/>
      <c r="AB37" s="146">
        <f>+IF(AB36&gt;$G$13+$G$14,XX,AB36+1)</f>
        <v>2014</v>
      </c>
      <c r="AC37" s="117"/>
      <c r="AD37" s="151">
        <f t="shared" si="2"/>
        <v>175000</v>
      </c>
      <c r="AF37" s="154">
        <f t="shared" si="14"/>
        <v>67.527181178643247</v>
      </c>
      <c r="AH37" s="154">
        <f t="shared" si="15"/>
        <v>13.217492404079772</v>
      </c>
      <c r="AJ37" s="154">
        <f t="shared" si="16"/>
        <v>3.8724045434174967</v>
      </c>
      <c r="AL37" s="153">
        <f t="shared" si="7"/>
        <v>4047.7011433359739</v>
      </c>
      <c r="AN37" s="154">
        <f>INDEX('(2.2)_Forward_Price_Curve'!$H:$H,MATCH($AB37,'(2.2)_Forward_Price_Curve'!$C:$C,0),1)</f>
        <v>4.7508333333333326</v>
      </c>
      <c r="AP37" s="154">
        <f t="shared" si="8"/>
        <v>36.099998888888891</v>
      </c>
      <c r="AR37" s="154">
        <f t="shared" si="17"/>
        <v>2.9912383831455118</v>
      </c>
      <c r="AS37" s="154"/>
      <c r="AT37" s="153">
        <f t="shared" si="3"/>
        <v>1975.6360213696157</v>
      </c>
      <c r="AV37" s="153">
        <f t="shared" si="4"/>
        <v>6840.9665226060206</v>
      </c>
      <c r="AW37" s="273"/>
      <c r="AX37" s="155">
        <f t="shared" si="9"/>
        <v>8816.6025439756359</v>
      </c>
      <c r="AZ37" s="146">
        <f>+IF(AZ36&gt;$G$13+$G$14,XX,AZ36+1)</f>
        <v>2014</v>
      </c>
      <c r="BA37" s="117"/>
      <c r="BB37" s="154">
        <f t="shared" si="18"/>
        <v>39.619053668229</v>
      </c>
      <c r="BD37" s="154">
        <f t="shared" si="19"/>
        <v>13.888495370953555</v>
      </c>
      <c r="BF37" s="153">
        <f t="shared" si="10"/>
        <v>2072.0651219663582</v>
      </c>
      <c r="BH37" s="157"/>
    </row>
    <row r="38" spans="2:60" ht="12">
      <c r="B38" s="2"/>
      <c r="C38">
        <f>+IF(C37&gt;$G$13+$G$14,XX,C37+1)</f>
        <v>2015</v>
      </c>
      <c r="E38" s="169">
        <f>IF(AND(C38&gt;=2003,C38&lt;=2010),'(2.2)_Forward_Price_Curve'!$DA$48,IF(AND(C38&gt;=2011,C38&lt;=2020),'(2.2)_Forward_Price_Curve'!$DA$49,'(2.2)_Forward_Price_Curve'!$DA$50))</f>
        <v>2.9399999999999999E-2</v>
      </c>
      <c r="G38" s="18">
        <f t="shared" si="11"/>
        <v>175000</v>
      </c>
      <c r="I38" s="28">
        <f t="shared" si="12"/>
        <v>0</v>
      </c>
      <c r="K38" s="28">
        <v>57.98</v>
      </c>
      <c r="M38" s="28">
        <f t="shared" si="13"/>
        <v>0</v>
      </c>
      <c r="O38" s="270">
        <f>'(2.2)_Forward_Price_Curve'!Y29</f>
        <v>5.8997058877646564</v>
      </c>
      <c r="Q38" s="28"/>
      <c r="S38" s="18">
        <f t="shared" si="5"/>
        <v>11178.948530358814</v>
      </c>
      <c r="U38" s="18">
        <f t="shared" si="0"/>
        <v>9023.6069005962981</v>
      </c>
      <c r="W38" s="18">
        <f t="shared" si="1"/>
        <v>2155.3416297625154</v>
      </c>
      <c r="Y38" s="271">
        <f t="shared" si="6"/>
        <v>12.31623788435723</v>
      </c>
      <c r="Z38" s="235"/>
      <c r="AB38" s="146">
        <f>+IF(AB37&gt;$G$13+$G$14,XX,AB37+1)</f>
        <v>2015</v>
      </c>
      <c r="AC38" s="117"/>
      <c r="AD38" s="151">
        <f t="shared" si="2"/>
        <v>175000</v>
      </c>
      <c r="AF38" s="154">
        <f t="shared" si="14"/>
        <v>69.512480305295369</v>
      </c>
      <c r="AH38" s="154">
        <f t="shared" si="15"/>
        <v>13.606086680759718</v>
      </c>
      <c r="AJ38" s="154">
        <f t="shared" si="16"/>
        <v>3.9862532369939716</v>
      </c>
      <c r="AL38" s="153">
        <f t="shared" si="7"/>
        <v>4166.7035569500522</v>
      </c>
      <c r="AN38" s="154">
        <f>INDEX('(2.2)_Forward_Price_Curve'!$H:$H,MATCH($AB38,'(2.2)_Forward_Price_Curve'!$C:$C,0),1)</f>
        <v>4.8512499999999994</v>
      </c>
      <c r="AP38" s="154">
        <f t="shared" si="8"/>
        <v>36.863031666666672</v>
      </c>
      <c r="AR38" s="154">
        <f t="shared" si="17"/>
        <v>3.07918079160999</v>
      </c>
      <c r="AS38" s="154"/>
      <c r="AT38" s="153">
        <f t="shared" si="3"/>
        <v>2033.7197203978826</v>
      </c>
      <c r="AV38" s="153">
        <f t="shared" si="4"/>
        <v>6989.887180198416</v>
      </c>
      <c r="AW38" s="273"/>
      <c r="AX38" s="155">
        <f t="shared" si="9"/>
        <v>9023.6069005962981</v>
      </c>
      <c r="AZ38" s="146">
        <f>+IF(AZ37&gt;$G$13+$G$14,XX,AZ37+1)</f>
        <v>2015</v>
      </c>
      <c r="BA38" s="117"/>
      <c r="BB38" s="154">
        <f t="shared" si="18"/>
        <v>40.783853846074933</v>
      </c>
      <c r="BD38" s="154">
        <f t="shared" si="19"/>
        <v>14.296817134859591</v>
      </c>
      <c r="BF38" s="153">
        <f t="shared" si="10"/>
        <v>2132.9838365521696</v>
      </c>
      <c r="BH38" s="157"/>
    </row>
    <row r="39" spans="2:60" ht="12">
      <c r="B39" s="2"/>
      <c r="C39">
        <f>+IF(C38&gt;$G$13+$G$14,XX,C38+1)</f>
        <v>2016</v>
      </c>
      <c r="E39" s="169">
        <f>IF(AND(C39&gt;=2003,C39&lt;=2010),'(2.2)_Forward_Price_Curve'!$DA$48,IF(AND(C39&gt;=2011,C39&lt;=2020),'(2.2)_Forward_Price_Curve'!$DA$49,'(2.2)_Forward_Price_Curve'!$DA$50))</f>
        <v>2.9399999999999999E-2</v>
      </c>
      <c r="G39" s="18">
        <f t="shared" si="11"/>
        <v>175000</v>
      </c>
      <c r="I39" s="28">
        <f t="shared" si="12"/>
        <v>0</v>
      </c>
      <c r="K39" s="28">
        <v>58.6</v>
      </c>
      <c r="M39" s="28">
        <f t="shared" si="13"/>
        <v>0</v>
      </c>
      <c r="O39" s="270">
        <f>'(2.2)_Forward_Price_Curve'!Y30</f>
        <v>6.0059005937444203</v>
      </c>
      <c r="Q39" s="28"/>
      <c r="S39" s="18">
        <f t="shared" si="5"/>
        <v>11306.032603905274</v>
      </c>
      <c r="U39" s="18">
        <f t="shared" si="0"/>
        <v>9301.4759927710529</v>
      </c>
      <c r="W39" s="18">
        <f t="shared" si="1"/>
        <v>2004.5566111342214</v>
      </c>
      <c r="Y39" s="271">
        <f t="shared" si="6"/>
        <v>11.454609206481265</v>
      </c>
      <c r="Z39" s="235"/>
      <c r="AB39" s="146">
        <f>+IF(AB38&gt;$G$13+$G$14,XX,AB38+1)</f>
        <v>2016</v>
      </c>
      <c r="AC39" s="117"/>
      <c r="AD39" s="151">
        <f t="shared" si="2"/>
        <v>175000</v>
      </c>
      <c r="AF39" s="154">
        <f t="shared" si="14"/>
        <v>71.556147226271065</v>
      </c>
      <c r="AH39" s="154">
        <f t="shared" si="15"/>
        <v>14.006105629174055</v>
      </c>
      <c r="AJ39" s="154">
        <f t="shared" si="16"/>
        <v>4.1034490821615943</v>
      </c>
      <c r="AL39" s="153">
        <f t="shared" si="7"/>
        <v>4289.204641524384</v>
      </c>
      <c r="AN39" s="154">
        <f>INDEX('(2.2)_Forward_Price_Curve'!$H:$H,MATCH($AB39,'(2.2)_Forward_Price_Curve'!$C:$C,0),1)</f>
        <v>5.003333333333333</v>
      </c>
      <c r="AP39" s="154">
        <f t="shared" si="8"/>
        <v>38.018662222222225</v>
      </c>
      <c r="AR39" s="154">
        <f t="shared" si="17"/>
        <v>3.1697087068833238</v>
      </c>
      <c r="AS39" s="154"/>
      <c r="AT39" s="153">
        <f t="shared" si="3"/>
        <v>2093.5110801775809</v>
      </c>
      <c r="AV39" s="153">
        <f t="shared" si="4"/>
        <v>7207.964912593472</v>
      </c>
      <c r="AW39" s="273"/>
      <c r="AX39" s="155">
        <f t="shared" si="9"/>
        <v>9301.4759927710529</v>
      </c>
      <c r="AZ39" s="146">
        <f>+IF(AZ38&gt;$G$13+$G$14,XX,AZ38+1)</f>
        <v>2016</v>
      </c>
      <c r="BA39" s="117"/>
      <c r="BB39" s="154">
        <f t="shared" si="18"/>
        <v>41.982899149149539</v>
      </c>
      <c r="BD39" s="154">
        <f t="shared" si="19"/>
        <v>14.717143558624464</v>
      </c>
      <c r="BF39" s="153">
        <f t="shared" si="10"/>
        <v>2195.6935613468031</v>
      </c>
      <c r="BH39" s="157"/>
    </row>
    <row r="40" spans="2:60" ht="12">
      <c r="B40" s="2"/>
      <c r="C40">
        <f>+IF(C39&gt;$G$13+$G$14,XX,C39+1)</f>
        <v>2017</v>
      </c>
      <c r="E40" s="169">
        <f>IF(AND(C40&gt;=2003,C40&lt;=2010),'(2.2)_Forward_Price_Curve'!$DA$48,IF(AND(C40&gt;=2011,C40&lt;=2020),'(2.2)_Forward_Price_Curve'!$DA$49,'(2.2)_Forward_Price_Curve'!$DA$50))</f>
        <v>2.9399999999999999E-2</v>
      </c>
      <c r="G40" s="18">
        <f t="shared" si="11"/>
        <v>175000</v>
      </c>
      <c r="I40" s="28">
        <f t="shared" si="12"/>
        <v>0</v>
      </c>
      <c r="K40" s="28">
        <v>59.25</v>
      </c>
      <c r="M40" s="28">
        <f t="shared" si="13"/>
        <v>0</v>
      </c>
      <c r="O40" s="270">
        <f>'(2.2)_Forward_Price_Curve'!Y31</f>
        <v>6.1140068044318197</v>
      </c>
      <c r="Q40" s="28"/>
      <c r="S40" s="18">
        <f t="shared" si="5"/>
        <v>11438.70119077557</v>
      </c>
      <c r="U40" s="18">
        <f t="shared" si="0"/>
        <v>9590.4338281585206</v>
      </c>
      <c r="W40" s="18">
        <f t="shared" si="1"/>
        <v>1848.267362617049</v>
      </c>
      <c r="Y40" s="271">
        <f t="shared" si="6"/>
        <v>10.561527786383136</v>
      </c>
      <c r="Z40" s="235"/>
      <c r="AB40" s="146">
        <f>+IF(AB39&gt;$G$13+$G$14,XX,AB39+1)</f>
        <v>2017</v>
      </c>
      <c r="AC40" s="117"/>
      <c r="AD40" s="151">
        <f t="shared" si="2"/>
        <v>175000</v>
      </c>
      <c r="AF40" s="154">
        <f t="shared" si="14"/>
        <v>73.659897954723448</v>
      </c>
      <c r="AH40" s="154">
        <f t="shared" si="15"/>
        <v>14.417885134671774</v>
      </c>
      <c r="AJ40" s="154">
        <f t="shared" si="16"/>
        <v>4.2240904851771459</v>
      </c>
      <c r="AL40" s="153">
        <f t="shared" si="7"/>
        <v>4415.3072579852014</v>
      </c>
      <c r="AN40" s="154">
        <f>INDEX('(2.2)_Forward_Price_Curve'!$H:$H,MATCH($AB40,'(2.2)_Forward_Price_Curve'!$C:$C,0),1)</f>
        <v>5.1620833333333334</v>
      </c>
      <c r="AP40" s="154">
        <f t="shared" si="8"/>
        <v>39.224950555555559</v>
      </c>
      <c r="AR40" s="154">
        <f t="shared" si="17"/>
        <v>3.2628981428656938</v>
      </c>
      <c r="AS40" s="154"/>
      <c r="AT40" s="153">
        <f t="shared" si="3"/>
        <v>2155.0603059348018</v>
      </c>
      <c r="AV40" s="153">
        <f t="shared" si="4"/>
        <v>7435.3735222237192</v>
      </c>
      <c r="AW40" s="273"/>
      <c r="AX40" s="155">
        <f t="shared" si="9"/>
        <v>9590.4338281585206</v>
      </c>
      <c r="AZ40" s="146">
        <f>+IF(AZ39&gt;$G$13+$G$14,XX,AZ39+1)</f>
        <v>2017</v>
      </c>
      <c r="BA40" s="117"/>
      <c r="BB40" s="154">
        <f t="shared" si="18"/>
        <v>43.217196384134539</v>
      </c>
      <c r="BD40" s="154">
        <f t="shared" si="19"/>
        <v>15.149827579248024</v>
      </c>
      <c r="BF40" s="153">
        <f t="shared" si="10"/>
        <v>2260.2469520503996</v>
      </c>
      <c r="BH40" s="157"/>
    </row>
    <row r="41" spans="2:60" ht="12">
      <c r="B41" s="2"/>
      <c r="C41">
        <f>+IF(C40&gt;$G$13+$G$14,XX,C40+1)</f>
        <v>2018</v>
      </c>
      <c r="E41" s="169">
        <f>IF(AND(C41&gt;=2003,C41&lt;=2010),'(2.2)_Forward_Price_Curve'!$DA$48,IF(AND(C41&gt;=2011,C41&lt;=2020),'(2.2)_Forward_Price_Curve'!$DA$49,'(2.2)_Forward_Price_Curve'!$DA$50))</f>
        <v>2.9399999999999999E-2</v>
      </c>
      <c r="G41" s="18">
        <f t="shared" si="11"/>
        <v>175000</v>
      </c>
      <c r="I41" s="28">
        <f t="shared" si="12"/>
        <v>0</v>
      </c>
      <c r="K41" s="28">
        <v>59.91</v>
      </c>
      <c r="M41" s="28">
        <f t="shared" si="13"/>
        <v>0</v>
      </c>
      <c r="O41" s="270">
        <f>'(2.2)_Forward_Price_Curve'!Y32</f>
        <v>6.2240589269115922</v>
      </c>
      <c r="Q41" s="28"/>
      <c r="S41" s="18">
        <f t="shared" si="5"/>
        <v>11573.460312209529</v>
      </c>
      <c r="U41" s="18">
        <f t="shared" si="0"/>
        <v>9898.3027537647158</v>
      </c>
      <c r="W41" s="18">
        <f t="shared" si="1"/>
        <v>1675.1575584448128</v>
      </c>
      <c r="Y41" s="271">
        <f t="shared" si="6"/>
        <v>9.5723289053989316</v>
      </c>
      <c r="Z41" s="235"/>
      <c r="AB41" s="146">
        <f>+IF(AB40&gt;$G$13+$G$14,XX,AB40+1)</f>
        <v>2018</v>
      </c>
      <c r="AC41" s="117"/>
      <c r="AD41" s="151">
        <f t="shared" si="2"/>
        <v>175000</v>
      </c>
      <c r="AF41" s="154">
        <f t="shared" si="14"/>
        <v>75.825498954592319</v>
      </c>
      <c r="AH41" s="154">
        <f t="shared" si="15"/>
        <v>14.841770957631125</v>
      </c>
      <c r="AJ41" s="154">
        <f t="shared" si="16"/>
        <v>4.3482787454413545</v>
      </c>
      <c r="AL41" s="153">
        <f t="shared" si="7"/>
        <v>4545.1172913699675</v>
      </c>
      <c r="AN41" s="154">
        <f>INDEX('(2.2)_Forward_Price_Curve'!$H:$H,MATCH($AB41,'(2.2)_Forward_Price_Curve'!$C:$C,0),1)</f>
        <v>5.333333333333333</v>
      </c>
      <c r="AP41" s="154">
        <f t="shared" si="8"/>
        <v>40.526222222222223</v>
      </c>
      <c r="AR41" s="154">
        <f t="shared" si="17"/>
        <v>3.3588273482659456</v>
      </c>
      <c r="AS41" s="154"/>
      <c r="AT41" s="153">
        <f t="shared" si="3"/>
        <v>2218.4190789292861</v>
      </c>
      <c r="AV41" s="153">
        <f t="shared" si="4"/>
        <v>7679.8836748354297</v>
      </c>
      <c r="AW41" s="273"/>
      <c r="AX41" s="155">
        <f t="shared" si="9"/>
        <v>9898.3027537647158</v>
      </c>
      <c r="AZ41" s="146">
        <f>+IF(AZ40&gt;$G$13+$G$14,XX,AZ40+1)</f>
        <v>2018</v>
      </c>
      <c r="BA41" s="117"/>
      <c r="BB41" s="154">
        <f t="shared" si="18"/>
        <v>44.487781957828098</v>
      </c>
      <c r="BD41" s="154">
        <f t="shared" si="19"/>
        <v>15.595232510077917</v>
      </c>
      <c r="BF41" s="153">
        <f t="shared" si="10"/>
        <v>2326.6982124406813</v>
      </c>
      <c r="BH41" s="157"/>
    </row>
    <row r="42" spans="2:60" ht="12">
      <c r="B42" s="2"/>
      <c r="C42">
        <f>+IF(C41&gt;$G$13+$G$14,XX,C41+1)</f>
        <v>2019</v>
      </c>
      <c r="E42" s="169">
        <f>IF(AND(C42&gt;=2003,C42&lt;=2010),'(2.2)_Forward_Price_Curve'!$DA$48,IF(AND(C42&gt;=2011,C42&lt;=2020),'(2.2)_Forward_Price_Curve'!$DA$49,'(2.2)_Forward_Price_Curve'!$DA$50))</f>
        <v>2.9399999999999999E-2</v>
      </c>
      <c r="G42" s="18">
        <f t="shared" si="11"/>
        <v>175000</v>
      </c>
      <c r="I42" s="28">
        <f t="shared" si="12"/>
        <v>0</v>
      </c>
      <c r="K42" s="28">
        <v>60.6</v>
      </c>
      <c r="M42" s="28">
        <f t="shared" si="13"/>
        <v>0</v>
      </c>
      <c r="O42" s="270">
        <f>'(2.2)_Forward_Price_Curve'!Y33</f>
        <v>6.3360919875960011</v>
      </c>
      <c r="Q42" s="28"/>
      <c r="S42" s="18">
        <f t="shared" si="5"/>
        <v>11713.816097829302</v>
      </c>
      <c r="U42" s="18">
        <f t="shared" si="0"/>
        <v>10222.379719169841</v>
      </c>
      <c r="W42" s="18">
        <f t="shared" si="1"/>
        <v>1491.4363786594604</v>
      </c>
      <c r="Y42" s="271">
        <f t="shared" si="6"/>
        <v>8.5224935923397744</v>
      </c>
      <c r="Z42" s="235"/>
      <c r="AB42" s="146">
        <f>+IF(AB41&gt;$G$13+$G$14,XX,AB41+1)</f>
        <v>2019</v>
      </c>
      <c r="AC42" s="117"/>
      <c r="AD42" s="151">
        <f t="shared" si="2"/>
        <v>175000</v>
      </c>
      <c r="AF42" s="154">
        <f t="shared" si="14"/>
        <v>78.054768623857342</v>
      </c>
      <c r="AH42" s="154">
        <f t="shared" si="15"/>
        <v>15.278119023785482</v>
      </c>
      <c r="AJ42" s="154">
        <f t="shared" si="16"/>
        <v>4.4761181405573307</v>
      </c>
      <c r="AL42" s="153">
        <f t="shared" si="7"/>
        <v>4678.7437397362437</v>
      </c>
      <c r="AN42" s="154">
        <f>INDEX('(2.2)_Forward_Price_Curve'!$H:$H,MATCH($AB42,'(2.2)_Forward_Price_Curve'!$C:$C,0),1)</f>
        <v>5.5149999999999997</v>
      </c>
      <c r="AP42" s="154">
        <f t="shared" si="8"/>
        <v>41.906646666666667</v>
      </c>
      <c r="AR42" s="154">
        <f t="shared" si="17"/>
        <v>3.4575768723049647</v>
      </c>
      <c r="AS42" s="154"/>
      <c r="AT42" s="153">
        <f t="shared" si="3"/>
        <v>2283.6405998498062</v>
      </c>
      <c r="AV42" s="153">
        <f t="shared" si="4"/>
        <v>7938.7391193200347</v>
      </c>
      <c r="AW42" s="273"/>
      <c r="AX42" s="155">
        <f t="shared" si="9"/>
        <v>10222.379719169841</v>
      </c>
      <c r="AZ42" s="146">
        <f>+IF(AZ41&gt;$G$13+$G$14,XX,AZ41+1)</f>
        <v>2019</v>
      </c>
      <c r="BA42" s="117"/>
      <c r="BB42" s="154">
        <f t="shared" si="18"/>
        <v>45.795722747388247</v>
      </c>
      <c r="BD42" s="154">
        <f t="shared" si="19"/>
        <v>16.053732345874209</v>
      </c>
      <c r="BF42" s="153">
        <f t="shared" si="10"/>
        <v>2395.1031398864375</v>
      </c>
      <c r="BH42" s="157"/>
    </row>
    <row r="43" spans="2:60" ht="12">
      <c r="B43" s="2"/>
      <c r="C43">
        <f>+IF(C42&gt;$G$13+$G$14,XX,C42+1)</f>
        <v>2020</v>
      </c>
      <c r="E43" s="169">
        <f>IF(AND(C43&gt;=2003,C43&lt;=2010),'(2.2)_Forward_Price_Curve'!$DA$48,IF(AND(C43&gt;=2011,C43&lt;=2020),'(2.2)_Forward_Price_Curve'!$DA$49,'(2.2)_Forward_Price_Curve'!$DA$50))</f>
        <v>2.9399999999999999E-2</v>
      </c>
      <c r="G43" s="18">
        <f t="shared" si="11"/>
        <v>175000</v>
      </c>
      <c r="I43" s="28">
        <f t="shared" si="12"/>
        <v>0</v>
      </c>
      <c r="K43" s="28">
        <v>61.3</v>
      </c>
      <c r="M43" s="28">
        <f t="shared" si="13"/>
        <v>0</v>
      </c>
      <c r="O43" s="270">
        <f>'(2.2)_Forward_Price_Curve'!Y34</f>
        <v>6.4501416433727297</v>
      </c>
      <c r="Q43" s="28"/>
      <c r="S43" s="18">
        <f t="shared" si="5"/>
        <v>11856.274787590228</v>
      </c>
      <c r="U43" s="18">
        <f t="shared" ref="U43:U46" si="20">AX43</f>
        <v>10556.639235813436</v>
      </c>
      <c r="W43" s="18">
        <f t="shared" ref="W43:W46" si="21">S43-U43</f>
        <v>1299.6355517767915</v>
      </c>
      <c r="Y43" s="271">
        <f t="shared" ref="Y43:Y46" si="22">+W43*1000/G43</f>
        <v>7.4264888672959515</v>
      </c>
      <c r="Z43" s="235"/>
      <c r="AB43" s="146">
        <f>+IF(AB42&gt;$G$13+$G$14,XX,AB42+1)</f>
        <v>2020</v>
      </c>
      <c r="AC43" s="117"/>
      <c r="AD43" s="151">
        <f t="shared" ref="AD43:AD46" si="23">G43</f>
        <v>175000</v>
      </c>
      <c r="AF43" s="154">
        <f t="shared" si="14"/>
        <v>80.349578821398751</v>
      </c>
      <c r="AH43" s="154">
        <f t="shared" si="15"/>
        <v>15.727295723084778</v>
      </c>
      <c r="AJ43" s="154">
        <f t="shared" si="16"/>
        <v>4.6077160138897169</v>
      </c>
      <c r="AL43" s="153">
        <f t="shared" ref="AL43:AL46" si="24">((AF43+AH43)*$AF$11*1000+AJ43*AD43)/1000</f>
        <v>4816.2988056844897</v>
      </c>
      <c r="AN43" s="154">
        <f>INDEX('(2.2)_Forward_Price_Curve'!$H:$H,MATCH($AB43,'(2.2)_Forward_Price_Curve'!$C:$C,0),1)</f>
        <v>5.7024999999999997</v>
      </c>
      <c r="AP43" s="154">
        <f t="shared" ref="AP43:AP46" si="25">AN43*$AF$14/1000</f>
        <v>43.331396666666677</v>
      </c>
      <c r="AR43" s="154">
        <f t="shared" si="17"/>
        <v>3.5592296323507311</v>
      </c>
      <c r="AS43" s="154"/>
      <c r="AT43" s="153">
        <f t="shared" ref="AT43:AT46" si="26">AL43-BF43</f>
        <v>2350.7796334853911</v>
      </c>
      <c r="AV43" s="153">
        <f t="shared" ref="AV43:AV46" si="27">(AP43+AR43)*AD43/1000</f>
        <v>8205.8596023280461</v>
      </c>
      <c r="AW43" s="273"/>
      <c r="AX43" s="155">
        <f t="shared" ref="AX43:AX46" si="28">AT43+AV43</f>
        <v>10556.639235813436</v>
      </c>
      <c r="AZ43" s="146">
        <f>+IF(AZ42&gt;$G$13+$G$14,XX,AZ42+1)</f>
        <v>2020</v>
      </c>
      <c r="BA43" s="117"/>
      <c r="BB43" s="154">
        <f t="shared" si="18"/>
        <v>47.142116996161462</v>
      </c>
      <c r="BD43" s="154">
        <f t="shared" si="19"/>
        <v>16.525712076842911</v>
      </c>
      <c r="BF43" s="153">
        <f t="shared" ref="BF43:BF46" si="29">(BB43+BD43)*$BD$11</f>
        <v>2465.5191721990986</v>
      </c>
      <c r="BH43" s="157"/>
    </row>
    <row r="44" spans="2:60" ht="12">
      <c r="B44" s="2"/>
      <c r="C44">
        <f>+IF(C43&gt;$G$13+$G$14,XX,C43+1)</f>
        <v>2021</v>
      </c>
      <c r="E44" s="169">
        <f>IF(AND(C44&gt;=2003,C44&lt;=2010),'(2.2)_Forward_Price_Curve'!$DA$48,IF(AND(C44&gt;=2011,C44&lt;=2020),'(2.2)_Forward_Price_Curve'!$DA$49,'(2.2)_Forward_Price_Curve'!$DA$50))</f>
        <v>3.4799999999999998E-2</v>
      </c>
      <c r="G44" s="18">
        <f t="shared" si="11"/>
        <v>175000</v>
      </c>
      <c r="I44" s="28">
        <f t="shared" si="12"/>
        <v>0</v>
      </c>
      <c r="K44" s="28">
        <v>62.03</v>
      </c>
      <c r="M44" s="28">
        <f t="shared" si="13"/>
        <v>0</v>
      </c>
      <c r="O44" s="270">
        <f>'(2.2)_Forward_Price_Curve'!Y35</f>
        <v>6.5662441929534392</v>
      </c>
      <c r="Q44" s="28"/>
      <c r="S44" s="18">
        <f t="shared" si="5"/>
        <v>12004.342733766853</v>
      </c>
      <c r="U44" s="18">
        <f t="shared" si="20"/>
        <v>10916.656228297519</v>
      </c>
      <c r="W44" s="18">
        <f t="shared" si="21"/>
        <v>1087.6865054693335</v>
      </c>
      <c r="Y44" s="271">
        <f t="shared" si="22"/>
        <v>6.2153514598247623</v>
      </c>
      <c r="Z44" s="235"/>
      <c r="AB44" s="146">
        <f>+IF(AB43&gt;$G$13+$G$14,XX,AB43+1)</f>
        <v>2021</v>
      </c>
      <c r="AC44" s="117"/>
      <c r="AD44" s="151">
        <f t="shared" si="23"/>
        <v>175000</v>
      </c>
      <c r="AF44" s="154">
        <f t="shared" si="14"/>
        <v>83.145744164383416</v>
      </c>
      <c r="AH44" s="154">
        <f t="shared" si="15"/>
        <v>16.274605614248127</v>
      </c>
      <c r="AJ44" s="154">
        <f t="shared" si="16"/>
        <v>4.7680645311730787</v>
      </c>
      <c r="AL44" s="153">
        <f t="shared" si="24"/>
        <v>4983.9060041223102</v>
      </c>
      <c r="AN44" s="154">
        <f>INDEX('(2.2)_Forward_Price_Curve'!$H:$H,MATCH($AB44,'(2.2)_Forward_Price_Curve'!$C:$C,0),1)</f>
        <v>5.8954166666666659</v>
      </c>
      <c r="AP44" s="154">
        <f t="shared" si="25"/>
        <v>44.797306111111112</v>
      </c>
      <c r="AR44" s="154">
        <f t="shared" si="17"/>
        <v>3.6830908235565363</v>
      </c>
      <c r="AS44" s="154"/>
      <c r="AT44" s="153">
        <f t="shared" si="26"/>
        <v>2432.5867647306827</v>
      </c>
      <c r="AV44" s="153">
        <f t="shared" si="27"/>
        <v>8484.0694635668369</v>
      </c>
      <c r="AW44" s="273"/>
      <c r="AX44" s="155">
        <f t="shared" si="28"/>
        <v>10916.656228297519</v>
      </c>
      <c r="AZ44" s="146">
        <f>+IF(AZ43&gt;$G$13+$G$14,XX,AZ43+1)</f>
        <v>2021</v>
      </c>
      <c r="BA44" s="117"/>
      <c r="BB44" s="154">
        <f t="shared" si="18"/>
        <v>48.782662667627875</v>
      </c>
      <c r="BD44" s="154">
        <f t="shared" si="19"/>
        <v>17.100806857117043</v>
      </c>
      <c r="BF44" s="153">
        <f t="shared" si="29"/>
        <v>2551.3192393916274</v>
      </c>
      <c r="BH44" s="157"/>
    </row>
    <row r="45" spans="2:60" ht="12">
      <c r="B45" s="2"/>
      <c r="C45">
        <f>+IF(C44&gt;$G$13+$G$14,XX,C44+1)</f>
        <v>2022</v>
      </c>
      <c r="E45" s="169">
        <f>IF(AND(C45&gt;=2003,C45&lt;=2010),'(2.2)_Forward_Price_Curve'!$DA$48,IF(AND(C45&gt;=2011,C45&lt;=2020),'(2.2)_Forward_Price_Curve'!$DA$49,'(2.2)_Forward_Price_Curve'!$DA$50))</f>
        <v>3.4799999999999998E-2</v>
      </c>
      <c r="G45" s="18">
        <f t="shared" si="11"/>
        <v>175000</v>
      </c>
      <c r="I45" s="28">
        <f t="shared" si="12"/>
        <v>0</v>
      </c>
      <c r="K45" s="28">
        <v>62.78</v>
      </c>
      <c r="M45" s="28">
        <f t="shared" si="13"/>
        <v>0</v>
      </c>
      <c r="O45" s="270">
        <f>'(2.2)_Forward_Price_Curve'!Y36</f>
        <v>6.6910028326195539</v>
      </c>
      <c r="Q45" s="28"/>
      <c r="S45" s="18">
        <f t="shared" si="5"/>
        <v>12157.425495708423</v>
      </c>
      <c r="U45" s="18">
        <f t="shared" si="20"/>
        <v>11300.220923603389</v>
      </c>
      <c r="W45" s="18">
        <f t="shared" si="21"/>
        <v>857.20457210503446</v>
      </c>
      <c r="Y45" s="271">
        <f t="shared" si="22"/>
        <v>4.8983118406001971</v>
      </c>
      <c r="Z45" s="235"/>
      <c r="AB45" s="146">
        <f>+IF(AB44&gt;$G$13+$G$14,XX,AB44+1)</f>
        <v>2022</v>
      </c>
      <c r="AC45" s="117"/>
      <c r="AD45" s="151">
        <f t="shared" si="23"/>
        <v>175000</v>
      </c>
      <c r="AF45" s="154">
        <f t="shared" si="14"/>
        <v>86.039216061303961</v>
      </c>
      <c r="AH45" s="154">
        <f t="shared" si="15"/>
        <v>16.840961889623962</v>
      </c>
      <c r="AJ45" s="154">
        <f t="shared" si="16"/>
        <v>4.9339931768579017</v>
      </c>
      <c r="AL45" s="153">
        <f t="shared" si="24"/>
        <v>5157.345933065767</v>
      </c>
      <c r="AN45" s="154">
        <f>INDEX('(2.2)_Forward_Price_Curve'!$H:$H,MATCH($AB45,'(2.2)_Forward_Price_Curve'!$C:$C,0),1)</f>
        <v>6.1033333333333344</v>
      </c>
      <c r="AP45" s="154">
        <f t="shared" si="25"/>
        <v>46.377195555555566</v>
      </c>
      <c r="AR45" s="154">
        <f t="shared" si="17"/>
        <v>3.8112623842163034</v>
      </c>
      <c r="AS45" s="154"/>
      <c r="AT45" s="153">
        <f t="shared" si="26"/>
        <v>2517.2407841433114</v>
      </c>
      <c r="AV45" s="153">
        <f t="shared" si="27"/>
        <v>8782.9801394600781</v>
      </c>
      <c r="AW45" s="273"/>
      <c r="AX45" s="155">
        <f t="shared" si="28"/>
        <v>11300.220923603389</v>
      </c>
      <c r="AZ45" s="146">
        <f>+IF(AZ44&gt;$G$13+$G$14,XX,AZ44+1)</f>
        <v>2022</v>
      </c>
      <c r="BA45" s="117"/>
      <c r="BB45" s="154">
        <f t="shared" si="18"/>
        <v>50.480299328461321</v>
      </c>
      <c r="BD45" s="154">
        <f t="shared" si="19"/>
        <v>17.695914935744714</v>
      </c>
      <c r="BF45" s="153">
        <f t="shared" si="29"/>
        <v>2640.1051489224556</v>
      </c>
      <c r="BH45" s="157"/>
    </row>
    <row r="46" spans="2:60" ht="12">
      <c r="B46" s="2"/>
      <c r="C46">
        <f>+IF(C45&gt;$G$13+$G$14,XX,C45+1)</f>
        <v>2023</v>
      </c>
      <c r="E46" s="169">
        <f>IF(AND(C46&gt;=2003,C46&lt;=2010),'(2.2)_Forward_Price_Curve'!$DA$48,IF(AND(C46&gt;=2011,C46&lt;=2020),'(2.2)_Forward_Price_Curve'!$DA$49,'(2.2)_Forward_Price_Curve'!$DA$50))</f>
        <v>3.4799999999999998E-2</v>
      </c>
      <c r="G46" s="18">
        <f t="shared" si="11"/>
        <v>175000</v>
      </c>
      <c r="I46" s="28">
        <f t="shared" si="12"/>
        <v>0</v>
      </c>
      <c r="K46" s="28">
        <v>63.55</v>
      </c>
      <c r="M46" s="28">
        <f t="shared" si="13"/>
        <v>0</v>
      </c>
      <c r="O46" s="270">
        <f>'(2.2)_Forward_Price_Curve'!Y37</f>
        <v>6.8181318864393248</v>
      </c>
      <c r="Q46" s="28"/>
      <c r="S46" s="18">
        <f t="shared" si="5"/>
        <v>12314.423080126884</v>
      </c>
      <c r="U46" s="18">
        <f t="shared" si="20"/>
        <v>11692.498768589227</v>
      </c>
      <c r="W46" s="18">
        <f t="shared" si="21"/>
        <v>621.92431153765756</v>
      </c>
      <c r="Y46" s="271">
        <f t="shared" si="22"/>
        <v>3.5538532087866144</v>
      </c>
      <c r="Z46" s="235"/>
      <c r="AB46" s="146">
        <f>+IF(AB45&gt;$G$13+$G$14,XX,AB45+1)</f>
        <v>2023</v>
      </c>
      <c r="AC46" s="117"/>
      <c r="AD46" s="151">
        <f t="shared" si="23"/>
        <v>175000</v>
      </c>
      <c r="AF46" s="154">
        <f t="shared" si="14"/>
        <v>89.033380780237337</v>
      </c>
      <c r="AH46" s="154">
        <f t="shared" si="15"/>
        <v>17.427027363382877</v>
      </c>
      <c r="AJ46" s="154">
        <f t="shared" si="16"/>
        <v>5.1056961394125562</v>
      </c>
      <c r="AL46" s="153">
        <f t="shared" si="24"/>
        <v>5336.8215715364549</v>
      </c>
      <c r="AN46" s="154">
        <f>INDEX('(2.2)_Forward_Price_Curve'!$H:$H,MATCH($AB46,'(2.2)_Forward_Price_Curve'!$C:$C,0),1)</f>
        <v>6.3149999999999986</v>
      </c>
      <c r="AP46" s="154">
        <f t="shared" si="25"/>
        <v>47.985579999999992</v>
      </c>
      <c r="AR46" s="154">
        <f t="shared" si="17"/>
        <v>3.9438943151870305</v>
      </c>
      <c r="AS46" s="154"/>
      <c r="AT46" s="153">
        <f t="shared" si="26"/>
        <v>2604.8407634314981</v>
      </c>
      <c r="AV46" s="153">
        <f t="shared" si="27"/>
        <v>9087.6580051577293</v>
      </c>
      <c r="AW46" s="273"/>
      <c r="AX46" s="155">
        <f t="shared" si="28"/>
        <v>11692.498768589227</v>
      </c>
      <c r="AZ46" s="146">
        <f>+IF(AZ45&gt;$G$13+$G$14,XX,AZ45+1)</f>
        <v>2023</v>
      </c>
      <c r="BA46" s="117"/>
      <c r="BB46" s="154">
        <f t="shared" si="18"/>
        <v>52.237013745091772</v>
      </c>
      <c r="BD46" s="154">
        <f t="shared" si="19"/>
        <v>18.311732775508627</v>
      </c>
      <c r="BF46" s="153">
        <f t="shared" si="29"/>
        <v>2731.9808081049569</v>
      </c>
      <c r="BH46" s="157"/>
    </row>
    <row r="47" spans="2:60" ht="12">
      <c r="B47" s="2"/>
      <c r="C47">
        <f>+IF(C46&gt;$G$13+$G$14,XX,C46+1)</f>
        <v>2024</v>
      </c>
      <c r="E47" s="169">
        <f>IF(AND(C47&gt;=2003,C47&lt;=2010),'(2.2)_Forward_Price_Curve'!$DA$48,IF(AND(C47&gt;=2011,C47&lt;=2020),'(2.2)_Forward_Price_Curve'!$DA$49,'(2.2)_Forward_Price_Curve'!$DA$50))</f>
        <v>3.4799999999999998E-2</v>
      </c>
      <c r="G47" s="18">
        <f t="shared" si="11"/>
        <v>175000</v>
      </c>
      <c r="I47" s="28">
        <f t="shared" si="12"/>
        <v>0</v>
      </c>
      <c r="K47" s="28">
        <v>64.34</v>
      </c>
      <c r="M47" s="28">
        <f t="shared" si="13"/>
        <v>0</v>
      </c>
      <c r="O47" s="270">
        <f>'(2.2)_Forward_Price_Curve'!Y38</f>
        <v>6.9476763922816716</v>
      </c>
      <c r="Q47" s="28"/>
      <c r="S47" s="18">
        <f t="shared" si="5"/>
        <v>12475.343368649294</v>
      </c>
      <c r="U47" s="18">
        <f t="shared" ref="U47:U48" si="30">AX47</f>
        <v>12102.484557425023</v>
      </c>
      <c r="W47" s="18">
        <f t="shared" ref="W47:W48" si="31">S47-U47</f>
        <v>372.85881122427054</v>
      </c>
      <c r="Y47" s="271">
        <f t="shared" ref="Y47:Y48" si="32">+W47*1000/G47</f>
        <v>2.1306217784244033</v>
      </c>
      <c r="Z47" s="235"/>
      <c r="AB47" s="146">
        <f>+IF(AB46&gt;$G$13+$G$14,XX,AB46+1)</f>
        <v>2024</v>
      </c>
      <c r="AC47" s="117"/>
      <c r="AD47" s="151">
        <f t="shared" ref="AD47:AD48" si="33">G47</f>
        <v>175000</v>
      </c>
      <c r="AF47" s="154">
        <f t="shared" si="14"/>
        <v>92.131742431389597</v>
      </c>
      <c r="AH47" s="154">
        <f t="shared" si="15"/>
        <v>18.033487915628598</v>
      </c>
      <c r="AJ47" s="154">
        <f t="shared" si="16"/>
        <v>5.2833743650641125</v>
      </c>
      <c r="AL47" s="153">
        <f t="shared" ref="AL47:AL48" si="34">((AF47+AH47)*$AF$11*1000+AJ47*AD47)/1000</f>
        <v>5522.5429622259235</v>
      </c>
      <c r="AN47" s="154">
        <f>INDEX('(2.2)_Forward_Price_Curve'!$H:$H,MATCH($AB47,'(2.2)_Forward_Price_Curve'!$C:$C,0),1)</f>
        <v>6.5370833333333325</v>
      </c>
      <c r="AP47" s="154">
        <f t="shared" ref="AP47:AP48" si="35">AN47*$AF$14/1000</f>
        <v>49.673117222222224</v>
      </c>
      <c r="AR47" s="154">
        <f t="shared" si="17"/>
        <v>4.0811418373555393</v>
      </c>
      <c r="AS47" s="154"/>
      <c r="AT47" s="153">
        <f t="shared" ref="AT47:AT48" si="36">AL47-BF47</f>
        <v>2695.4892219989142</v>
      </c>
      <c r="AV47" s="153">
        <f t="shared" ref="AV47:AV48" si="37">(AP47+AR47)*AD47/1000</f>
        <v>9406.9953354261088</v>
      </c>
      <c r="AW47" s="273"/>
      <c r="AX47" s="155">
        <f t="shared" ref="AX47:AX48" si="38">AT47+AV47</f>
        <v>12102.484557425023</v>
      </c>
      <c r="AZ47" s="146">
        <f>+IF(AZ46&gt;$G$13+$G$14,XX,AZ46+1)</f>
        <v>2024</v>
      </c>
      <c r="BA47" s="117"/>
      <c r="BB47" s="154">
        <f t="shared" si="18"/>
        <v>54.054861823420964</v>
      </c>
      <c r="BD47" s="154">
        <f t="shared" si="19"/>
        <v>18.948981076096327</v>
      </c>
      <c r="BF47" s="153">
        <f t="shared" ref="BF47:BF48" si="39">(BB47+BD47)*$BD$11</f>
        <v>2827.0537402270093</v>
      </c>
      <c r="BH47" s="157"/>
    </row>
    <row r="48" spans="2:60" ht="12">
      <c r="B48" s="2"/>
      <c r="C48">
        <f>+IF(C47&gt;$G$13+$G$14,XX,C47+1)</f>
        <v>2025</v>
      </c>
      <c r="E48" s="169">
        <f>IF(AND(C48&gt;=2003,C48&lt;=2010),'(2.2)_Forward_Price_Curve'!$DA$48,IF(AND(C48&gt;=2011,C48&lt;=2020),'(2.2)_Forward_Price_Curve'!$DA$49,'(2.2)_Forward_Price_Curve'!$DA$50))</f>
        <v>3.4799999999999998E-2</v>
      </c>
      <c r="G48" s="18">
        <f t="shared" si="11"/>
        <v>175000</v>
      </c>
      <c r="I48" s="28">
        <f t="shared" si="12"/>
        <v>0</v>
      </c>
      <c r="K48" s="28">
        <v>65.16</v>
      </c>
      <c r="M48" s="28">
        <f t="shared" si="13"/>
        <v>0</v>
      </c>
      <c r="O48" s="270">
        <f>'(2.2)_Forward_Price_Curve'!Y39</f>
        <v>7.0796822437350224</v>
      </c>
      <c r="Q48" s="28"/>
      <c r="S48" s="18">
        <f t="shared" si="5"/>
        <v>12641.944392653628</v>
      </c>
      <c r="U48" s="18">
        <f t="shared" si="30"/>
        <v>12524.771791695635</v>
      </c>
      <c r="W48" s="18">
        <f t="shared" si="31"/>
        <v>117.17260095799247</v>
      </c>
      <c r="Y48" s="271">
        <f t="shared" si="32"/>
        <v>0.66955771975995704</v>
      </c>
      <c r="Z48" s="235"/>
      <c r="AB48" s="146">
        <f>+IF(AB47&gt;$G$13+$G$14,XX,AB47+1)</f>
        <v>2025</v>
      </c>
      <c r="AC48" s="117"/>
      <c r="AD48" s="151">
        <f t="shared" si="33"/>
        <v>175000</v>
      </c>
      <c r="AF48" s="154">
        <f t="shared" si="14"/>
        <v>95.337927068001946</v>
      </c>
      <c r="AH48" s="154">
        <f t="shared" si="15"/>
        <v>18.661053295092472</v>
      </c>
      <c r="AJ48" s="154">
        <f t="shared" si="16"/>
        <v>5.4672357929683431</v>
      </c>
      <c r="AL48" s="153">
        <f t="shared" si="34"/>
        <v>5714.7274573113855</v>
      </c>
      <c r="AN48" s="154">
        <f>INDEX('(2.2)_Forward_Price_Curve'!$H:$H,MATCH($AB48,'(2.2)_Forward_Price_Curve'!$C:$C,0),1)</f>
        <v>6.765416666666666</v>
      </c>
      <c r="AP48" s="154">
        <f t="shared" si="35"/>
        <v>51.408146111111115</v>
      </c>
      <c r="AR48" s="154">
        <f t="shared" si="17"/>
        <v>4.2231655732955122</v>
      </c>
      <c r="AS48" s="154"/>
      <c r="AT48" s="153">
        <f t="shared" si="36"/>
        <v>2789.2922469244763</v>
      </c>
      <c r="AV48" s="153">
        <f t="shared" si="37"/>
        <v>9735.4795447711585</v>
      </c>
      <c r="AW48" s="273"/>
      <c r="AX48" s="155">
        <f t="shared" si="38"/>
        <v>12524.771791695635</v>
      </c>
      <c r="AZ48" s="146">
        <f>+IF(AZ47&gt;$G$13+$G$14,XX,AZ47+1)</f>
        <v>2025</v>
      </c>
      <c r="BA48" s="117"/>
      <c r="BB48" s="154">
        <f t="shared" si="18"/>
        <v>55.93597101487601</v>
      </c>
      <c r="BD48" s="154">
        <f t="shared" si="19"/>
        <v>19.608405617544477</v>
      </c>
      <c r="BF48" s="153">
        <f t="shared" si="39"/>
        <v>2925.4352103869091</v>
      </c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C50" s="276" t="str">
        <f>G14&amp;"-year Nominal Levelized at "&amp;TEXT($G$18,"#.00%")</f>
        <v>21-year Nominal Levelized at 8.70%</v>
      </c>
      <c r="E50" s="169"/>
      <c r="G50" s="285">
        <f>+-PMT($G$18,$G$14,NPV($G$18,G28:G48))</f>
        <v>175000.00000000003</v>
      </c>
      <c r="I50" s="28">
        <f>+-PMT($G$18,$G$14,NPV($G$18,I28:I42))</f>
        <v>0</v>
      </c>
      <c r="J50" s="28"/>
      <c r="K50" s="28">
        <f>+-PMT($G$18,$G$14,NPV($G$18,K28:K48))</f>
        <v>56.574502069884204</v>
      </c>
      <c r="M50" s="28">
        <f>+-PMT($G$18,$G$14,NPV($G$18,M28:M43))</f>
        <v>0</v>
      </c>
      <c r="O50" s="28">
        <f>+-PMT($G$18,$G$14,NPV($G$18,O28:O48))</f>
        <v>5.6161583278024132</v>
      </c>
      <c r="Q50" s="28">
        <f>+-PMT($G$18,$G$14,NPV($G$18,Q28:Q42))</f>
        <v>0</v>
      </c>
      <c r="S50" s="285">
        <f>+-PMT($G$18,$G$14,NPV($G$18,S28:S48))</f>
        <v>10883.36556959516</v>
      </c>
      <c r="U50" s="285">
        <f>+-PMT($G$18,$G$14,NPV($G$18,U28:U48))</f>
        <v>9016.4648363367778</v>
      </c>
      <c r="W50" s="285">
        <f>+-PMT($G$18,$G$14,NPV($G$18,W28:W48))</f>
        <v>1866.9007332583785</v>
      </c>
      <c r="Y50" s="285">
        <f>+-PMT($G$18,$G$14,NPV($G$18,Y28:Y48))</f>
        <v>10.668004190047878</v>
      </c>
      <c r="Z50" s="235"/>
      <c r="AB50" s="2"/>
      <c r="AD50" s="412">
        <f>+-PMT($G$18,$G$14,NPV($G$18,AD28:AD48))</f>
        <v>175000.00000000003</v>
      </c>
      <c r="AF50" s="154">
        <f>+-PMT($G$18,$G$14,NPV($G$18,AF28:AF48))</f>
        <v>65.555506160470017</v>
      </c>
      <c r="AH50" s="154">
        <f>+-PMT($G$18,$G$14,NPV($G$18,AH28:AH48))</f>
        <v>12.831564854296891</v>
      </c>
      <c r="AJ50" s="154">
        <f>+-PMT($G$18,$G$14,NPV($G$18,AJ28:AJ48))</f>
        <v>3.759337136112014</v>
      </c>
      <c r="AL50" s="153">
        <f>+-PMT($G$18,$G$14,NPV($G$18,AL28:AL48))</f>
        <v>3929.5153833790509</v>
      </c>
      <c r="AN50" s="154">
        <f>+-PMT($G$18,$G$14,NPV($G$18,AN28:AN48))</f>
        <v>4.9560059453711212</v>
      </c>
      <c r="AP50" s="154">
        <f>+-PMT($G$18,$G$14,NPV($G$18,AP28:AP48))</f>
        <v>37.659037176893371</v>
      </c>
      <c r="AR50" s="154">
        <f>+-PMT($G$18,$G$14,NPV($G$18,AR28:AR48))</f>
        <v>2.9038994791588877</v>
      </c>
      <c r="AS50" s="154"/>
      <c r="AT50" s="153">
        <f>+-PMT($G$18,$G$14,NPV($G$18,AT28:AT48))</f>
        <v>1917.9509215276348</v>
      </c>
      <c r="AV50" s="153">
        <f>+-PMT($G$18,$G$14,NPV($G$18,AV28:AV48))</f>
        <v>7098.5139148091466</v>
      </c>
      <c r="AW50" s="273"/>
      <c r="AX50" s="155">
        <f>+-PMT($G$18,$G$14,NPV($G$18,AX28:AX48))</f>
        <v>9016.4648363367778</v>
      </c>
      <c r="AZ50" s="2"/>
      <c r="BB50" s="154">
        <f>+-PMT($G$18,$G$14,NPV($G$18,BB28:BB48))</f>
        <v>38.462246927626929</v>
      </c>
      <c r="BD50" s="154">
        <f>+-PMT($G$18,$G$14,NPV($G$18,BD28:BD48))</f>
        <v>13.482975713758325</v>
      </c>
      <c r="BF50" s="153">
        <f>+-PMT($G$18,$G$14,NPV($G$18,BF28:BF48))</f>
        <v>2011.564461851417</v>
      </c>
      <c r="BH50" s="157"/>
    </row>
    <row r="51" spans="2:60">
      <c r="B51" s="2"/>
      <c r="E51" s="169"/>
      <c r="W51" s="18"/>
      <c r="Y51" s="271"/>
      <c r="Z51" s="235"/>
      <c r="AB51" s="2"/>
      <c r="AT51" s="273"/>
      <c r="AX51" s="235"/>
      <c r="AZ51" s="2"/>
      <c r="BH51" s="235"/>
    </row>
    <row r="52" spans="2:60">
      <c r="B52" s="238"/>
      <c r="C52" s="277"/>
      <c r="D52" s="277"/>
      <c r="E52" s="278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277"/>
      <c r="W52" s="277"/>
      <c r="X52" s="277"/>
      <c r="Y52" s="277"/>
      <c r="Z52" s="239"/>
      <c r="AB52" s="238"/>
      <c r="AC52" s="277"/>
      <c r="AD52" s="277"/>
      <c r="AE52" s="277"/>
      <c r="AF52" s="277"/>
      <c r="AG52" s="277"/>
      <c r="AH52" s="277"/>
      <c r="AI52" s="277"/>
      <c r="AJ52" s="277"/>
      <c r="AK52" s="277"/>
      <c r="AL52" s="277"/>
      <c r="AM52" s="277"/>
      <c r="AN52" s="277"/>
      <c r="AO52" s="277"/>
      <c r="AP52" s="277"/>
      <c r="AQ52" s="277"/>
      <c r="AR52" s="277"/>
      <c r="AS52" s="277"/>
      <c r="AT52" s="277"/>
      <c r="AU52" s="277"/>
      <c r="AV52" s="277"/>
      <c r="AW52" s="277"/>
      <c r="AX52" s="239"/>
      <c r="AZ52" s="238"/>
      <c r="BA52" s="277"/>
      <c r="BB52" s="277"/>
      <c r="BC52" s="277"/>
      <c r="BD52" s="277"/>
      <c r="BE52" s="277"/>
      <c r="BF52" s="277"/>
      <c r="BG52" s="277"/>
      <c r="BH52" s="239"/>
    </row>
    <row r="53" spans="2:60">
      <c r="E53" s="169"/>
    </row>
    <row r="54" spans="2:60">
      <c r="E54" s="169"/>
      <c r="G54" s="18"/>
      <c r="I54" s="18"/>
      <c r="K54" s="18"/>
      <c r="O54" s="18"/>
      <c r="Q54" s="18"/>
      <c r="S54" s="18"/>
      <c r="U54" s="18"/>
      <c r="W54" s="18"/>
    </row>
    <row r="55" spans="2:60">
      <c r="E55" s="169"/>
    </row>
    <row r="56" spans="2:60">
      <c r="E56" s="169"/>
    </row>
    <row r="57" spans="2:60">
      <c r="E57" s="169"/>
    </row>
    <row r="58" spans="2:60">
      <c r="E58" s="169"/>
    </row>
    <row r="59" spans="2:60">
      <c r="E59" s="169"/>
    </row>
    <row r="60" spans="2:60">
      <c r="E60" s="169"/>
    </row>
    <row r="61" spans="2:60">
      <c r="E61" s="169"/>
    </row>
    <row r="62" spans="2:60">
      <c r="E62" s="169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</sheetData>
  <pageMargins left="0.25" right="0.25" top="0.25" bottom="0.75" header="0.3" footer="0.3"/>
  <pageSetup paperSize="5" scale="4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8" tint="0.79998168889431442"/>
  </sheetPr>
  <dimension ref="A1:DC688"/>
  <sheetViews>
    <sheetView zoomScale="69" zoomScaleNormal="110" workbookViewId="0">
      <pane xSplit="3" ySplit="16" topLeftCell="D17" activePane="bottomRight" state="frozen"/>
      <selection pane="topRight" activeCell="D1" sqref="D1"/>
      <selection pane="bottomLeft" activeCell="A17" sqref="A17"/>
      <selection pane="bottomRight" activeCell="D17" sqref="D17"/>
    </sheetView>
  </sheetViews>
  <sheetFormatPr defaultColWidth="9.33203125" defaultRowHeight="11.25"/>
  <cols>
    <col min="1" max="1" width="2.83203125" customWidth="1"/>
    <col min="2" max="2" width="3" customWidth="1"/>
    <col min="3" max="3" width="28.83203125" customWidth="1"/>
    <col min="4" max="4" width="15.1640625" customWidth="1"/>
    <col min="5" max="5" width="24.1640625" customWidth="1"/>
    <col min="6" max="6" width="13.1640625" customWidth="1"/>
    <col min="7" max="9" width="16" customWidth="1"/>
    <col min="10" max="10" width="10.1640625" customWidth="1"/>
    <col min="11" max="12" width="15.1640625" customWidth="1"/>
    <col min="13" max="14" width="13.1640625" customWidth="1"/>
    <col min="15" max="15" width="10.1640625" customWidth="1"/>
    <col min="16" max="16" width="2.6640625" style="478" customWidth="1"/>
    <col min="17" max="20" width="14.6640625" customWidth="1"/>
    <col min="21" max="21" width="15.1640625" customWidth="1"/>
    <col min="22" max="22" width="17.6640625" customWidth="1"/>
    <col min="23" max="23" width="15.1640625" customWidth="1"/>
    <col min="24" max="24" width="2.5" style="478" customWidth="1"/>
    <col min="25" max="25" width="13.33203125" customWidth="1"/>
    <col min="26" max="28" width="15.33203125" customWidth="1"/>
    <col min="29" max="35" width="13.33203125" customWidth="1"/>
    <col min="36" max="36" width="2.6640625" customWidth="1"/>
    <col min="37" max="37" width="9.6640625" style="472" customWidth="1"/>
    <col min="38" max="38" width="3.1640625" style="478" customWidth="1"/>
    <col min="39" max="39" width="5.5" bestFit="1" customWidth="1"/>
    <col min="40" max="40" width="9.83203125" bestFit="1" customWidth="1"/>
    <col min="41" max="41" width="19" bestFit="1" customWidth="1"/>
    <col min="42" max="42" width="47.5" bestFit="1" customWidth="1"/>
    <col min="43" max="43" width="3.1640625" style="478" customWidth="1"/>
    <col min="44" max="45" width="15.1640625" customWidth="1"/>
    <col min="46" max="46" width="11.6640625" customWidth="1"/>
    <col min="47" max="47" width="12.1640625" customWidth="1"/>
    <col min="48" max="50" width="15.1640625" customWidth="1"/>
    <col min="51" max="51" width="8.83203125" customWidth="1"/>
    <col min="52" max="52" width="9.83203125" customWidth="1"/>
    <col min="53" max="53" width="1" customWidth="1"/>
    <col min="54" max="54" width="1.1640625" customWidth="1"/>
    <col min="55" max="55" width="2.33203125" customWidth="1"/>
    <col min="57" max="57" width="11.6640625" customWidth="1"/>
    <col min="58" max="58" width="16" customWidth="1"/>
    <col min="59" max="59" width="10.6640625" bestFit="1" customWidth="1"/>
    <col min="60" max="60" width="7.33203125" customWidth="1"/>
    <col min="62" max="62" width="15.1640625" customWidth="1"/>
    <col min="65" max="65" width="10.6640625" customWidth="1"/>
    <col min="66" max="66" width="4" customWidth="1"/>
    <col min="67" max="67" width="6.33203125" customWidth="1"/>
    <col min="68" max="69" width="11.1640625" customWidth="1"/>
    <col min="72" max="72" width="6.33203125" customWidth="1"/>
    <col min="73" max="74" width="11.1640625" customWidth="1"/>
    <col min="77" max="77" width="8.33203125" customWidth="1"/>
    <col min="78" max="79" width="11.1640625" customWidth="1"/>
    <col min="82" max="82" width="6.33203125" customWidth="1"/>
    <col min="83" max="84" width="11.1640625" style="364" customWidth="1"/>
    <col min="85" max="86" width="9.33203125" style="364"/>
    <col min="87" max="87" width="8.33203125" style="364" customWidth="1"/>
    <col min="88" max="89" width="11.1640625" style="364" customWidth="1"/>
    <col min="90" max="91" width="9.33203125" style="364"/>
    <col min="104" max="104" width="22" customWidth="1"/>
  </cols>
  <sheetData>
    <row r="1" spans="1:107" s="231" customFormat="1" ht="20.25">
      <c r="A1" s="231" t="s">
        <v>0</v>
      </c>
      <c r="P1" s="477"/>
      <c r="X1" s="477"/>
      <c r="Z1" s="611" t="s">
        <v>356</v>
      </c>
      <c r="AA1" s="611"/>
      <c r="AB1" s="611"/>
      <c r="AC1" s="611"/>
      <c r="AD1" s="611"/>
      <c r="AK1" s="581"/>
      <c r="AL1" s="477"/>
      <c r="AQ1" s="477"/>
      <c r="AR1" s="482" t="s">
        <v>310</v>
      </c>
      <c r="BT1"/>
      <c r="BY1"/>
      <c r="CD1" s="364"/>
      <c r="CE1" s="359"/>
      <c r="CF1" s="359"/>
      <c r="CG1" s="359"/>
      <c r="CH1" s="359"/>
      <c r="CI1" s="364"/>
      <c r="CJ1" s="359"/>
      <c r="CK1" s="359"/>
      <c r="CL1" s="359"/>
      <c r="CM1" s="359"/>
      <c r="CO1" s="231" t="s">
        <v>60</v>
      </c>
    </row>
    <row r="2" spans="1:107" s="231" customFormat="1" ht="20.25">
      <c r="P2" s="477"/>
      <c r="X2" s="477"/>
      <c r="Z2" s="251">
        <v>1999</v>
      </c>
      <c r="AA2" s="476">
        <v>7.8200000000000006E-2</v>
      </c>
      <c r="AB2" s="543"/>
      <c r="AC2" s="543"/>
      <c r="AD2" s="543"/>
      <c r="AF2" s="543"/>
      <c r="AG2" s="543"/>
      <c r="AH2" s="543"/>
      <c r="AK2" s="581"/>
      <c r="AL2" s="477"/>
      <c r="AQ2" s="477"/>
      <c r="AR2" s="482"/>
      <c r="BT2"/>
      <c r="BY2"/>
      <c r="CD2" s="364"/>
      <c r="CE2" s="359"/>
      <c r="CF2" s="359"/>
      <c r="CG2" s="359"/>
      <c r="CH2" s="359"/>
      <c r="CI2" s="364"/>
      <c r="CJ2" s="359"/>
      <c r="CK2" s="359"/>
      <c r="CL2" s="359"/>
      <c r="CM2" s="359"/>
    </row>
    <row r="3" spans="1:107" s="231" customFormat="1" ht="20.25">
      <c r="P3" s="477"/>
      <c r="X3" s="477"/>
      <c r="Z3" s="251">
        <v>2003</v>
      </c>
      <c r="AA3" s="476">
        <v>8.6999999999999994E-2</v>
      </c>
      <c r="AB3" s="543"/>
      <c r="AC3" s="543"/>
      <c r="AD3" s="543"/>
      <c r="AF3" s="543"/>
      <c r="AG3" s="543"/>
      <c r="AH3" s="543"/>
      <c r="AK3" s="581"/>
      <c r="AL3" s="477"/>
      <c r="AQ3" s="477"/>
      <c r="AR3" s="482"/>
      <c r="BT3"/>
      <c r="BY3"/>
      <c r="CD3" s="364"/>
      <c r="CE3" s="359"/>
      <c r="CF3" s="359"/>
      <c r="CG3" s="359"/>
      <c r="CH3" s="359"/>
      <c r="CI3" s="364"/>
      <c r="CJ3" s="359"/>
      <c r="CK3" s="359"/>
      <c r="CL3" s="359"/>
      <c r="CM3" s="359"/>
    </row>
    <row r="4" spans="1:107" s="231" customFormat="1">
      <c r="A4" s="231" t="s">
        <v>394</v>
      </c>
      <c r="P4" s="477"/>
      <c r="X4" s="477"/>
      <c r="Z4" s="251" t="s">
        <v>373</v>
      </c>
      <c r="AA4" s="476">
        <v>7.1999999999999995E-2</v>
      </c>
      <c r="AK4" s="581"/>
      <c r="AL4" s="477"/>
      <c r="AQ4" s="477"/>
      <c r="BT4"/>
      <c r="BY4"/>
      <c r="CD4" s="364"/>
      <c r="CE4" s="359"/>
      <c r="CF4" s="359"/>
      <c r="CG4" s="359"/>
      <c r="CH4" s="359"/>
      <c r="CI4" s="364"/>
      <c r="CJ4" s="359"/>
      <c r="CK4" s="359"/>
      <c r="CL4" s="359"/>
      <c r="CM4" s="359"/>
      <c r="CO4" s="231" t="s">
        <v>62</v>
      </c>
    </row>
    <row r="5" spans="1:107" s="231" customFormat="1">
      <c r="A5" s="231" t="s">
        <v>1</v>
      </c>
      <c r="P5" s="477"/>
      <c r="X5" s="477"/>
      <c r="Z5" s="251">
        <v>2008</v>
      </c>
      <c r="AA5" s="282">
        <v>7.3164524549999999E-2</v>
      </c>
      <c r="AK5" s="581"/>
      <c r="AL5" s="477"/>
      <c r="AQ5" s="477"/>
      <c r="BT5"/>
      <c r="BY5"/>
      <c r="CD5" s="364"/>
      <c r="CE5" s="359"/>
      <c r="CF5" s="359"/>
      <c r="CG5" s="359"/>
      <c r="CH5" s="359"/>
      <c r="CI5" s="364"/>
      <c r="CJ5" s="359"/>
      <c r="CK5" s="359"/>
      <c r="CL5" s="359"/>
      <c r="CM5" s="359"/>
      <c r="CO5" s="231" t="s">
        <v>64</v>
      </c>
    </row>
    <row r="6" spans="1:107" s="231" customFormat="1">
      <c r="P6" s="477"/>
      <c r="X6" s="477"/>
      <c r="Z6" s="251">
        <v>2013</v>
      </c>
      <c r="AA6" s="254">
        <v>7.125514275E-2</v>
      </c>
      <c r="AB6"/>
      <c r="AK6" s="581"/>
      <c r="AL6" s="477"/>
      <c r="AQ6" s="477"/>
      <c r="BT6"/>
      <c r="BY6"/>
      <c r="CD6" s="364"/>
      <c r="CE6" s="359"/>
      <c r="CF6" s="359"/>
      <c r="CG6" s="359"/>
      <c r="CH6" s="359"/>
      <c r="CI6" s="364"/>
      <c r="CJ6" s="359"/>
      <c r="CK6" s="359"/>
      <c r="CL6" s="359"/>
      <c r="CM6" s="359"/>
      <c r="CO6" s="231" t="s">
        <v>65</v>
      </c>
    </row>
    <row r="7" spans="1:107" s="231" customFormat="1">
      <c r="A7" s="231" t="s">
        <v>140</v>
      </c>
      <c r="P7" s="477"/>
      <c r="X7" s="477"/>
      <c r="Z7" s="251">
        <v>2015</v>
      </c>
      <c r="AA7" s="564">
        <v>6.6600000000000006E-2</v>
      </c>
      <c r="AB7" t="s">
        <v>301</v>
      </c>
      <c r="AK7" s="581"/>
      <c r="AL7" s="477"/>
      <c r="AQ7" s="477"/>
      <c r="BT7"/>
      <c r="BY7"/>
      <c r="CD7" s="364"/>
      <c r="CE7" s="359"/>
      <c r="CF7" s="359"/>
      <c r="CG7" s="359"/>
      <c r="CH7" s="359"/>
      <c r="CI7" s="364"/>
      <c r="CJ7" s="359"/>
      <c r="CK7" s="359"/>
      <c r="CL7" s="359"/>
      <c r="CM7" s="359"/>
      <c r="CO7" s="231" t="s">
        <v>66</v>
      </c>
    </row>
    <row r="8" spans="1:107">
      <c r="Z8" s="251">
        <v>2017</v>
      </c>
      <c r="AA8" s="564">
        <v>6.5699999999999995E-2</v>
      </c>
      <c r="AB8" t="s">
        <v>300</v>
      </c>
      <c r="AE8" s="565"/>
      <c r="AI8" s="565"/>
      <c r="CD8" s="364"/>
      <c r="CO8" s="231" t="s">
        <v>67</v>
      </c>
    </row>
    <row r="9" spans="1:107">
      <c r="Z9" s="251">
        <v>2019</v>
      </c>
      <c r="AA9" s="564">
        <v>6.9099999999999995E-2</v>
      </c>
      <c r="AB9" t="s">
        <v>302</v>
      </c>
      <c r="CD9" s="364"/>
      <c r="CO9" t="s">
        <v>68</v>
      </c>
    </row>
    <row r="10" spans="1:107">
      <c r="Z10" s="572">
        <v>2021</v>
      </c>
      <c r="AA10" s="573">
        <v>6.88E-2</v>
      </c>
      <c r="AB10" t="s">
        <v>402</v>
      </c>
      <c r="CD10" s="364"/>
    </row>
    <row r="11" spans="1:107">
      <c r="Z11" s="572">
        <v>2023</v>
      </c>
      <c r="AA11" s="573">
        <v>6.7699999999999996E-2</v>
      </c>
      <c r="AB11" t="s">
        <v>403</v>
      </c>
      <c r="CD11" s="364"/>
    </row>
    <row r="12" spans="1:107">
      <c r="Y12" s="478"/>
      <c r="Z12" s="488"/>
      <c r="AA12" s="489"/>
      <c r="AB12" s="478"/>
      <c r="AC12" s="478"/>
      <c r="AD12" s="478"/>
      <c r="AE12" s="478"/>
      <c r="AF12" s="478"/>
      <c r="AG12" s="478"/>
      <c r="AH12" s="478"/>
      <c r="AI12" s="478"/>
      <c r="AJ12" s="478"/>
      <c r="AK12" s="582"/>
      <c r="AM12" s="478"/>
      <c r="AN12" s="478"/>
      <c r="AO12" s="478"/>
      <c r="AP12" s="478"/>
      <c r="CD12" s="364"/>
    </row>
    <row r="13" spans="1:107" ht="33.75">
      <c r="B13" s="301" t="s">
        <v>353</v>
      </c>
      <c r="C13" s="302"/>
      <c r="D13" s="302"/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483"/>
      <c r="Q13" s="301"/>
      <c r="R13" s="301"/>
      <c r="S13" s="301" t="s">
        <v>354</v>
      </c>
      <c r="T13" s="302"/>
      <c r="U13" s="302"/>
      <c r="V13" s="302"/>
      <c r="W13" s="302"/>
      <c r="X13" s="483"/>
      <c r="Y13" s="610" t="s">
        <v>355</v>
      </c>
      <c r="Z13" s="610"/>
      <c r="AA13" s="610"/>
      <c r="AB13" s="610"/>
      <c r="AC13" s="610"/>
      <c r="AD13" s="610"/>
      <c r="AE13" s="610"/>
      <c r="AF13" s="288"/>
      <c r="AG13" s="288"/>
      <c r="AH13" s="288"/>
      <c r="AI13" s="288"/>
      <c r="AL13" s="479"/>
      <c r="AM13" s="612" t="s">
        <v>370</v>
      </c>
      <c r="AN13" s="612"/>
      <c r="AO13" s="612"/>
      <c r="AP13" s="288"/>
      <c r="AQ13" s="479"/>
      <c r="AR13" s="303" t="s">
        <v>69</v>
      </c>
      <c r="AS13" s="4"/>
      <c r="AT13" s="4"/>
      <c r="AU13" s="303"/>
      <c r="AV13" s="303"/>
      <c r="AW13" s="303"/>
      <c r="AX13" s="303"/>
      <c r="AY13" s="303"/>
      <c r="AZ13" s="303"/>
      <c r="BA13" s="303"/>
      <c r="BF13" s="231" t="s">
        <v>61</v>
      </c>
      <c r="CD13" s="364"/>
      <c r="CO13" t="s">
        <v>70</v>
      </c>
    </row>
    <row r="14" spans="1:107">
      <c r="BF14" s="231" t="s">
        <v>63</v>
      </c>
      <c r="BG14" s="4"/>
      <c r="BK14" t="s">
        <v>187</v>
      </c>
      <c r="BP14" t="s">
        <v>186</v>
      </c>
      <c r="BU14" t="s">
        <v>240</v>
      </c>
      <c r="BZ14" t="s">
        <v>240</v>
      </c>
      <c r="CD14" s="364"/>
      <c r="CE14" s="364" t="s">
        <v>404</v>
      </c>
      <c r="CJ14" s="364" t="s">
        <v>397</v>
      </c>
      <c r="CO14" t="s">
        <v>71</v>
      </c>
    </row>
    <row r="15" spans="1:107" ht="32.25" customHeight="1">
      <c r="C15" s="266"/>
      <c r="D15" s="266" t="s">
        <v>72</v>
      </c>
      <c r="E15" s="266" t="s">
        <v>72</v>
      </c>
      <c r="F15" s="266" t="s">
        <v>72</v>
      </c>
      <c r="G15" s="304" t="s">
        <v>171</v>
      </c>
      <c r="H15" s="304" t="s">
        <v>176</v>
      </c>
      <c r="I15" s="304" t="s">
        <v>73</v>
      </c>
      <c r="J15" s="304" t="s">
        <v>184</v>
      </c>
      <c r="K15" s="304" t="s">
        <v>234</v>
      </c>
      <c r="L15" s="304" t="s">
        <v>249</v>
      </c>
      <c r="M15" s="576" t="s">
        <v>395</v>
      </c>
      <c r="N15" s="576" t="s">
        <v>396</v>
      </c>
      <c r="O15" s="304"/>
      <c r="P15" s="484"/>
      <c r="Q15" s="575" t="s">
        <v>378</v>
      </c>
      <c r="R15" s="575" t="s">
        <v>377</v>
      </c>
      <c r="S15" s="266" t="s">
        <v>230</v>
      </c>
      <c r="T15" s="266" t="s">
        <v>248</v>
      </c>
      <c r="U15" s="266" t="s">
        <v>184</v>
      </c>
      <c r="V15" s="266" t="s">
        <v>191</v>
      </c>
      <c r="W15" t="s">
        <v>367</v>
      </c>
      <c r="X15" s="480"/>
      <c r="Y15" s="304" t="s">
        <v>188</v>
      </c>
      <c r="Z15" s="609" t="s">
        <v>298</v>
      </c>
      <c r="AA15" s="609"/>
      <c r="AB15" s="609"/>
      <c r="AC15" s="609" t="s">
        <v>296</v>
      </c>
      <c r="AD15" s="609"/>
      <c r="AE15" s="609"/>
      <c r="AF15" s="613" t="s">
        <v>393</v>
      </c>
      <c r="AG15" s="613"/>
      <c r="AH15" s="613" t="s">
        <v>392</v>
      </c>
      <c r="AI15" s="613"/>
      <c r="AR15" s="266"/>
      <c r="AS15" s="266"/>
      <c r="AT15" s="266" t="s">
        <v>72</v>
      </c>
      <c r="AU15" s="266" t="s">
        <v>72</v>
      </c>
      <c r="AV15" s="266" t="s">
        <v>72</v>
      </c>
      <c r="AW15" s="266"/>
      <c r="AX15" s="266"/>
      <c r="AY15" s="266"/>
      <c r="AZ15" s="266"/>
      <c r="BF15" s="231" t="s">
        <v>74</v>
      </c>
      <c r="BG15" s="4"/>
      <c r="BK15" s="4" t="s">
        <v>182</v>
      </c>
      <c r="BP15" s="4" t="s">
        <v>183</v>
      </c>
      <c r="BQ15" s="4"/>
      <c r="BU15" s="4" t="s">
        <v>233</v>
      </c>
      <c r="BV15" s="4"/>
      <c r="BZ15" s="4" t="s">
        <v>247</v>
      </c>
      <c r="CA15" s="4"/>
      <c r="CD15" s="364"/>
      <c r="CE15" s="379" t="s">
        <v>395</v>
      </c>
      <c r="CF15" s="379"/>
      <c r="CJ15" s="379" t="s">
        <v>396</v>
      </c>
      <c r="CK15" s="379"/>
      <c r="CO15" t="s">
        <v>75</v>
      </c>
      <c r="CZ15" t="s">
        <v>165</v>
      </c>
      <c r="DA15" t="s">
        <v>172</v>
      </c>
      <c r="DB15" t="s">
        <v>173</v>
      </c>
    </row>
    <row r="16" spans="1:107" ht="56.25">
      <c r="C16" s="266" t="s">
        <v>76</v>
      </c>
      <c r="D16" s="266" t="s">
        <v>77</v>
      </c>
      <c r="E16" s="266" t="s">
        <v>78</v>
      </c>
      <c r="F16" s="266" t="s">
        <v>79</v>
      </c>
      <c r="G16" s="304" t="s">
        <v>189</v>
      </c>
      <c r="H16" s="304" t="s">
        <v>189</v>
      </c>
      <c r="I16" s="304" t="s">
        <v>189</v>
      </c>
      <c r="J16" s="304" t="s">
        <v>189</v>
      </c>
      <c r="K16" s="304" t="s">
        <v>189</v>
      </c>
      <c r="L16" s="304" t="s">
        <v>189</v>
      </c>
      <c r="M16" s="576" t="s">
        <v>189</v>
      </c>
      <c r="N16" s="576" t="s">
        <v>189</v>
      </c>
      <c r="O16" s="304"/>
      <c r="P16" s="484"/>
      <c r="Q16" s="576" t="s">
        <v>190</v>
      </c>
      <c r="R16" s="576" t="s">
        <v>190</v>
      </c>
      <c r="S16" s="304" t="s">
        <v>190</v>
      </c>
      <c r="T16" s="304" t="s">
        <v>190</v>
      </c>
      <c r="U16" s="266" t="s">
        <v>190</v>
      </c>
      <c r="V16" s="266" t="s">
        <v>190</v>
      </c>
      <c r="W16" s="264" t="s">
        <v>366</v>
      </c>
      <c r="X16" s="480"/>
      <c r="Y16" s="266" t="s">
        <v>80</v>
      </c>
      <c r="Z16" s="304" t="s">
        <v>284</v>
      </c>
      <c r="AA16" s="304" t="s">
        <v>285</v>
      </c>
      <c r="AB16" s="304" t="s">
        <v>286</v>
      </c>
      <c r="AC16" s="304" t="s">
        <v>284</v>
      </c>
      <c r="AD16" s="304" t="s">
        <v>285</v>
      </c>
      <c r="AE16" s="304" t="s">
        <v>286</v>
      </c>
      <c r="AF16" s="576" t="s">
        <v>284</v>
      </c>
      <c r="AG16" s="576" t="s">
        <v>391</v>
      </c>
      <c r="AH16" s="576" t="s">
        <v>284</v>
      </c>
      <c r="AI16" s="576" t="s">
        <v>391</v>
      </c>
      <c r="AK16" s="583" t="s">
        <v>76</v>
      </c>
      <c r="AL16" s="480"/>
      <c r="AN16" s="559" t="s">
        <v>372</v>
      </c>
      <c r="AO16" s="559" t="s">
        <v>368</v>
      </c>
      <c r="AP16" s="559" t="s">
        <v>371</v>
      </c>
      <c r="AQ16" s="480"/>
      <c r="AR16" s="266" t="s">
        <v>76</v>
      </c>
      <c r="AS16" s="266" t="s">
        <v>81</v>
      </c>
      <c r="AT16" s="266" t="s">
        <v>77</v>
      </c>
      <c r="AU16" s="266" t="s">
        <v>78</v>
      </c>
      <c r="AV16" s="266" t="s">
        <v>79</v>
      </c>
      <c r="AW16" s="266" t="s">
        <v>82</v>
      </c>
      <c r="AX16" s="266" t="s">
        <v>83</v>
      </c>
      <c r="AY16" s="266" t="s">
        <v>84</v>
      </c>
      <c r="AZ16" s="266" t="s">
        <v>85</v>
      </c>
      <c r="BD16" t="s">
        <v>76</v>
      </c>
      <c r="BE16" t="s">
        <v>81</v>
      </c>
      <c r="BF16" s="4" t="s">
        <v>86</v>
      </c>
      <c r="BG16" s="4" t="s">
        <v>87</v>
      </c>
      <c r="BK16" s="4" t="s">
        <v>87</v>
      </c>
      <c r="BL16" s="305" t="s">
        <v>174</v>
      </c>
      <c r="BM16" s="305" t="s">
        <v>175</v>
      </c>
      <c r="BO16" t="s">
        <v>76</v>
      </c>
      <c r="BP16" s="4" t="s">
        <v>87</v>
      </c>
      <c r="BQ16" s="4" t="s">
        <v>87</v>
      </c>
      <c r="BR16" s="305" t="s">
        <v>174</v>
      </c>
      <c r="BS16" s="305" t="s">
        <v>175</v>
      </c>
      <c r="BT16" t="s">
        <v>76</v>
      </c>
      <c r="BU16" s="4" t="s">
        <v>87</v>
      </c>
      <c r="BV16" s="4" t="s">
        <v>87</v>
      </c>
      <c r="BW16" s="305" t="s">
        <v>174</v>
      </c>
      <c r="BX16" s="305" t="s">
        <v>175</v>
      </c>
      <c r="BY16" t="s">
        <v>76</v>
      </c>
      <c r="BZ16" s="4" t="s">
        <v>87</v>
      </c>
      <c r="CA16" s="4" t="s">
        <v>87</v>
      </c>
      <c r="CB16" s="305" t="s">
        <v>174</v>
      </c>
      <c r="CC16" s="305" t="s">
        <v>175</v>
      </c>
      <c r="CD16" s="364" t="s">
        <v>76</v>
      </c>
      <c r="CE16" s="379" t="s">
        <v>87</v>
      </c>
      <c r="CF16" s="379" t="s">
        <v>87</v>
      </c>
      <c r="CG16" s="380" t="s">
        <v>174</v>
      </c>
      <c r="CH16" s="380" t="s">
        <v>175</v>
      </c>
      <c r="CI16" s="364" t="s">
        <v>76</v>
      </c>
      <c r="CJ16" s="379" t="s">
        <v>87</v>
      </c>
      <c r="CK16" s="379" t="s">
        <v>87</v>
      </c>
      <c r="CL16" s="380" t="s">
        <v>174</v>
      </c>
      <c r="CM16" s="380" t="s">
        <v>175</v>
      </c>
      <c r="CO16" t="s">
        <v>88</v>
      </c>
      <c r="CZ16" t="s">
        <v>164</v>
      </c>
      <c r="DA16" t="s">
        <v>166</v>
      </c>
      <c r="DB16" t="s">
        <v>167</v>
      </c>
      <c r="DC16" t="s">
        <v>185</v>
      </c>
    </row>
    <row r="17" spans="3:106" ht="32.25">
      <c r="C17" s="236">
        <v>1999</v>
      </c>
      <c r="D17" s="230">
        <f t="shared" ref="D17:G19" si="0">D18/(1+$CZ$42)</f>
        <v>56.906578106457275</v>
      </c>
      <c r="E17" s="230">
        <f t="shared" si="0"/>
        <v>46.864557554923167</v>
      </c>
      <c r="F17" s="230">
        <f t="shared" si="0"/>
        <v>52.582592114411248</v>
      </c>
      <c r="G17" s="230">
        <f t="shared" si="0"/>
        <v>3.3674848357922609</v>
      </c>
      <c r="H17" s="230">
        <f>H18/(1+$DA44)</f>
        <v>5.4627740569496179</v>
      </c>
      <c r="I17" s="230">
        <f>I18/(1+$CZ$42)</f>
        <v>6.1512431125930114</v>
      </c>
      <c r="J17" s="226"/>
      <c r="K17" s="229"/>
      <c r="L17" s="229"/>
      <c r="M17" s="587"/>
      <c r="N17" s="587"/>
      <c r="O17" s="226"/>
      <c r="P17" s="485"/>
      <c r="Q17" s="169"/>
      <c r="R17" s="169"/>
      <c r="S17" s="169"/>
      <c r="T17" s="169"/>
      <c r="U17" s="169"/>
      <c r="V17" s="169"/>
      <c r="W17" s="169"/>
      <c r="X17" s="487"/>
      <c r="Y17" s="169"/>
      <c r="Z17" s="169"/>
      <c r="AA17" s="169"/>
      <c r="AB17" s="169"/>
      <c r="AC17" s="169"/>
      <c r="AD17" s="169"/>
      <c r="AE17" s="169"/>
      <c r="AF17" s="574"/>
      <c r="AG17" s="574"/>
      <c r="AH17" s="574"/>
      <c r="AI17" s="574"/>
      <c r="AK17" s="584">
        <v>2003</v>
      </c>
      <c r="AL17" s="481"/>
      <c r="AM17" s="563" t="s">
        <v>76</v>
      </c>
      <c r="AN17" s="560" t="s">
        <v>369</v>
      </c>
      <c r="AO17" s="561">
        <v>0.37951000000000001</v>
      </c>
      <c r="AP17" s="561">
        <v>0.24587000000000001</v>
      </c>
      <c r="AQ17" s="481"/>
      <c r="AR17" s="266"/>
      <c r="AS17" s="266"/>
      <c r="AT17" s="266"/>
      <c r="AU17" s="266"/>
      <c r="AV17" s="266"/>
      <c r="AW17" s="266"/>
      <c r="AX17" s="266"/>
      <c r="AY17" s="266"/>
      <c r="AZ17" s="266"/>
      <c r="BF17" s="4"/>
      <c r="BG17" s="4"/>
      <c r="BI17">
        <f>YEAR(BJ17)</f>
        <v>2004</v>
      </c>
      <c r="BJ17" s="306">
        <v>38230</v>
      </c>
      <c r="BK17">
        <f>AVERAGE(BL17:BM17)</f>
        <v>5.2698228344999993</v>
      </c>
      <c r="BL17">
        <v>5.394645669</v>
      </c>
      <c r="BM17">
        <v>5.1449999999999996</v>
      </c>
      <c r="BO17">
        <f>YEAR(BP17)</f>
        <v>2008</v>
      </c>
      <c r="BP17" s="286">
        <v>39630</v>
      </c>
      <c r="BQ17">
        <f>AVERAGE(BR17:BS17)</f>
        <v>11.8</v>
      </c>
      <c r="BR17">
        <v>11.85</v>
      </c>
      <c r="BS17">
        <v>11.75</v>
      </c>
      <c r="BT17">
        <f t="shared" ref="BT17:BT81" si="1">YEAR(BU17)</f>
        <v>2015</v>
      </c>
      <c r="BU17" s="286">
        <v>42005</v>
      </c>
      <c r="BV17">
        <f t="shared" ref="BV17:BV67" si="2">AVERAGE(BW17:BX17)</f>
        <v>2.7747580645161287</v>
      </c>
      <c r="BW17" s="580">
        <v>2.7880645161290318</v>
      </c>
      <c r="BX17" s="580">
        <v>2.7614516129032256</v>
      </c>
      <c r="BY17">
        <f t="shared" ref="BY17:BY81" si="3">YEAR(BZ17)</f>
        <v>2018</v>
      </c>
      <c r="BZ17" s="286">
        <v>43101</v>
      </c>
      <c r="CA17">
        <f t="shared" ref="CA17:CA81" si="4">AVERAGE(CB17:CC17)</f>
        <v>2.7073387096774191</v>
      </c>
      <c r="CB17" s="580">
        <v>2.7169354838709676</v>
      </c>
      <c r="CC17" s="580">
        <v>2.697741935483871</v>
      </c>
      <c r="CD17" s="364">
        <f t="shared" ref="CD17:CD70" si="5">YEAR(CE17)</f>
        <v>2019</v>
      </c>
      <c r="CE17" s="381">
        <v>43466</v>
      </c>
      <c r="CF17" s="411">
        <f>AVERAGE(CG17:CH17)</f>
        <v>3.4904032258064515</v>
      </c>
      <c r="CG17" s="411">
        <v>3.4677419354838706</v>
      </c>
      <c r="CH17" s="411">
        <v>3.5130645161290328</v>
      </c>
      <c r="CI17" s="364">
        <f t="shared" ref="CI17:CI71" si="6">YEAR(CJ17)</f>
        <v>2021</v>
      </c>
      <c r="CJ17" s="381">
        <v>44197</v>
      </c>
      <c r="CK17" s="364">
        <f t="shared" ref="CK17:CK80" si="7">AVERAGE(CL17:CM17)</f>
        <v>2.6565384615384615</v>
      </c>
      <c r="CL17" s="411">
        <v>2.6653846153846152</v>
      </c>
      <c r="CM17" s="411">
        <v>2.6476923076923078</v>
      </c>
      <c r="CZ17">
        <v>2004</v>
      </c>
      <c r="DA17" s="285">
        <v>3.81</v>
      </c>
      <c r="DB17" s="285">
        <v>3.63</v>
      </c>
    </row>
    <row r="18" spans="3:106">
      <c r="C18" s="236">
        <v>2000</v>
      </c>
      <c r="D18" s="230">
        <f t="shared" si="0"/>
        <v>58.329242559118704</v>
      </c>
      <c r="E18" s="230">
        <f t="shared" si="0"/>
        <v>48.036171493796239</v>
      </c>
      <c r="F18" s="230">
        <f t="shared" si="0"/>
        <v>53.897156917271523</v>
      </c>
      <c r="G18" s="230">
        <f t="shared" si="0"/>
        <v>3.4516719566870671</v>
      </c>
      <c r="H18" s="230">
        <f>H19/(1+$DA45)</f>
        <v>5.4627740569496179</v>
      </c>
      <c r="I18" s="230">
        <f>I19/(1+$CZ$42)</f>
        <v>6.3050241904078357</v>
      </c>
      <c r="J18" s="226"/>
      <c r="K18" s="229"/>
      <c r="L18" s="229"/>
      <c r="M18" s="364"/>
      <c r="N18" s="587"/>
      <c r="O18" s="226"/>
      <c r="P18" s="486"/>
      <c r="Q18" s="574"/>
      <c r="R18" s="574"/>
      <c r="S18" s="169"/>
      <c r="T18" s="169"/>
      <c r="U18" s="169"/>
      <c r="V18" s="169"/>
      <c r="W18" s="169"/>
      <c r="X18" s="487"/>
      <c r="Y18" s="169"/>
      <c r="Z18" s="169"/>
      <c r="AA18" s="169"/>
      <c r="AB18" s="169"/>
      <c r="AC18" s="169"/>
      <c r="AD18" s="169"/>
      <c r="AE18" s="169"/>
      <c r="AF18" s="574"/>
      <c r="AG18" s="574"/>
      <c r="AH18" s="574"/>
      <c r="AI18" s="574"/>
      <c r="AK18" s="584">
        <v>2004</v>
      </c>
      <c r="AL18" s="481"/>
      <c r="AM18">
        <v>2007</v>
      </c>
      <c r="AN18" s="562">
        <v>20</v>
      </c>
      <c r="AO18" s="562">
        <f t="shared" ref="AO18:AO51" si="8">+AN18/(1-AO$17)</f>
        <v>32.232590372125259</v>
      </c>
      <c r="AP18" s="562"/>
      <c r="AQ18" s="481"/>
      <c r="AR18" s="266"/>
      <c r="AS18" s="266"/>
      <c r="AT18" s="266"/>
      <c r="AU18" s="266"/>
      <c r="AV18" s="266"/>
      <c r="AW18" s="266"/>
      <c r="AX18" s="266"/>
      <c r="AY18" s="266"/>
      <c r="AZ18" s="266"/>
      <c r="BF18" s="4"/>
      <c r="BG18" s="4"/>
      <c r="BI18">
        <f t="shared" ref="BI18:BI82" si="9">YEAR(BJ18)</f>
        <v>2004</v>
      </c>
      <c r="BJ18" s="306">
        <v>38260</v>
      </c>
      <c r="BK18">
        <f t="shared" ref="BK18:BK82" si="10">AVERAGE(BL18:BM18)</f>
        <v>5.3128441459999998</v>
      </c>
      <c r="BL18">
        <v>5.4616882919999998</v>
      </c>
      <c r="BM18">
        <v>5.1639999999999997</v>
      </c>
      <c r="BO18">
        <f t="shared" ref="BO18:BO82" si="11">YEAR(BP18)</f>
        <v>2008</v>
      </c>
      <c r="BP18" s="286">
        <v>39661</v>
      </c>
      <c r="BQ18">
        <f t="shared" ref="BQ18:BQ82" si="12">AVERAGE(BR18:BS18)</f>
        <v>12.195499999999999</v>
      </c>
      <c r="BR18">
        <v>12.288</v>
      </c>
      <c r="BS18">
        <v>12.103</v>
      </c>
      <c r="BT18">
        <f t="shared" si="1"/>
        <v>2015</v>
      </c>
      <c r="BU18" s="286">
        <v>42036</v>
      </c>
      <c r="BV18">
        <f t="shared" si="2"/>
        <v>2.3497321428571434</v>
      </c>
      <c r="BW18" s="580">
        <v>2.3876785714285722</v>
      </c>
      <c r="BX18" s="580">
        <v>2.3117857142857146</v>
      </c>
      <c r="BY18">
        <f t="shared" si="3"/>
        <v>2018</v>
      </c>
      <c r="BZ18" s="286">
        <v>43132</v>
      </c>
      <c r="CA18">
        <f t="shared" si="4"/>
        <v>2.1688392857142853</v>
      </c>
      <c r="CB18" s="580">
        <v>2.176071428571428</v>
      </c>
      <c r="CC18" s="580">
        <v>2.1616071428571426</v>
      </c>
      <c r="CD18" s="364">
        <f t="shared" si="5"/>
        <v>2019</v>
      </c>
      <c r="CE18" s="381">
        <v>43497</v>
      </c>
      <c r="CF18" s="364">
        <f t="shared" ref="CF18:CF70" si="13">AVERAGE(CG18:CH18)</f>
        <v>12.783482142857142</v>
      </c>
      <c r="CG18" s="411">
        <v>7.5064285714285726</v>
      </c>
      <c r="CH18" s="411">
        <v>18.060535714285713</v>
      </c>
      <c r="CI18" s="364">
        <f t="shared" si="6"/>
        <v>2021</v>
      </c>
      <c r="CJ18" s="381">
        <v>44228</v>
      </c>
      <c r="CK18" s="364">
        <f t="shared" si="7"/>
        <v>4.3747727272727275</v>
      </c>
      <c r="CL18" s="411">
        <v>4.1177272727272731</v>
      </c>
      <c r="CM18" s="411">
        <v>4.6318181818181827</v>
      </c>
      <c r="CZ18">
        <v>2005</v>
      </c>
      <c r="DA18" s="285">
        <v>3.96</v>
      </c>
      <c r="DB18" s="285">
        <v>3.77</v>
      </c>
    </row>
    <row r="19" spans="3:106">
      <c r="C19" s="236">
        <v>2001</v>
      </c>
      <c r="D19" s="230">
        <f t="shared" si="0"/>
        <v>59.787473623096666</v>
      </c>
      <c r="E19" s="230">
        <f t="shared" si="0"/>
        <v>49.237075781141144</v>
      </c>
      <c r="F19" s="230">
        <f t="shared" si="0"/>
        <v>55.244585840203307</v>
      </c>
      <c r="G19" s="230">
        <f t="shared" si="0"/>
        <v>3.5379637556042436</v>
      </c>
      <c r="H19" s="230">
        <f>H20/(1+$DA46)</f>
        <v>5.4627740569496179</v>
      </c>
      <c r="I19" s="230">
        <f>I20/(1+$CZ$42)</f>
        <v>6.4626497951680308</v>
      </c>
      <c r="J19" s="226"/>
      <c r="K19" s="229"/>
      <c r="L19" s="229"/>
      <c r="M19" s="364"/>
      <c r="N19" s="587"/>
      <c r="O19" s="226"/>
      <c r="P19" s="486"/>
      <c r="Q19" s="574"/>
      <c r="R19" s="574"/>
      <c r="S19" s="169"/>
      <c r="T19" s="169"/>
      <c r="U19" s="169"/>
      <c r="V19" s="169"/>
      <c r="W19" s="169"/>
      <c r="X19" s="487"/>
      <c r="Y19" s="169"/>
      <c r="Z19" s="169"/>
      <c r="AA19" s="169"/>
      <c r="AB19" s="169"/>
      <c r="AC19" s="169"/>
      <c r="AD19" s="169"/>
      <c r="AE19" s="169"/>
      <c r="AF19" s="574"/>
      <c r="AG19" s="574"/>
      <c r="AH19" s="574"/>
      <c r="AI19" s="574"/>
      <c r="AK19" s="584">
        <v>2005</v>
      </c>
      <c r="AL19" s="481"/>
      <c r="AM19">
        <v>2008</v>
      </c>
      <c r="AN19" s="562">
        <v>21</v>
      </c>
      <c r="AO19" s="562">
        <f t="shared" si="8"/>
        <v>33.844219890731516</v>
      </c>
      <c r="AP19" s="562"/>
      <c r="AQ19" s="481"/>
      <c r="AR19" s="266"/>
      <c r="AS19" s="266"/>
      <c r="AT19" s="266"/>
      <c r="AU19" s="266"/>
      <c r="AV19" s="266"/>
      <c r="AW19" s="266"/>
      <c r="AX19" s="266"/>
      <c r="AY19" s="266"/>
      <c r="AZ19" s="266"/>
      <c r="BF19" s="4"/>
      <c r="BG19" s="4"/>
      <c r="BI19">
        <f t="shared" si="9"/>
        <v>2004</v>
      </c>
      <c r="BJ19" s="306">
        <v>38291</v>
      </c>
      <c r="BK19">
        <f t="shared" si="10"/>
        <v>5.3528441459999998</v>
      </c>
      <c r="BL19">
        <v>5.5016882919999999</v>
      </c>
      <c r="BM19">
        <v>5.2039999999999997</v>
      </c>
      <c r="BO19">
        <f t="shared" si="11"/>
        <v>2008</v>
      </c>
      <c r="BP19" s="286">
        <v>39692</v>
      </c>
      <c r="BQ19">
        <f t="shared" si="12"/>
        <v>12.238</v>
      </c>
      <c r="BR19">
        <v>12.278</v>
      </c>
      <c r="BS19">
        <v>12.198</v>
      </c>
      <c r="BT19">
        <f t="shared" si="1"/>
        <v>2015</v>
      </c>
      <c r="BU19" s="286">
        <v>42064</v>
      </c>
      <c r="BV19">
        <f t="shared" si="2"/>
        <v>2.2695967741935492</v>
      </c>
      <c r="BW19" s="580">
        <v>2.3482258064516142</v>
      </c>
      <c r="BX19" s="580">
        <v>2.1909677419354838</v>
      </c>
      <c r="BY19">
        <f t="shared" si="3"/>
        <v>2018</v>
      </c>
      <c r="BZ19" s="286">
        <v>43160</v>
      </c>
      <c r="CA19">
        <f t="shared" si="4"/>
        <v>2.0997580645161289</v>
      </c>
      <c r="CB19" s="580">
        <v>2.1046774193548385</v>
      </c>
      <c r="CC19" s="580">
        <v>2.0948387096774188</v>
      </c>
      <c r="CD19" s="364">
        <f t="shared" si="5"/>
        <v>2019</v>
      </c>
      <c r="CE19" s="381">
        <v>43525</v>
      </c>
      <c r="CF19" s="364">
        <f t="shared" si="13"/>
        <v>12.685862068965514</v>
      </c>
      <c r="CG19" s="411">
        <v>3.5468965517241378</v>
      </c>
      <c r="CH19" s="411">
        <v>21.82482758620689</v>
      </c>
      <c r="CI19" s="364">
        <f t="shared" si="6"/>
        <v>2021</v>
      </c>
      <c r="CJ19" s="381">
        <v>44256</v>
      </c>
      <c r="CK19" s="364">
        <f t="shared" si="7"/>
        <v>2.4633064516129024</v>
      </c>
      <c r="CL19" s="411">
        <v>2.4559677419354826</v>
      </c>
      <c r="CM19" s="411">
        <v>2.4706451612903222</v>
      </c>
      <c r="CZ19">
        <v>2006</v>
      </c>
      <c r="DA19" s="285">
        <v>4</v>
      </c>
      <c r="DB19" s="285">
        <v>3.82</v>
      </c>
    </row>
    <row r="20" spans="3:106">
      <c r="C20" s="236">
        <v>2002</v>
      </c>
      <c r="D20" s="229">
        <f t="shared" ref="D20:F23" si="14">D21/(1+$V17)</f>
        <v>61.282160463674074</v>
      </c>
      <c r="E20" s="229">
        <f t="shared" si="14"/>
        <v>50.468002675669666</v>
      </c>
      <c r="F20" s="229">
        <f t="shared" si="14"/>
        <v>56.625700486208387</v>
      </c>
      <c r="G20" s="230">
        <f>G21/(1+$CZ$42)</f>
        <v>3.6264128494943493</v>
      </c>
      <c r="H20" s="230">
        <f>H21/(1+$DA47)</f>
        <v>5.4627740569496179</v>
      </c>
      <c r="I20" s="230">
        <f>I21/(1+$V17)</f>
        <v>6.624216040047231</v>
      </c>
      <c r="J20" s="226"/>
      <c r="K20" s="229"/>
      <c r="L20" s="229"/>
      <c r="M20" s="588"/>
      <c r="N20" s="588"/>
      <c r="O20" s="226"/>
      <c r="P20" s="486"/>
      <c r="Q20" s="574"/>
      <c r="R20" s="574">
        <v>1.4999999999999999E-2</v>
      </c>
      <c r="S20" s="169">
        <v>3.2000000000000001E-2</v>
      </c>
      <c r="T20" s="169">
        <v>3.2000000000000001E-2</v>
      </c>
      <c r="U20" s="169"/>
      <c r="V20" s="169">
        <v>3.1E-2</v>
      </c>
      <c r="W20" s="169"/>
      <c r="X20" s="487"/>
      <c r="Y20" s="287">
        <f>Y21/(1+V20)</f>
        <v>4.9466537342386037</v>
      </c>
      <c r="Z20" s="287"/>
      <c r="AA20" s="287"/>
      <c r="AB20" s="287"/>
      <c r="AC20" s="287"/>
      <c r="AD20" s="287"/>
      <c r="AE20" s="287"/>
      <c r="AF20" s="577"/>
      <c r="AG20" s="577"/>
      <c r="AH20" s="577"/>
      <c r="AI20" s="577"/>
      <c r="AK20" s="584">
        <v>2006</v>
      </c>
      <c r="AL20" s="481"/>
      <c r="AM20">
        <v>2009</v>
      </c>
      <c r="AN20" s="562">
        <v>21</v>
      </c>
      <c r="AO20" s="562">
        <f t="shared" si="8"/>
        <v>33.844219890731516</v>
      </c>
      <c r="AP20" s="562"/>
      <c r="AQ20" s="481"/>
      <c r="AR20">
        <f>+YEAR(AS20)</f>
        <v>2006</v>
      </c>
      <c r="AS20" s="307">
        <v>38718</v>
      </c>
      <c r="AT20" s="308">
        <f t="shared" ref="AT20:AU27" si="15">AT32/(1+$V$20)</f>
        <v>78.040737148399614</v>
      </c>
      <c r="AU20" s="308">
        <f t="shared" si="15"/>
        <v>70.305528612997094</v>
      </c>
      <c r="AV20" s="287">
        <f t="shared" ref="AV20:AV27" si="16">AT20*0.57+AU20*0.43</f>
        <v>74.714597478176529</v>
      </c>
      <c r="AW20" s="271">
        <v>400</v>
      </c>
      <c r="AX20" s="271">
        <v>344</v>
      </c>
      <c r="AY20" s="271">
        <f>AW20/(AW20+AX20)</f>
        <v>0.5376344086021505</v>
      </c>
      <c r="AZ20" s="271">
        <f>AX20/(AW20+AX20)</f>
        <v>0.46236559139784944</v>
      </c>
      <c r="BD20">
        <f t="shared" ref="BD20:BD31" si="17">+YEAR(BE20)</f>
        <v>2006</v>
      </c>
      <c r="BE20" s="306">
        <v>38718</v>
      </c>
      <c r="BF20" s="114">
        <f>BG20</f>
        <v>8.9348112271618962</v>
      </c>
      <c r="BG20" s="115">
        <f t="shared" ref="BG20:BG27" si="18">BG32/(1+$V$20)</f>
        <v>8.9348112271618962</v>
      </c>
      <c r="BI20">
        <f t="shared" si="9"/>
        <v>2004</v>
      </c>
      <c r="BJ20" s="306">
        <v>38321</v>
      </c>
      <c r="BK20">
        <f t="shared" si="10"/>
        <v>5.8505496689999994</v>
      </c>
      <c r="BL20">
        <v>5.8830993380000001</v>
      </c>
      <c r="BM20">
        <v>5.8179999999999996</v>
      </c>
      <c r="BO20">
        <f t="shared" si="11"/>
        <v>2008</v>
      </c>
      <c r="BP20" s="286">
        <v>39722</v>
      </c>
      <c r="BQ20">
        <f t="shared" si="12"/>
        <v>12.463750000000001</v>
      </c>
      <c r="BR20">
        <v>12.28</v>
      </c>
      <c r="BS20">
        <v>12.647500000000001</v>
      </c>
      <c r="BT20">
        <f t="shared" si="1"/>
        <v>2015</v>
      </c>
      <c r="BU20" s="286">
        <v>42095</v>
      </c>
      <c r="BV20">
        <f t="shared" si="2"/>
        <v>2.2114166666666675</v>
      </c>
      <c r="BW20" s="580">
        <v>2.260333333333334</v>
      </c>
      <c r="BX20" s="580">
        <v>2.1625000000000005</v>
      </c>
      <c r="BY20">
        <f t="shared" si="3"/>
        <v>2018</v>
      </c>
      <c r="BZ20" s="286">
        <v>43191</v>
      </c>
      <c r="CA20">
        <f t="shared" si="4"/>
        <v>1.9435833333333334</v>
      </c>
      <c r="CB20" s="580">
        <v>1.9496666666666667</v>
      </c>
      <c r="CC20" s="580">
        <v>1.9375000000000002</v>
      </c>
      <c r="CD20" s="364">
        <f t="shared" si="5"/>
        <v>2019</v>
      </c>
      <c r="CE20" s="381">
        <v>43556</v>
      </c>
      <c r="CF20" s="364">
        <f t="shared" si="13"/>
        <v>2.0029999999999997</v>
      </c>
      <c r="CG20" s="411">
        <v>1.9738333333333327</v>
      </c>
      <c r="CH20" s="411">
        <v>2.0321666666666665</v>
      </c>
      <c r="CI20" s="364">
        <f t="shared" si="6"/>
        <v>2021</v>
      </c>
      <c r="CJ20" s="381">
        <v>44287</v>
      </c>
      <c r="CK20" s="364">
        <f t="shared" si="7"/>
        <v>2.5905833333333339</v>
      </c>
      <c r="CL20" s="411">
        <v>2.5778333333333334</v>
      </c>
      <c r="CM20" s="411">
        <v>2.6033333333333339</v>
      </c>
      <c r="CO20" t="s">
        <v>89</v>
      </c>
      <c r="CZ20">
        <v>2007</v>
      </c>
      <c r="DA20" s="285">
        <v>4.22</v>
      </c>
      <c r="DB20" s="285">
        <v>4.04</v>
      </c>
    </row>
    <row r="21" spans="3:106">
      <c r="C21" s="236">
        <v>2003</v>
      </c>
      <c r="D21" s="229">
        <f t="shared" si="14"/>
        <v>61.282160463674074</v>
      </c>
      <c r="E21" s="229">
        <f t="shared" si="14"/>
        <v>50.468002675669666</v>
      </c>
      <c r="F21" s="229">
        <f t="shared" si="14"/>
        <v>56.625700486208387</v>
      </c>
      <c r="G21" s="230">
        <f>G22/(1+$CZ$42)</f>
        <v>3.7170731707317075</v>
      </c>
      <c r="H21" s="230">
        <f>H22/(1+$DA48)</f>
        <v>5.4627740569496179</v>
      </c>
      <c r="I21" s="230">
        <f>I22/(1+$V18)</f>
        <v>6.624216040047231</v>
      </c>
      <c r="J21" s="226"/>
      <c r="K21" s="229"/>
      <c r="L21" s="229"/>
      <c r="M21" s="588"/>
      <c r="N21" s="588"/>
      <c r="O21" s="226"/>
      <c r="P21" s="485"/>
      <c r="Q21" s="574">
        <v>2.1999999999999999E-2</v>
      </c>
      <c r="R21" s="574">
        <v>2.1999999999999999E-2</v>
      </c>
      <c r="S21" s="169">
        <v>2.9000000000000001E-2</v>
      </c>
      <c r="T21" s="169">
        <v>2.9000000000000001E-2</v>
      </c>
      <c r="U21" s="169"/>
      <c r="V21" s="169">
        <v>1.9E-2</v>
      </c>
      <c r="W21" s="169"/>
      <c r="X21" s="487"/>
      <c r="Y21" s="287">
        <v>5.0999999999999996</v>
      </c>
      <c r="Z21" s="287"/>
      <c r="AA21" s="287"/>
      <c r="AB21" s="287"/>
      <c r="AC21" s="287">
        <v>1.1000000000000001</v>
      </c>
      <c r="AD21" s="287">
        <v>0.68407461559142213</v>
      </c>
      <c r="AE21" s="287">
        <v>0.68407461559142213</v>
      </c>
      <c r="AF21" s="577"/>
      <c r="AG21" s="577"/>
      <c r="AH21" s="577"/>
      <c r="AI21" s="577"/>
      <c r="AK21" s="472">
        <f>+AK20+1</f>
        <v>2007</v>
      </c>
      <c r="AM21">
        <v>2010</v>
      </c>
      <c r="AN21" s="562">
        <v>22</v>
      </c>
      <c r="AO21" s="562">
        <f t="shared" si="8"/>
        <v>35.45584940933778</v>
      </c>
      <c r="AP21" s="562"/>
      <c r="AR21">
        <f t="shared" ref="AR21:AR85" si="19">+YEAR(AS21)</f>
        <v>2006</v>
      </c>
      <c r="AS21" s="307">
        <f t="shared" ref="AS21:AS32" si="20">EOMONTH(AS20,0)+1</f>
        <v>38749</v>
      </c>
      <c r="AT21" s="308">
        <f t="shared" si="15"/>
        <v>73.705140640155193</v>
      </c>
      <c r="AU21" s="308">
        <f t="shared" si="15"/>
        <v>66.435499515033953</v>
      </c>
      <c r="AV21" s="287">
        <f t="shared" si="16"/>
        <v>70.579194956353049</v>
      </c>
      <c r="AW21" s="271">
        <v>384</v>
      </c>
      <c r="AX21" s="271">
        <v>288</v>
      </c>
      <c r="AY21" s="271">
        <f t="shared" ref="AY21:AY85" si="21">AW21/(AW21+AX21)</f>
        <v>0.5714285714285714</v>
      </c>
      <c r="AZ21" s="271">
        <f t="shared" ref="AZ21:AZ85" si="22">AX21/(AW21+AX21)</f>
        <v>0.42857142857142855</v>
      </c>
      <c r="BD21">
        <f t="shared" si="17"/>
        <v>2006</v>
      </c>
      <c r="BE21" s="306">
        <v>38749</v>
      </c>
      <c r="BF21" s="114">
        <f t="shared" ref="BF21:BF85" si="23">BG21</f>
        <v>8.9760162003450414</v>
      </c>
      <c r="BG21" s="115">
        <f t="shared" si="18"/>
        <v>8.9760162003450414</v>
      </c>
      <c r="BI21">
        <f t="shared" si="9"/>
        <v>2004</v>
      </c>
      <c r="BJ21" s="306">
        <v>38352</v>
      </c>
      <c r="BK21">
        <f t="shared" si="10"/>
        <v>6.0795496690000004</v>
      </c>
      <c r="BL21">
        <v>6.1120993380000002</v>
      </c>
      <c r="BM21">
        <v>6.0469999999999997</v>
      </c>
      <c r="BO21">
        <f t="shared" si="11"/>
        <v>2008</v>
      </c>
      <c r="BP21" s="286">
        <v>39753</v>
      </c>
      <c r="BQ21">
        <f t="shared" si="12"/>
        <v>12.91625</v>
      </c>
      <c r="BR21">
        <v>12.545</v>
      </c>
      <c r="BS21">
        <v>13.2875</v>
      </c>
      <c r="BT21">
        <f t="shared" si="1"/>
        <v>2015</v>
      </c>
      <c r="BU21" s="286">
        <v>42125</v>
      </c>
      <c r="BV21">
        <f t="shared" si="2"/>
        <v>2.4567741935483864</v>
      </c>
      <c r="BW21" s="580">
        <v>2.5498387096774193</v>
      </c>
      <c r="BX21" s="580">
        <v>2.363709677419354</v>
      </c>
      <c r="BY21">
        <f t="shared" si="3"/>
        <v>2018</v>
      </c>
      <c r="BZ21" s="286">
        <v>43221</v>
      </c>
      <c r="CA21">
        <f t="shared" si="4"/>
        <v>1.5073387096774196</v>
      </c>
      <c r="CB21" s="580">
        <v>1.6269354838709678</v>
      </c>
      <c r="CC21" s="580">
        <v>1.3877419354838714</v>
      </c>
      <c r="CD21" s="364">
        <f t="shared" si="5"/>
        <v>2019</v>
      </c>
      <c r="CE21" s="381">
        <v>43586</v>
      </c>
      <c r="CF21" s="364">
        <f t="shared" si="13"/>
        <v>1.7944354838709675</v>
      </c>
      <c r="CG21" s="411">
        <v>1.8038709677419351</v>
      </c>
      <c r="CH21" s="411">
        <v>1.7849999999999999</v>
      </c>
      <c r="CI21" s="364">
        <f t="shared" si="6"/>
        <v>2021</v>
      </c>
      <c r="CJ21" s="381">
        <v>44317</v>
      </c>
      <c r="CK21" s="364">
        <f t="shared" si="7"/>
        <v>2.7182258064516125</v>
      </c>
      <c r="CL21" s="411">
        <v>2.7193548387096773</v>
      </c>
      <c r="CM21" s="411">
        <v>2.7170967741935481</v>
      </c>
      <c r="CO21" t="s">
        <v>90</v>
      </c>
      <c r="CZ21">
        <v>2008</v>
      </c>
      <c r="DA21" s="285">
        <v>4.42</v>
      </c>
      <c r="DB21" s="285">
        <v>4.26</v>
      </c>
    </row>
    <row r="22" spans="3:106">
      <c r="C22" s="236">
        <v>2004</v>
      </c>
      <c r="D22" s="229">
        <f t="shared" si="14"/>
        <v>61.282160463674074</v>
      </c>
      <c r="E22" s="229">
        <f t="shared" si="14"/>
        <v>50.468002675669666</v>
      </c>
      <c r="F22" s="229">
        <f t="shared" si="14"/>
        <v>56.625700486208387</v>
      </c>
      <c r="G22" s="226">
        <f t="shared" ref="G22:G41" si="24">INDEX($DA$17:$DA$36,MATCH($C22,$CZ$17:$CZ$36,0),1)</f>
        <v>3.81</v>
      </c>
      <c r="H22" s="28">
        <f t="shared" ref="H22:H52" si="25">AVERAGEIF($BI$17:$BI$389,$C22,$BK$17:$BK$389)</f>
        <v>5.5731220929000003</v>
      </c>
      <c r="I22" s="230">
        <f>I23/(1+$V19)</f>
        <v>6.624216040047231</v>
      </c>
      <c r="J22" s="28"/>
      <c r="K22" s="229"/>
      <c r="L22" s="229"/>
      <c r="M22" s="588"/>
      <c r="N22" s="588"/>
      <c r="O22" s="28"/>
      <c r="P22" s="485"/>
      <c r="Q22" s="574">
        <v>2.7E-2</v>
      </c>
      <c r="R22" s="574">
        <v>2.7E-2</v>
      </c>
      <c r="S22" s="169">
        <v>0.03</v>
      </c>
      <c r="T22" s="169">
        <v>0.03</v>
      </c>
      <c r="U22" s="169">
        <v>3.4000000000000002E-2</v>
      </c>
      <c r="V22" s="169">
        <v>1.7000000000000001E-2</v>
      </c>
      <c r="W22" s="169"/>
      <c r="X22" s="487"/>
      <c r="Y22" s="287">
        <f t="shared" ref="Y22:Y58" si="26">Y21*(1+V22)</f>
        <v>5.1866999999999992</v>
      </c>
      <c r="Z22" s="287"/>
      <c r="AA22" s="287"/>
      <c r="AB22" s="287"/>
      <c r="AC22" s="287">
        <v>1.1299999999999999</v>
      </c>
      <c r="AD22" s="287">
        <v>0.69885644349022336</v>
      </c>
      <c r="AE22" s="287">
        <v>0.69885644349022336</v>
      </c>
      <c r="AF22" s="577"/>
      <c r="AG22" s="577"/>
      <c r="AH22" s="577"/>
      <c r="AI22" s="577"/>
      <c r="AK22" s="472">
        <f>+AK21+1</f>
        <v>2008</v>
      </c>
      <c r="AM22">
        <v>2011</v>
      </c>
      <c r="AN22" s="562">
        <v>22</v>
      </c>
      <c r="AO22" s="562">
        <f t="shared" si="8"/>
        <v>35.45584940933778</v>
      </c>
      <c r="AP22" s="562"/>
      <c r="AR22">
        <f t="shared" si="19"/>
        <v>2006</v>
      </c>
      <c r="AS22" s="307">
        <f t="shared" si="20"/>
        <v>38777</v>
      </c>
      <c r="AT22" s="308">
        <f t="shared" si="15"/>
        <v>65.03394762366635</v>
      </c>
      <c r="AU22" s="308">
        <f t="shared" si="15"/>
        <v>56.760426770126102</v>
      </c>
      <c r="AV22" s="287">
        <f t="shared" si="16"/>
        <v>61.476333656644037</v>
      </c>
      <c r="AW22" s="271">
        <v>432</v>
      </c>
      <c r="AX22" s="271">
        <v>312</v>
      </c>
      <c r="AY22" s="271">
        <f t="shared" si="21"/>
        <v>0.58064516129032262</v>
      </c>
      <c r="AZ22" s="271">
        <f t="shared" si="22"/>
        <v>0.41935483870967744</v>
      </c>
      <c r="BD22">
        <f t="shared" si="17"/>
        <v>2006</v>
      </c>
      <c r="BE22" s="306">
        <v>38777</v>
      </c>
      <c r="BF22" s="114">
        <f t="shared" si="23"/>
        <v>8.8260300979583945</v>
      </c>
      <c r="BG22" s="115">
        <f t="shared" si="18"/>
        <v>8.8260300979583945</v>
      </c>
      <c r="BI22">
        <f t="shared" si="9"/>
        <v>2005</v>
      </c>
      <c r="BJ22" s="306">
        <v>38383</v>
      </c>
      <c r="BK22">
        <f t="shared" si="10"/>
        <v>6.2105496690000006</v>
      </c>
      <c r="BL22">
        <v>6.2430993380000004</v>
      </c>
      <c r="BM22">
        <v>6.1779999999999999</v>
      </c>
      <c r="BO22">
        <f t="shared" si="11"/>
        <v>2008</v>
      </c>
      <c r="BP22" s="286">
        <v>39783</v>
      </c>
      <c r="BQ22">
        <f t="shared" si="12"/>
        <v>13.66</v>
      </c>
      <c r="BR22">
        <v>13.125</v>
      </c>
      <c r="BS22">
        <v>14.195</v>
      </c>
      <c r="BT22">
        <f t="shared" si="1"/>
        <v>2015</v>
      </c>
      <c r="BU22" s="286">
        <v>42156</v>
      </c>
      <c r="BV22">
        <f t="shared" si="2"/>
        <v>2.3834166666666672</v>
      </c>
      <c r="BW22" s="580">
        <v>2.5126666666666675</v>
      </c>
      <c r="BX22" s="580">
        <v>2.2541666666666669</v>
      </c>
      <c r="BY22">
        <f t="shared" si="3"/>
        <v>2018</v>
      </c>
      <c r="BZ22" s="286">
        <v>43252</v>
      </c>
      <c r="CA22">
        <f t="shared" si="4"/>
        <v>1.7749999999999999</v>
      </c>
      <c r="CB22" s="580">
        <v>2.0499999999999998</v>
      </c>
      <c r="CC22" s="580">
        <v>1.5</v>
      </c>
      <c r="CD22" s="364">
        <f t="shared" si="5"/>
        <v>2019</v>
      </c>
      <c r="CE22" s="381">
        <v>43617</v>
      </c>
      <c r="CF22" s="364">
        <f t="shared" si="13"/>
        <v>1.5729464285714285</v>
      </c>
      <c r="CG22" s="411">
        <v>1.5619642857142855</v>
      </c>
      <c r="CH22" s="411">
        <v>1.5839285714285716</v>
      </c>
      <c r="CI22" s="364">
        <f t="shared" si="6"/>
        <v>2021</v>
      </c>
      <c r="CJ22" s="381">
        <v>44348</v>
      </c>
      <c r="CK22" s="364">
        <f t="shared" si="7"/>
        <v>3.1019166666666669</v>
      </c>
      <c r="CL22" s="411">
        <v>3.1234999999999999</v>
      </c>
      <c r="CM22" s="411">
        <v>3.0803333333333334</v>
      </c>
      <c r="CO22" t="s">
        <v>91</v>
      </c>
      <c r="CZ22">
        <v>2009</v>
      </c>
      <c r="DA22" s="285">
        <v>4.29</v>
      </c>
      <c r="DB22" s="285">
        <v>4.1399999999999997</v>
      </c>
    </row>
    <row r="23" spans="3:106">
      <c r="C23" s="236">
        <v>2005</v>
      </c>
      <c r="D23" s="229">
        <f t="shared" si="14"/>
        <v>61.282160463674074</v>
      </c>
      <c r="E23" s="229">
        <f t="shared" si="14"/>
        <v>50.468002675669666</v>
      </c>
      <c r="F23" s="229">
        <f t="shared" si="14"/>
        <v>56.625700486208387</v>
      </c>
      <c r="G23" s="226">
        <f t="shared" si="24"/>
        <v>3.96</v>
      </c>
      <c r="H23" s="28">
        <f t="shared" si="25"/>
        <v>5.5083917806249998</v>
      </c>
      <c r="I23" s="230">
        <f>I24/(1+$V20)</f>
        <v>6.624216040047231</v>
      </c>
      <c r="J23" s="28"/>
      <c r="K23" s="229"/>
      <c r="L23" s="229"/>
      <c r="M23" s="588"/>
      <c r="N23" s="588"/>
      <c r="O23" s="28"/>
      <c r="P23" s="485"/>
      <c r="Q23" s="574">
        <v>3.2000000000000001E-2</v>
      </c>
      <c r="R23" s="574">
        <v>3.2000000000000001E-2</v>
      </c>
      <c r="S23" s="169">
        <v>3.0000000000000001E-3</v>
      </c>
      <c r="T23" s="169">
        <v>3.0000000000000001E-3</v>
      </c>
      <c r="U23" s="169">
        <v>2.1999999999999999E-2</v>
      </c>
      <c r="V23" s="169">
        <v>1.7000000000000001E-2</v>
      </c>
      <c r="W23" s="169"/>
      <c r="X23" s="487"/>
      <c r="Y23" s="287">
        <f t="shared" si="26"/>
        <v>5.2748738999999985</v>
      </c>
      <c r="Z23" s="287"/>
      <c r="AA23" s="287"/>
      <c r="AB23" s="287"/>
      <c r="AC23" s="287">
        <v>1.1399999999999999</v>
      </c>
      <c r="AD23" s="287">
        <v>0.70542203335254472</v>
      </c>
      <c r="AE23" s="287">
        <v>0.70542203335254472</v>
      </c>
      <c r="AF23" s="577"/>
      <c r="AG23" s="577"/>
      <c r="AH23" s="577"/>
      <c r="AI23" s="577"/>
      <c r="AK23" s="472">
        <f t="shared" ref="AK23:AK65" si="27">+AK22+1</f>
        <v>2009</v>
      </c>
      <c r="AM23">
        <v>2012</v>
      </c>
      <c r="AN23" s="562">
        <v>22</v>
      </c>
      <c r="AO23" s="562">
        <f t="shared" si="8"/>
        <v>35.45584940933778</v>
      </c>
      <c r="AP23" s="562"/>
      <c r="AR23">
        <f t="shared" si="19"/>
        <v>2006</v>
      </c>
      <c r="AS23" s="307">
        <f t="shared" si="20"/>
        <v>38808</v>
      </c>
      <c r="AT23" s="308">
        <f t="shared" si="15"/>
        <v>56.74102812803104</v>
      </c>
      <c r="AU23" s="308">
        <f t="shared" si="15"/>
        <v>41.610087293889428</v>
      </c>
      <c r="AV23" s="287">
        <f t="shared" si="16"/>
        <v>50.234723569350152</v>
      </c>
      <c r="AW23" s="271">
        <v>400</v>
      </c>
      <c r="AX23" s="271">
        <v>320</v>
      </c>
      <c r="AY23" s="271">
        <f t="shared" si="21"/>
        <v>0.55555555555555558</v>
      </c>
      <c r="AZ23" s="271">
        <f t="shared" si="22"/>
        <v>0.44444444444444442</v>
      </c>
      <c r="BD23">
        <f t="shared" si="17"/>
        <v>2006</v>
      </c>
      <c r="BE23" s="306">
        <v>38808</v>
      </c>
      <c r="BF23" s="114">
        <f t="shared" si="23"/>
        <v>6.9779046407480143</v>
      </c>
      <c r="BG23" s="115">
        <f t="shared" si="18"/>
        <v>6.9779046407480143</v>
      </c>
      <c r="BI23">
        <f t="shared" si="9"/>
        <v>2005</v>
      </c>
      <c r="BJ23" s="306">
        <v>38411</v>
      </c>
      <c r="BK23">
        <f t="shared" si="10"/>
        <v>6.1605496689999999</v>
      </c>
      <c r="BL23">
        <v>6.1930993379999997</v>
      </c>
      <c r="BM23">
        <v>6.1280000000000001</v>
      </c>
      <c r="BO23">
        <f t="shared" si="11"/>
        <v>2009</v>
      </c>
      <c r="BP23" s="286">
        <v>39814</v>
      </c>
      <c r="BQ23">
        <f t="shared" si="12"/>
        <v>13.9175</v>
      </c>
      <c r="BR23">
        <v>13.315</v>
      </c>
      <c r="BS23">
        <v>14.52</v>
      </c>
      <c r="BT23">
        <f t="shared" si="1"/>
        <v>2015</v>
      </c>
      <c r="BU23" s="286">
        <v>42186</v>
      </c>
      <c r="BV23">
        <f t="shared" si="2"/>
        <v>2.4612096774193546</v>
      </c>
      <c r="BW23" s="580">
        <v>2.6649999999999996</v>
      </c>
      <c r="BX23" s="580">
        <v>2.2574193548387096</v>
      </c>
      <c r="BY23">
        <f t="shared" si="3"/>
        <v>2018</v>
      </c>
      <c r="BZ23" s="286">
        <v>43282</v>
      </c>
      <c r="CA23">
        <f t="shared" si="4"/>
        <v>2.2631451612903226</v>
      </c>
      <c r="CB23" s="580">
        <v>2.3737096774193547</v>
      </c>
      <c r="CC23" s="580">
        <v>2.1525806451612906</v>
      </c>
      <c r="CD23" s="364">
        <f t="shared" si="5"/>
        <v>2019</v>
      </c>
      <c r="CE23" s="381">
        <v>43647</v>
      </c>
      <c r="CF23" s="364">
        <f t="shared" si="13"/>
        <v>2.0045967741935486</v>
      </c>
      <c r="CG23" s="411">
        <v>1.9983870967741935</v>
      </c>
      <c r="CH23" s="411">
        <v>2.0108064516129036</v>
      </c>
      <c r="CI23" s="364">
        <f t="shared" si="6"/>
        <v>2021</v>
      </c>
      <c r="CJ23" s="381">
        <v>44378</v>
      </c>
      <c r="CK23" s="364">
        <f t="shared" si="7"/>
        <v>3.5867741935483872</v>
      </c>
      <c r="CL23" s="411">
        <v>3.6254838709677424</v>
      </c>
      <c r="CM23" s="411">
        <v>3.5480645161290325</v>
      </c>
      <c r="CO23" t="s">
        <v>92</v>
      </c>
      <c r="CZ23">
        <v>2010</v>
      </c>
      <c r="DA23" s="285">
        <v>3.77</v>
      </c>
      <c r="DB23" s="285">
        <v>3.65</v>
      </c>
    </row>
    <row r="24" spans="3:106">
      <c r="C24" s="236">
        <v>2006</v>
      </c>
      <c r="D24" s="28">
        <f t="array" ref="D24">SUM((AT$20:AT$389)*(AW$20:AW$389)*($AR$20:$AR$389=$C24))/SUM((AW$20:AW$389)*($AR$20:$AR$389=$C24))</f>
        <v>63.181907438047965</v>
      </c>
      <c r="E24" s="28">
        <f t="array" ref="E24">SUM((AU$20:AU$389)*(AX$20:AX$389)*($AR$20:$AR$389=$C24))/SUM((AX$20:AX$389)*($AR$20:$AR$389=$C24))</f>
        <v>52.032510758615423</v>
      </c>
      <c r="F24" s="28">
        <f t="array" ref="F24">(SUM((AV$20:AV$389)*(AW$20:AW$389)*($AR$20:$AR$389=$C24))+SUM((AV$20:AV$389)*(AX$20:AX$389)*($AR$20:$AR$389=$C24)))/(SUM((AW$20:AW$389)*($AR$20:$AR$389=$C24))+SUM((AX$20:AX$389)*($AR$20:$AR$389=$C24)))</f>
        <v>58.381097201280845</v>
      </c>
      <c r="G24" s="226">
        <f t="shared" si="24"/>
        <v>4</v>
      </c>
      <c r="H24" s="28">
        <f t="shared" si="25"/>
        <v>5.0513097146666661</v>
      </c>
      <c r="I24" s="28">
        <f>(SUM((BF$20:BF$389)*(AW$20:AW$389)*($AR$20:$AR$389=$C24))+SUM((BF$20:BF$389)*(AX$20:AX$389)*($AR$20:$AR$389=$C24)))/(SUM((AW$20:AW$389)*($AR$20:$AR$389=$C24))+SUM((AX$20:AX$389)*($AR$20:$AR$389=$C24)))</f>
        <v>6.8295667372886948</v>
      </c>
      <c r="J24" s="28"/>
      <c r="K24" s="28"/>
      <c r="L24" s="28"/>
      <c r="M24" s="589"/>
      <c r="N24" s="589"/>
      <c r="O24" s="28"/>
      <c r="P24" s="485"/>
      <c r="Q24" s="574">
        <v>3.2000000000000001E-2</v>
      </c>
      <c r="R24" s="574">
        <v>3.2000000000000001E-2</v>
      </c>
      <c r="S24" s="169">
        <v>1.2999999999999999E-2</v>
      </c>
      <c r="T24" s="169">
        <v>1.2999999999999999E-2</v>
      </c>
      <c r="U24" s="169">
        <v>1.7000000000000001E-2</v>
      </c>
      <c r="V24" s="169">
        <v>1.9E-2</v>
      </c>
      <c r="W24" s="169"/>
      <c r="X24" s="487"/>
      <c r="Y24" s="287">
        <f t="shared" si="26"/>
        <v>5.3750965040999983</v>
      </c>
      <c r="Z24" s="287"/>
      <c r="AA24" s="287"/>
      <c r="AB24" s="287"/>
      <c r="AC24" s="287">
        <v>1.1499999999999999</v>
      </c>
      <c r="AD24" s="287">
        <v>0.71219194321303181</v>
      </c>
      <c r="AE24" s="287">
        <v>0.71219194321303181</v>
      </c>
      <c r="AF24" s="577"/>
      <c r="AG24" s="577"/>
      <c r="AH24" s="577"/>
      <c r="AI24" s="577"/>
      <c r="AK24" s="472">
        <f t="shared" si="27"/>
        <v>2010</v>
      </c>
      <c r="AM24">
        <v>2013</v>
      </c>
      <c r="AN24" s="562">
        <v>23</v>
      </c>
      <c r="AO24" s="562">
        <f t="shared" si="8"/>
        <v>37.067478927944045</v>
      </c>
      <c r="AP24" s="562"/>
      <c r="AR24">
        <f t="shared" si="19"/>
        <v>2006</v>
      </c>
      <c r="AS24" s="307">
        <f t="shared" si="20"/>
        <v>38838</v>
      </c>
      <c r="AT24" s="308">
        <f t="shared" si="15"/>
        <v>46.556741028128037</v>
      </c>
      <c r="AU24" s="308">
        <f t="shared" si="15"/>
        <v>31.901066925315231</v>
      </c>
      <c r="AV24" s="287">
        <f t="shared" si="16"/>
        <v>40.254801163918529</v>
      </c>
      <c r="AW24" s="271">
        <v>416</v>
      </c>
      <c r="AX24" s="271">
        <v>328</v>
      </c>
      <c r="AY24" s="271">
        <f t="shared" si="21"/>
        <v>0.55913978494623651</v>
      </c>
      <c r="AZ24" s="271">
        <f t="shared" si="22"/>
        <v>0.44086021505376344</v>
      </c>
      <c r="BD24">
        <f t="shared" si="17"/>
        <v>2006</v>
      </c>
      <c r="BE24" s="306">
        <v>38838</v>
      </c>
      <c r="BF24" s="114">
        <f t="shared" si="23"/>
        <v>6.8295667372886948</v>
      </c>
      <c r="BG24" s="115">
        <f t="shared" si="18"/>
        <v>6.8295667372886948</v>
      </c>
      <c r="BI24">
        <f t="shared" si="9"/>
        <v>2005</v>
      </c>
      <c r="BJ24" s="306">
        <v>38442</v>
      </c>
      <c r="BK24">
        <f t="shared" si="10"/>
        <v>6.0055496690000005</v>
      </c>
      <c r="BL24">
        <v>6.0380993380000003</v>
      </c>
      <c r="BM24">
        <v>5.9729999999999999</v>
      </c>
      <c r="BO24">
        <f t="shared" si="11"/>
        <v>2009</v>
      </c>
      <c r="BP24" s="286">
        <v>39845</v>
      </c>
      <c r="BQ24">
        <f t="shared" si="12"/>
        <v>13.906749999999999</v>
      </c>
      <c r="BR24">
        <v>13.3255</v>
      </c>
      <c r="BS24">
        <v>14.488</v>
      </c>
      <c r="BT24">
        <f t="shared" si="1"/>
        <v>2015</v>
      </c>
      <c r="BU24" s="286">
        <v>42217</v>
      </c>
      <c r="BV24">
        <f t="shared" si="2"/>
        <v>2.5201612903225805</v>
      </c>
      <c r="BW24" s="580">
        <v>2.5983870967741929</v>
      </c>
      <c r="BX24" s="580">
        <v>2.4419354838709681</v>
      </c>
      <c r="BY24">
        <f t="shared" si="3"/>
        <v>2018</v>
      </c>
      <c r="BZ24" s="286">
        <v>43313</v>
      </c>
      <c r="CA24">
        <f t="shared" si="4"/>
        <v>2.4433064516129042</v>
      </c>
      <c r="CB24" s="580">
        <v>2.5282258064516143</v>
      </c>
      <c r="CC24" s="580">
        <v>2.358387096774194</v>
      </c>
      <c r="CD24" s="364">
        <f t="shared" si="5"/>
        <v>2019</v>
      </c>
      <c r="CE24" s="381">
        <v>43678</v>
      </c>
      <c r="CF24" s="364">
        <f t="shared" si="13"/>
        <v>1.8655645161290324</v>
      </c>
      <c r="CG24" s="411">
        <v>1.8662903225806453</v>
      </c>
      <c r="CH24" s="411">
        <v>1.8648387096774197</v>
      </c>
      <c r="CI24" s="364">
        <f t="shared" si="6"/>
        <v>2021</v>
      </c>
      <c r="CJ24" s="381">
        <v>44409</v>
      </c>
      <c r="CK24" s="364">
        <f t="shared" si="7"/>
        <v>3.7933064516129029</v>
      </c>
      <c r="CL24" s="411">
        <v>3.8769354838709678</v>
      </c>
      <c r="CM24" s="411">
        <v>3.7096774193548381</v>
      </c>
      <c r="CZ24">
        <v>2011</v>
      </c>
      <c r="DA24" s="285">
        <v>3.91</v>
      </c>
      <c r="DB24" s="285">
        <v>4.01</v>
      </c>
    </row>
    <row r="25" spans="3:106">
      <c r="C25">
        <f>+C24+1</f>
        <v>2007</v>
      </c>
      <c r="D25" s="28">
        <f t="array" ref="D25">SUM((AT$20:AT$389)*(AW$20:AW$389)*($AR$20:$AR$389=$C25))/SUM((AW$20:AW$389)*($AR$20:$AR$389=$C25))</f>
        <v>69.601889250814324</v>
      </c>
      <c r="E25" s="28">
        <f t="array" ref="E25">SUM((AU$20:AU$389)*(AX$20:AX$389)*($AR$20:$AR$389=$C25))/SUM((AX$20:AX$389)*($AR$20:$AR$389=$C25))</f>
        <v>57.56770270270269</v>
      </c>
      <c r="F25" s="28">
        <f t="array" ref="F25">(SUM((AV$20:AV$389)*(AW$20:AW$389)*($AR$20:$AR$389=$C25))+SUM((AV$20:AV$389)*(AX$20:AX$389)*($AR$20:$AR$389=$C25)))/(SUM((AW$20:AW$389)*($AR$20:$AR$389=$C25))+SUM((AX$20:AX$389)*($AR$20:$AR$389=$C25)))</f>
        <v>64.461059246575331</v>
      </c>
      <c r="G25" s="226">
        <f t="shared" si="24"/>
        <v>4.22</v>
      </c>
      <c r="H25" s="28">
        <f t="shared" si="25"/>
        <v>4.6075531055833343</v>
      </c>
      <c r="I25" s="28">
        <f t="array" ref="I25">(SUM((BF$20:BF$389)*(AW$20:AW$389)*($AR$20:$AR$389=$C25))+SUM((BF$20:BF$389)*(AX$20:AX$389)*($AR$20:$AR$389=$C25)))/(SUM((AW$20:AW$389)*($AR$20:$AR$389=$C25))+SUM((AX$20:AX$389)*($AR$20:$AR$389=$C25)))</f>
        <v>8.0291312655031408</v>
      </c>
      <c r="J25" s="226"/>
      <c r="K25" s="28"/>
      <c r="L25" s="28"/>
      <c r="M25" s="589"/>
      <c r="N25" s="589"/>
      <c r="O25" s="226"/>
      <c r="P25" s="485"/>
      <c r="Q25" s="574">
        <v>2.8000000000000001E-2</v>
      </c>
      <c r="R25" s="574">
        <v>2.8000000000000001E-2</v>
      </c>
      <c r="S25" s="169">
        <v>2.5999999999999999E-2</v>
      </c>
      <c r="T25" s="169">
        <v>2.5999999999999999E-2</v>
      </c>
      <c r="U25" s="169">
        <v>1.9E-2</v>
      </c>
      <c r="V25" s="169">
        <v>1.9E-2</v>
      </c>
      <c r="W25" s="169"/>
      <c r="X25" s="487"/>
      <c r="Y25" s="287">
        <f t="shared" si="26"/>
        <v>5.4772233376778976</v>
      </c>
      <c r="Z25" s="287"/>
      <c r="AA25" s="287"/>
      <c r="AB25" s="287"/>
      <c r="AC25" s="287">
        <v>6.9703503865838892</v>
      </c>
      <c r="AD25" s="287">
        <v>0.72617680702689291</v>
      </c>
      <c r="AE25" s="287">
        <v>0.72617680702689291</v>
      </c>
      <c r="AF25" s="577"/>
      <c r="AG25" s="577"/>
      <c r="AH25" s="577"/>
      <c r="AI25" s="577"/>
      <c r="AK25" s="472">
        <f t="shared" si="27"/>
        <v>2011</v>
      </c>
      <c r="AM25">
        <v>2014</v>
      </c>
      <c r="AN25" s="562">
        <v>23</v>
      </c>
      <c r="AO25" s="562">
        <f t="shared" si="8"/>
        <v>37.067478927944045</v>
      </c>
      <c r="AP25" s="562"/>
      <c r="AR25">
        <f t="shared" si="19"/>
        <v>2006</v>
      </c>
      <c r="AS25" s="307">
        <f t="shared" si="20"/>
        <v>38869</v>
      </c>
      <c r="AT25" s="308">
        <f t="shared" si="15"/>
        <v>43.161978661493698</v>
      </c>
      <c r="AU25" s="308">
        <f t="shared" si="15"/>
        <v>30.514064015518915</v>
      </c>
      <c r="AV25" s="287">
        <f t="shared" si="16"/>
        <v>37.723375363724536</v>
      </c>
      <c r="AW25" s="271">
        <v>416</v>
      </c>
      <c r="AX25" s="271">
        <v>304</v>
      </c>
      <c r="AY25" s="271">
        <f t="shared" si="21"/>
        <v>0.57777777777777772</v>
      </c>
      <c r="AZ25" s="271">
        <f t="shared" si="22"/>
        <v>0.42222222222222222</v>
      </c>
      <c r="BD25">
        <f t="shared" si="17"/>
        <v>2006</v>
      </c>
      <c r="BE25" s="306">
        <v>38869</v>
      </c>
      <c r="BF25" s="114">
        <f t="shared" si="23"/>
        <v>6.9122733594619028</v>
      </c>
      <c r="BG25" s="115">
        <f t="shared" si="18"/>
        <v>6.9122733594619028</v>
      </c>
      <c r="BI25">
        <f t="shared" si="9"/>
        <v>2005</v>
      </c>
      <c r="BJ25" s="306">
        <v>38472</v>
      </c>
      <c r="BK25">
        <f t="shared" si="10"/>
        <v>5.3331220135000006</v>
      </c>
      <c r="BL25">
        <v>5.4254084110000003</v>
      </c>
      <c r="BM25">
        <v>5.240835616</v>
      </c>
      <c r="BO25">
        <f t="shared" si="11"/>
        <v>2009</v>
      </c>
      <c r="BP25" s="286">
        <v>39873</v>
      </c>
      <c r="BQ25">
        <f t="shared" si="12"/>
        <v>13.205</v>
      </c>
      <c r="BR25">
        <v>13.01</v>
      </c>
      <c r="BS25">
        <v>13.4</v>
      </c>
      <c r="BT25">
        <f t="shared" si="1"/>
        <v>2015</v>
      </c>
      <c r="BU25" s="286">
        <v>42248</v>
      </c>
      <c r="BV25">
        <f t="shared" si="2"/>
        <v>2.5133333333333328</v>
      </c>
      <c r="BW25" s="580">
        <v>2.529833333333332</v>
      </c>
      <c r="BX25" s="580">
        <v>2.4968333333333339</v>
      </c>
      <c r="BY25">
        <f t="shared" si="3"/>
        <v>2018</v>
      </c>
      <c r="BZ25" s="286">
        <v>43344</v>
      </c>
      <c r="CA25">
        <f t="shared" si="4"/>
        <v>2.3125</v>
      </c>
      <c r="CB25" s="580">
        <v>2.3220000000000001</v>
      </c>
      <c r="CC25" s="580">
        <v>2.3029999999999999</v>
      </c>
      <c r="CD25" s="364">
        <f t="shared" si="5"/>
        <v>2019</v>
      </c>
      <c r="CE25" s="381">
        <v>43709</v>
      </c>
      <c r="CF25" s="364">
        <f t="shared" si="13"/>
        <v>2.2496666666666671</v>
      </c>
      <c r="CG25" s="411">
        <v>2.2449999999999997</v>
      </c>
      <c r="CH25" s="411">
        <v>2.2543333333333342</v>
      </c>
      <c r="CI25" s="364">
        <f t="shared" si="6"/>
        <v>2021</v>
      </c>
      <c r="CJ25" s="381">
        <v>44440</v>
      </c>
      <c r="CK25" s="364">
        <f t="shared" si="7"/>
        <v>5.1959166666666672</v>
      </c>
      <c r="CL25" s="411">
        <v>5.214833333333333</v>
      </c>
      <c r="CM25" s="411">
        <v>5.1770000000000023</v>
      </c>
      <c r="CZ25">
        <v>2012</v>
      </c>
      <c r="DA25" s="285">
        <v>4.4000000000000004</v>
      </c>
      <c r="DB25" s="285">
        <v>4.53</v>
      </c>
    </row>
    <row r="26" spans="3:106">
      <c r="C26">
        <f>+C25+1</f>
        <v>2008</v>
      </c>
      <c r="D26" s="28">
        <f t="array" ref="D26">SUM((AT$20:AT$389)*(AW$20:AW$389)*($AR$20:$AR$389=$C26))/SUM((AW$20:AW$389)*($AR$20:$AR$389=$C26))</f>
        <v>69.778360389610398</v>
      </c>
      <c r="E26" s="28">
        <f t="array" ref="E26">SUM((AU$20:AU$389)*(AX$20:AX$389)*($AR$20:$AR$389=$C26))/SUM((AX$20:AX$389)*($AR$20:$AR$389=$C26))</f>
        <v>57.537904564315362</v>
      </c>
      <c r="F26" s="28">
        <f t="array" ref="F26">(SUM((AV$20:AV$389)*(AW$20:AW$389)*($AR$20:$AR$389=$C26))+SUM((AV$20:AV$389)*(AX$20:AX$389)*($AR$20:$AR$389=$C26)))/(SUM((AW$20:AW$389)*($AR$20:$AR$389=$C26))+SUM((AX$20:AX$389)*($AR$20:$AR$389=$C26)))</f>
        <v>64.5269524590164</v>
      </c>
      <c r="G26" s="226">
        <f t="shared" si="24"/>
        <v>4.42</v>
      </c>
      <c r="H26" s="28">
        <f t="shared" si="25"/>
        <v>4.278110837291667</v>
      </c>
      <c r="I26" s="28">
        <f t="array" ref="I26">(SUM((BF$20:BF$389)*(AW$20:AW$389)*($AR$20:$AR$389=$C26))+SUM((BF$20:BF$389)*(AX$20:AX$389)*($AR$20:$AR$389=$C26)))/(SUM((AW$20:AW$389)*($AR$20:$AR$389=$C26))+SUM((AX$20:AX$389)*($AR$20:$AR$389=$C26)))</f>
        <v>7.9707205782722266</v>
      </c>
      <c r="J26" s="226">
        <f t="shared" ref="J26:J56" si="28">AVERAGEIF($BO$17:$BO$389,$C26,$BQ$17:$BQ$389)</f>
        <v>12.545583333333333</v>
      </c>
      <c r="K26" s="28"/>
      <c r="L26" s="28"/>
      <c r="M26" s="589"/>
      <c r="N26" s="589"/>
      <c r="O26" s="226"/>
      <c r="P26" s="485"/>
      <c r="Q26" s="574">
        <v>2.8000000000000001E-2</v>
      </c>
      <c r="R26" s="574">
        <v>2.8000000000000001E-2</v>
      </c>
      <c r="S26" s="169">
        <v>0.02</v>
      </c>
      <c r="T26" s="169">
        <v>0.02</v>
      </c>
      <c r="U26" s="169">
        <v>1.9E-2</v>
      </c>
      <c r="V26" s="169">
        <v>0.02</v>
      </c>
      <c r="W26" s="169"/>
      <c r="X26" s="487"/>
      <c r="Y26" s="287">
        <f t="shared" si="26"/>
        <v>5.5867678044314557</v>
      </c>
      <c r="Z26" s="287"/>
      <c r="AA26" s="287"/>
      <c r="AB26" s="287"/>
      <c r="AC26" s="287">
        <v>6.3237132555457718</v>
      </c>
      <c r="AD26" s="287">
        <v>0.73956302428357501</v>
      </c>
      <c r="AE26" s="287">
        <v>0.73956302428357501</v>
      </c>
      <c r="AF26" s="577"/>
      <c r="AG26" s="577"/>
      <c r="AH26" s="577"/>
      <c r="AI26" s="577"/>
      <c r="AK26" s="472">
        <f t="shared" si="27"/>
        <v>2012</v>
      </c>
      <c r="AM26">
        <v>2015</v>
      </c>
      <c r="AN26" s="562">
        <v>23</v>
      </c>
      <c r="AO26" s="562">
        <f t="shared" si="8"/>
        <v>37.067478927944045</v>
      </c>
      <c r="AP26" s="562"/>
      <c r="AR26">
        <f t="shared" si="19"/>
        <v>2006</v>
      </c>
      <c r="AS26" s="307">
        <f t="shared" si="20"/>
        <v>38899</v>
      </c>
      <c r="AT26" s="308">
        <f t="shared" si="15"/>
        <v>69.398642095053347</v>
      </c>
      <c r="AU26" s="308">
        <f t="shared" si="15"/>
        <v>54.122211445198836</v>
      </c>
      <c r="AV26" s="287">
        <f t="shared" si="16"/>
        <v>62.829776915615909</v>
      </c>
      <c r="AW26" s="271">
        <v>400</v>
      </c>
      <c r="AX26" s="271">
        <v>344</v>
      </c>
      <c r="AY26" s="271">
        <f t="shared" si="21"/>
        <v>0.5376344086021505</v>
      </c>
      <c r="AZ26" s="271">
        <f t="shared" si="22"/>
        <v>0.46236559139784944</v>
      </c>
      <c r="BD26">
        <f t="shared" si="17"/>
        <v>2006</v>
      </c>
      <c r="BE26" s="306">
        <v>38899</v>
      </c>
      <c r="BF26" s="114">
        <f t="shared" si="23"/>
        <v>7.0711927000346524</v>
      </c>
      <c r="BG26" s="115">
        <f t="shared" si="18"/>
        <v>7.0711927000346524</v>
      </c>
      <c r="BI26">
        <f t="shared" si="9"/>
        <v>2005</v>
      </c>
      <c r="BJ26" s="306">
        <v>38503</v>
      </c>
      <c r="BK26">
        <f t="shared" si="10"/>
        <v>5.1861220135000003</v>
      </c>
      <c r="BL26">
        <v>5.278408411</v>
      </c>
      <c r="BM26">
        <v>5.0938356159999998</v>
      </c>
      <c r="BO26">
        <f t="shared" si="11"/>
        <v>2009</v>
      </c>
      <c r="BP26" s="286">
        <v>39904</v>
      </c>
      <c r="BQ26">
        <f t="shared" si="12"/>
        <v>10.885000000000002</v>
      </c>
      <c r="BR26">
        <v>11.005000000000001</v>
      </c>
      <c r="BS26">
        <v>10.765000000000001</v>
      </c>
      <c r="BT26">
        <f t="shared" si="1"/>
        <v>2015</v>
      </c>
      <c r="BU26" s="286">
        <v>42278</v>
      </c>
      <c r="BV26">
        <f t="shared" si="2"/>
        <v>2.1750806451612901</v>
      </c>
      <c r="BW26" s="580">
        <v>2.1909677419354834</v>
      </c>
      <c r="BX26" s="580">
        <v>2.1591935483870968</v>
      </c>
      <c r="BY26">
        <f t="shared" si="3"/>
        <v>2018</v>
      </c>
      <c r="BZ26" s="286">
        <v>43374</v>
      </c>
      <c r="CA26">
        <f t="shared" si="4"/>
        <v>2.125</v>
      </c>
      <c r="CB26" s="580">
        <v>2</v>
      </c>
      <c r="CC26" s="580">
        <v>2.25</v>
      </c>
      <c r="CD26" s="364">
        <f t="shared" si="5"/>
        <v>2019</v>
      </c>
      <c r="CE26" s="381">
        <v>43739</v>
      </c>
      <c r="CF26" s="364">
        <f t="shared" si="13"/>
        <v>2.7987903225806461</v>
      </c>
      <c r="CG26" s="411">
        <v>2.2445161290322586</v>
      </c>
      <c r="CH26" s="411">
        <v>3.3530645161290331</v>
      </c>
      <c r="CI26" s="364">
        <f t="shared" si="6"/>
        <v>2021</v>
      </c>
      <c r="CJ26" s="381">
        <v>44470</v>
      </c>
      <c r="CK26" s="364">
        <f t="shared" si="7"/>
        <v>5.5597580645161297</v>
      </c>
      <c r="CL26" s="411">
        <v>5.4350000000000023</v>
      </c>
      <c r="CM26" s="411">
        <v>5.6845161290322563</v>
      </c>
      <c r="CZ26">
        <v>2013</v>
      </c>
      <c r="DA26" s="285">
        <v>4.6399999999999997</v>
      </c>
      <c r="DB26" s="285">
        <v>4.7699999999999996</v>
      </c>
    </row>
    <row r="27" spans="3:106">
      <c r="C27">
        <f t="shared" ref="C27:C88" si="29">+C26+1</f>
        <v>2009</v>
      </c>
      <c r="D27" s="28">
        <f t="array" ref="D27">SUM((AT$20:AT$389)*(AW$20:AW$389)*($AR$20:$AR$389=$C27))/SUM((AW$20:AW$389)*($AR$20:$AR$389=$C27))</f>
        <v>66.730374592833869</v>
      </c>
      <c r="E27" s="28">
        <f t="array" ref="E27">SUM((AU$20:AU$389)*(AX$20:AX$389)*($AR$20:$AR$389=$C27))/SUM((AX$20:AX$389)*($AR$20:$AR$389=$C27))</f>
        <v>54.76019750519751</v>
      </c>
      <c r="F27" s="28">
        <f t="array" ref="F27">(SUM((AV$20:AV$389)*(AW$20:AW$389)*($AR$20:$AR$389=$C27))+SUM((AV$20:AV$389)*(AX$20:AX$389)*($AR$20:$AR$389=$C27)))/(SUM((AW$20:AW$389)*($AR$20:$AR$389=$C27))+SUM((AX$20:AX$389)*($AR$20:$AR$389=$C27)))</f>
        <v>61.597048630136982</v>
      </c>
      <c r="G27" s="226">
        <f t="shared" si="24"/>
        <v>4.29</v>
      </c>
      <c r="H27" s="28">
        <f t="shared" si="25"/>
        <v>4.2066481892916672</v>
      </c>
      <c r="I27" s="28">
        <f t="array" ref="I27">(SUM((BF$20:BF$389)*(AW$20:AW$389)*($AR$20:$AR$389=$C27))+SUM((BF$20:BF$389)*(AX$20:AX$389)*($AR$20:$AR$389=$C27)))/(SUM((AW$20:AW$389)*($AR$20:$AR$389=$C27))+SUM((AX$20:AX$389)*($AR$20:$AR$389=$C27)))</f>
        <v>7.7758276535043622</v>
      </c>
      <c r="J27" s="226">
        <f t="shared" si="28"/>
        <v>11.848729166666667</v>
      </c>
      <c r="K27" s="28"/>
      <c r="L27" s="28"/>
      <c r="M27" s="589"/>
      <c r="N27" s="589"/>
      <c r="O27" s="226"/>
      <c r="P27" s="485"/>
      <c r="Q27" s="574">
        <v>2E-3</v>
      </c>
      <c r="R27" s="574">
        <v>2E-3</v>
      </c>
      <c r="S27" s="169">
        <v>1.4999999999999999E-2</v>
      </c>
      <c r="T27" s="169">
        <v>1.4999999999999999E-2</v>
      </c>
      <c r="U27" s="169">
        <v>1.7999999999999999E-2</v>
      </c>
      <c r="V27" s="169">
        <v>1.9E-2</v>
      </c>
      <c r="W27" s="169"/>
      <c r="X27" s="487"/>
      <c r="Y27" s="287">
        <f t="shared" si="26"/>
        <v>5.6929163927156532</v>
      </c>
      <c r="Z27" s="287"/>
      <c r="AA27" s="287"/>
      <c r="AB27" s="287"/>
      <c r="AC27" s="287">
        <v>3.8713473049661755</v>
      </c>
      <c r="AD27" s="287">
        <v>0.75149253714201725</v>
      </c>
      <c r="AE27" s="287">
        <v>0.75149253714201725</v>
      </c>
      <c r="AF27" s="577"/>
      <c r="AG27" s="577"/>
      <c r="AH27" s="577"/>
      <c r="AI27" s="577"/>
      <c r="AK27" s="472">
        <f t="shared" si="27"/>
        <v>2013</v>
      </c>
      <c r="AM27">
        <v>2016</v>
      </c>
      <c r="AN27" s="562">
        <v>23</v>
      </c>
      <c r="AO27" s="562">
        <f t="shared" si="8"/>
        <v>37.067478927944045</v>
      </c>
      <c r="AP27" s="562"/>
      <c r="AR27">
        <f t="shared" si="19"/>
        <v>2006</v>
      </c>
      <c r="AS27" s="307">
        <f t="shared" si="20"/>
        <v>38930</v>
      </c>
      <c r="AT27" s="308">
        <f t="shared" si="15"/>
        <v>81.736178467507273</v>
      </c>
      <c r="AU27" s="308">
        <f t="shared" si="15"/>
        <v>63.743937924345303</v>
      </c>
      <c r="AV27" s="287">
        <f t="shared" si="16"/>
        <v>73.999515033947631</v>
      </c>
      <c r="AW27" s="271">
        <v>432</v>
      </c>
      <c r="AX27" s="271">
        <v>312</v>
      </c>
      <c r="AY27" s="271">
        <f t="shared" si="21"/>
        <v>0.58064516129032262</v>
      </c>
      <c r="AZ27" s="271">
        <f t="shared" si="22"/>
        <v>0.41935483870967744</v>
      </c>
      <c r="BD27">
        <f t="shared" si="17"/>
        <v>2006</v>
      </c>
      <c r="BE27" s="306">
        <v>38930</v>
      </c>
      <c r="BF27" s="114">
        <f t="shared" si="23"/>
        <v>7.1601954421102452</v>
      </c>
      <c r="BG27" s="115">
        <f t="shared" si="18"/>
        <v>7.1601954421102452</v>
      </c>
      <c r="BI27">
        <f t="shared" si="9"/>
        <v>2005</v>
      </c>
      <c r="BJ27" s="306">
        <v>38533</v>
      </c>
      <c r="BK27">
        <f t="shared" si="10"/>
        <v>5.2011220135</v>
      </c>
      <c r="BL27">
        <v>5.2934084109999997</v>
      </c>
      <c r="BM27">
        <v>5.1088356160000004</v>
      </c>
      <c r="BO27">
        <f t="shared" si="11"/>
        <v>2009</v>
      </c>
      <c r="BP27" s="286">
        <v>39934</v>
      </c>
      <c r="BQ27">
        <f t="shared" si="12"/>
        <v>10.7325</v>
      </c>
      <c r="BR27">
        <v>10.8475</v>
      </c>
      <c r="BS27">
        <v>10.6175</v>
      </c>
      <c r="BT27">
        <f t="shared" si="1"/>
        <v>2015</v>
      </c>
      <c r="BU27" s="286">
        <v>42309</v>
      </c>
      <c r="BV27">
        <f t="shared" si="2"/>
        <v>2.1590000000000003</v>
      </c>
      <c r="BW27" s="580">
        <v>2.1646666666666672</v>
      </c>
      <c r="BX27" s="580">
        <v>2.1533333333333333</v>
      </c>
      <c r="BY27">
        <f t="shared" si="3"/>
        <v>2018</v>
      </c>
      <c r="BZ27" s="286">
        <v>43405</v>
      </c>
      <c r="CA27">
        <f t="shared" si="4"/>
        <v>2.32925</v>
      </c>
      <c r="CB27" s="580">
        <v>2.3105000000000002</v>
      </c>
      <c r="CC27" s="580">
        <v>2.3479999999999999</v>
      </c>
      <c r="CD27" s="364">
        <f t="shared" si="5"/>
        <v>2019</v>
      </c>
      <c r="CE27" s="381">
        <v>43770</v>
      </c>
      <c r="CF27" s="364">
        <f t="shared" si="13"/>
        <v>3.4786666666666659</v>
      </c>
      <c r="CG27" s="411">
        <v>2.8441666666666654</v>
      </c>
      <c r="CH27" s="411">
        <v>4.1131666666666664</v>
      </c>
      <c r="CI27" s="364">
        <f t="shared" si="6"/>
        <v>2021</v>
      </c>
      <c r="CJ27" s="381">
        <v>44501</v>
      </c>
      <c r="CK27" s="364">
        <f t="shared" si="7"/>
        <v>5.0317500000000006</v>
      </c>
      <c r="CL27" s="411">
        <v>5.1143333333333318</v>
      </c>
      <c r="CM27" s="411">
        <v>4.9491666666666685</v>
      </c>
      <c r="CZ27">
        <v>2014</v>
      </c>
      <c r="DA27" s="285">
        <v>4.45</v>
      </c>
      <c r="DB27" s="285">
        <v>4.53</v>
      </c>
    </row>
    <row r="28" spans="3:106">
      <c r="C28">
        <f t="shared" si="29"/>
        <v>2010</v>
      </c>
      <c r="D28" s="28">
        <f t="array" ref="D28">SUM((AT$20:AT$389)*(AW$20:AW$389)*($AR$20:$AR$389=$C28))/SUM((AW$20:AW$389)*($AR$20:$AR$389=$C28))</f>
        <v>62.227996742671003</v>
      </c>
      <c r="E28" s="28">
        <f t="array" ref="E28">SUM((AU$20:AU$389)*(AX$20:AX$389)*($AR$20:$AR$389=$C28))/SUM((AX$20:AX$389)*($AR$20:$AR$389=$C28))</f>
        <v>51.022224532224534</v>
      </c>
      <c r="F28" s="28">
        <f t="array" ref="F28">(SUM((AV$20:AV$389)*(AW$20:AW$389)*($AR$20:$AR$389=$C28))+SUM((AV$20:AV$389)*(AX$20:AX$389)*($AR$20:$AR$389=$C28)))/(SUM((AW$20:AW$389)*($AR$20:$AR$389=$C28))+SUM((AX$20:AX$389)*($AR$20:$AR$389=$C28)))</f>
        <v>57.41954863013698</v>
      </c>
      <c r="G28" s="226">
        <f t="shared" si="24"/>
        <v>3.77</v>
      </c>
      <c r="H28" s="28">
        <f t="shared" si="25"/>
        <v>4.3357920622499995</v>
      </c>
      <c r="I28" s="28">
        <f t="array" ref="I28">(SUM((BF$20:BF$389)*(AW$20:AW$389)*($AR$20:$AR$389=$C28))+SUM((BF$20:BF$389)*(AX$20:AX$389)*($AR$20:$AR$389=$C28)))/(SUM((AW$20:AW$389)*($AR$20:$AR$389=$C28))+SUM((AX$20:AX$389)*($AR$20:$AR$389=$C28)))</f>
        <v>7.4774457529777205</v>
      </c>
      <c r="J28" s="226">
        <f t="shared" si="28"/>
        <v>10.836874999999999</v>
      </c>
      <c r="K28" s="28"/>
      <c r="L28" s="28"/>
      <c r="M28" s="589"/>
      <c r="N28" s="589"/>
      <c r="O28" s="226"/>
      <c r="P28" s="485"/>
      <c r="Q28" s="574">
        <v>1.4E-2</v>
      </c>
      <c r="R28" s="574">
        <v>1.4E-2</v>
      </c>
      <c r="S28" s="169">
        <v>1.7000000000000001E-2</v>
      </c>
      <c r="T28" s="169">
        <v>1.7000000000000001E-2</v>
      </c>
      <c r="U28" s="169">
        <v>1.7999999999999999E-2</v>
      </c>
      <c r="V28" s="169">
        <v>1.7999999999999999E-2</v>
      </c>
      <c r="W28" s="169"/>
      <c r="X28" s="487"/>
      <c r="Y28" s="287">
        <f t="shared" si="26"/>
        <v>5.7953888877845348</v>
      </c>
      <c r="Z28" s="287">
        <v>3.06</v>
      </c>
      <c r="AA28" s="287">
        <v>0.77</v>
      </c>
      <c r="AB28" s="287">
        <v>0.77</v>
      </c>
      <c r="AC28" s="287">
        <v>3.06</v>
      </c>
      <c r="AD28" s="287">
        <v>0.76500000000000001</v>
      </c>
      <c r="AE28" s="287">
        <v>0.76500000000000001</v>
      </c>
      <c r="AF28" s="577"/>
      <c r="AG28" s="577"/>
      <c r="AH28" s="577"/>
      <c r="AI28" s="577"/>
      <c r="AK28" s="472">
        <f t="shared" si="27"/>
        <v>2014</v>
      </c>
      <c r="AM28">
        <v>2017</v>
      </c>
      <c r="AN28" s="562">
        <v>24</v>
      </c>
      <c r="AO28" s="562">
        <f t="shared" si="8"/>
        <v>38.679108446550309</v>
      </c>
      <c r="AP28" s="562"/>
      <c r="AR28">
        <f t="shared" si="19"/>
        <v>2006</v>
      </c>
      <c r="AS28" s="307">
        <f t="shared" si="20"/>
        <v>38961</v>
      </c>
      <c r="AT28" s="115">
        <v>56.25</v>
      </c>
      <c r="AU28" s="115">
        <v>46</v>
      </c>
      <c r="AV28" s="287">
        <f>AT28*0.57+AU28*0.43</f>
        <v>51.842500000000001</v>
      </c>
      <c r="AW28" s="271">
        <v>400</v>
      </c>
      <c r="AX28" s="271">
        <v>320</v>
      </c>
      <c r="AY28" s="271">
        <f t="shared" si="21"/>
        <v>0.55555555555555558</v>
      </c>
      <c r="AZ28" s="271">
        <f t="shared" si="22"/>
        <v>0.44444444444444442</v>
      </c>
      <c r="BD28">
        <f t="shared" si="17"/>
        <v>2006</v>
      </c>
      <c r="BE28" s="306">
        <v>38961</v>
      </c>
      <c r="BF28" s="114">
        <f t="shared" si="23"/>
        <v>4.9205655247417077</v>
      </c>
      <c r="BG28" s="115">
        <v>4.9205655247417077</v>
      </c>
      <c r="BI28">
        <f t="shared" si="9"/>
        <v>2005</v>
      </c>
      <c r="BJ28" s="306">
        <v>38564</v>
      </c>
      <c r="BK28">
        <f t="shared" si="10"/>
        <v>5.2411220135000001</v>
      </c>
      <c r="BL28">
        <v>5.3334084109999997</v>
      </c>
      <c r="BM28">
        <v>5.1488356160000004</v>
      </c>
      <c r="BO28">
        <f t="shared" si="11"/>
        <v>2009</v>
      </c>
      <c r="BP28" s="286">
        <v>39965</v>
      </c>
      <c r="BQ28">
        <f t="shared" si="12"/>
        <v>10.84</v>
      </c>
      <c r="BR28">
        <v>10.952500000000001</v>
      </c>
      <c r="BS28">
        <v>10.727499999999999</v>
      </c>
      <c r="BT28">
        <f t="shared" si="1"/>
        <v>2015</v>
      </c>
      <c r="BU28" s="286">
        <v>42339</v>
      </c>
      <c r="BV28">
        <f t="shared" si="2"/>
        <v>2.1495967741935482</v>
      </c>
      <c r="BW28" s="580">
        <v>2.1637096774193543</v>
      </c>
      <c r="BX28" s="580">
        <v>2.1354838709677426</v>
      </c>
      <c r="BY28">
        <f t="shared" si="3"/>
        <v>2018</v>
      </c>
      <c r="BZ28" s="286">
        <v>43435</v>
      </c>
      <c r="CA28">
        <f t="shared" si="4"/>
        <v>2.8347500000000001</v>
      </c>
      <c r="CB28" s="580">
        <v>2.4485000000000001</v>
      </c>
      <c r="CC28" s="580">
        <v>3.2210000000000001</v>
      </c>
      <c r="CD28" s="364">
        <f t="shared" si="5"/>
        <v>2019</v>
      </c>
      <c r="CE28" s="381">
        <v>43800</v>
      </c>
      <c r="CF28" s="364">
        <f t="shared" si="13"/>
        <v>3.0643548387096771</v>
      </c>
      <c r="CG28" s="411">
        <v>2.9279032258064519</v>
      </c>
      <c r="CH28" s="411">
        <v>3.2008064516129022</v>
      </c>
      <c r="CI28" s="364">
        <f t="shared" si="6"/>
        <v>2021</v>
      </c>
      <c r="CJ28" s="381">
        <v>44531</v>
      </c>
      <c r="CK28" s="364">
        <f t="shared" si="7"/>
        <v>5.5491935483870982</v>
      </c>
      <c r="CL28" s="411">
        <v>5.41</v>
      </c>
      <c r="CM28" s="411">
        <v>5.6883870967741963</v>
      </c>
      <c r="CZ28">
        <v>2015</v>
      </c>
      <c r="DA28" s="285">
        <v>4.88</v>
      </c>
      <c r="DB28" s="285">
        <v>4.97</v>
      </c>
    </row>
    <row r="29" spans="3:106">
      <c r="C29">
        <f t="shared" si="29"/>
        <v>2011</v>
      </c>
      <c r="D29" s="28">
        <f t="array" ref="D29">SUM((AT$20:AT$389)*(AW$20:AW$389)*($AR$20:$AR$389=$C29))/SUM((AW$20:AW$389)*($AR$20:$AR$389=$C29))</f>
        <v>58.269169381107488</v>
      </c>
      <c r="E29" s="28">
        <f t="array" ref="E29">SUM((AU$20:AU$389)*(AX$20:AX$389)*($AR$20:$AR$389=$C29))/SUM((AX$20:AX$389)*($AR$20:$AR$389=$C29))</f>
        <v>47.480977130977131</v>
      </c>
      <c r="F29" s="28">
        <f t="array" ref="F29">(SUM((AV$20:AV$389)*(AW$20:AW$389)*($AR$20:$AR$389=$C29))+SUM((AV$20:AV$389)*(AX$20:AX$389)*($AR$20:$AR$389=$C29)))/(SUM((AW$20:AW$389)*($AR$20:$AR$389=$C29))+SUM((AX$20:AX$389)*($AR$20:$AR$389=$C29)))</f>
        <v>53.634548630136983</v>
      </c>
      <c r="G29" s="226">
        <f t="shared" si="24"/>
        <v>3.91</v>
      </c>
      <c r="H29" s="28">
        <f t="shared" si="25"/>
        <v>4.395833333333333</v>
      </c>
      <c r="I29" s="28">
        <f t="array" ref="I29">(SUM((BF$20:BF$389)*(AW$20:AW$389)*($AR$20:$AR$389=$C29))+SUM((BF$20:BF$389)*(AX$20:AX$389)*($AR$20:$AR$389=$C29)))/(SUM((AW$20:AW$389)*($AR$20:$AR$389=$C29))+SUM((AX$20:AX$389)*($AR$20:$AR$389=$C29)))</f>
        <v>7.0821436233211914</v>
      </c>
      <c r="J29" s="226">
        <f t="shared" si="28"/>
        <v>10.419479166666667</v>
      </c>
      <c r="K29" s="28"/>
      <c r="L29" s="28"/>
      <c r="M29" s="589"/>
      <c r="N29" s="589"/>
      <c r="O29" s="226"/>
      <c r="P29" s="485"/>
      <c r="Q29" s="574">
        <v>2.5999999999999999E-2</v>
      </c>
      <c r="R29" s="574">
        <v>2.5999999999999999E-2</v>
      </c>
      <c r="S29" s="169">
        <v>6.0000000000000001E-3</v>
      </c>
      <c r="T29" s="169">
        <v>6.0000000000000001E-3</v>
      </c>
      <c r="U29" s="169">
        <v>1.9E-2</v>
      </c>
      <c r="V29" s="169">
        <v>1.7999999999999999E-2</v>
      </c>
      <c r="W29" s="169"/>
      <c r="X29" s="487"/>
      <c r="Y29" s="287">
        <f t="shared" si="26"/>
        <v>5.8997058877646564</v>
      </c>
      <c r="Z29" s="287">
        <f t="shared" ref="Z29:Z64" si="30">Z28*(1+V29)</f>
        <v>3.1150800000000003</v>
      </c>
      <c r="AA29" s="287">
        <f t="shared" ref="AA29:AA64" si="31">AA28*(1+V29)</f>
        <v>0.78386</v>
      </c>
      <c r="AB29" s="287">
        <f>AB28*(1+U29)</f>
        <v>0.78462999999999994</v>
      </c>
      <c r="AC29" s="287">
        <v>0.72375916680601005</v>
      </c>
      <c r="AD29" s="287">
        <v>0.76500000000000001</v>
      </c>
      <c r="AE29" s="287">
        <v>0.76500000000000001</v>
      </c>
      <c r="AF29" s="577"/>
      <c r="AG29" s="577"/>
      <c r="AH29" s="577"/>
      <c r="AI29" s="577"/>
      <c r="AK29" s="472">
        <f t="shared" si="27"/>
        <v>2015</v>
      </c>
      <c r="AM29">
        <v>2018</v>
      </c>
      <c r="AN29" s="562">
        <v>24</v>
      </c>
      <c r="AO29" s="562">
        <f t="shared" si="8"/>
        <v>38.679108446550309</v>
      </c>
      <c r="AP29" s="562">
        <f t="shared" ref="AP29:AP51" si="32">+AN29/(1-AP$17)</f>
        <v>31.824751700635172</v>
      </c>
      <c r="AR29">
        <f t="shared" si="19"/>
        <v>2006</v>
      </c>
      <c r="AS29" s="307">
        <f t="shared" si="20"/>
        <v>38991</v>
      </c>
      <c r="AT29" s="115">
        <v>49.75</v>
      </c>
      <c r="AU29" s="115">
        <v>42</v>
      </c>
      <c r="AV29" s="287">
        <f t="shared" ref="AV29:AV93" si="33">AT29*0.57+AU29*0.43</f>
        <v>46.417499999999997</v>
      </c>
      <c r="AW29" s="271">
        <v>416</v>
      </c>
      <c r="AX29" s="271">
        <v>328</v>
      </c>
      <c r="AY29" s="271">
        <f t="shared" si="21"/>
        <v>0.55913978494623651</v>
      </c>
      <c r="AZ29" s="271">
        <f t="shared" si="22"/>
        <v>0.44086021505376344</v>
      </c>
      <c r="BD29">
        <f t="shared" si="17"/>
        <v>2006</v>
      </c>
      <c r="BE29" s="306">
        <v>38991</v>
      </c>
      <c r="BF29" s="114">
        <f t="shared" si="23"/>
        <v>4.9712044589450795</v>
      </c>
      <c r="BG29" s="115">
        <v>4.9712044589450795</v>
      </c>
      <c r="BI29">
        <f t="shared" si="9"/>
        <v>2005</v>
      </c>
      <c r="BJ29" s="306">
        <v>38595</v>
      </c>
      <c r="BK29">
        <f t="shared" si="10"/>
        <v>5.2561220135000006</v>
      </c>
      <c r="BL29">
        <v>5.3484084110000003</v>
      </c>
      <c r="BM29">
        <v>5.1638356160000001</v>
      </c>
      <c r="BO29">
        <f t="shared" si="11"/>
        <v>2009</v>
      </c>
      <c r="BP29" s="286">
        <v>39995</v>
      </c>
      <c r="BQ29">
        <f t="shared" si="12"/>
        <v>10.99925</v>
      </c>
      <c r="BR29">
        <v>11.0505</v>
      </c>
      <c r="BS29">
        <v>10.948</v>
      </c>
      <c r="BT29">
        <f t="shared" si="1"/>
        <v>2016</v>
      </c>
      <c r="BU29" s="286">
        <v>42370</v>
      </c>
      <c r="BV29">
        <f t="shared" si="2"/>
        <v>2.271854838709678</v>
      </c>
      <c r="BW29" s="580">
        <v>2.2696774193548386</v>
      </c>
      <c r="BX29" s="580">
        <v>2.2740322580645169</v>
      </c>
      <c r="BY29">
        <f t="shared" si="3"/>
        <v>2019</v>
      </c>
      <c r="BZ29" s="286">
        <v>43466</v>
      </c>
      <c r="CA29">
        <f t="shared" si="4"/>
        <v>2.8815</v>
      </c>
      <c r="CB29" s="580">
        <v>2.5590000000000002</v>
      </c>
      <c r="CC29" s="580">
        <v>3.2040000000000002</v>
      </c>
      <c r="CD29" s="364">
        <f t="shared" si="5"/>
        <v>2020</v>
      </c>
      <c r="CE29" s="381">
        <v>43831</v>
      </c>
      <c r="CF29" s="364">
        <f t="shared" si="13"/>
        <v>2.2200806451612904</v>
      </c>
      <c r="CG29" s="411">
        <v>2.1737096774193554</v>
      </c>
      <c r="CH29" s="411">
        <v>2.2664516129032255</v>
      </c>
      <c r="CI29" s="364">
        <f t="shared" si="6"/>
        <v>2022</v>
      </c>
      <c r="CJ29" s="381">
        <v>44562</v>
      </c>
      <c r="CK29" s="364">
        <f t="shared" si="7"/>
        <v>4.8983064516129033</v>
      </c>
      <c r="CL29" s="411">
        <v>4.8695161290322586</v>
      </c>
      <c r="CM29" s="411">
        <v>4.9270967741935472</v>
      </c>
      <c r="CZ29">
        <v>2016</v>
      </c>
      <c r="DA29" s="285">
        <v>5.0999999999999996</v>
      </c>
      <c r="DB29" s="285">
        <v>5.2</v>
      </c>
    </row>
    <row r="30" spans="3:106">
      <c r="C30">
        <f t="shared" si="29"/>
        <v>2012</v>
      </c>
      <c r="D30" s="28">
        <f t="array" ref="D30">SUM((AT$20:AT$389)*(AW$20:AW$389)*($AR$20:$AR$389=$C30))/SUM((AW$20:AW$389)*($AR$20:$AR$389=$C30))</f>
        <v>55.031872964169381</v>
      </c>
      <c r="E30" s="28">
        <f t="array" ref="E30">SUM((AU$20:AU$389)*(AX$20:AX$389)*($AR$20:$AR$389=$C30))/SUM((AX$20:AX$389)*($AR$20:$AR$389=$C30))</f>
        <v>45.94305268595042</v>
      </c>
      <c r="F30" s="28">
        <f t="array" ref="F30">(SUM((AV$20:AV$389)*(AW$20:AW$389)*($AR$20:$AR$389=$C30))+SUM((AV$20:AV$389)*(AX$20:AX$389)*($AR$20:$AR$389=$C30)))/(SUM((AW$20:AW$389)*($AR$20:$AR$389=$C30))+SUM((AX$20:AX$389)*($AR$20:$AR$389=$C30)))</f>
        <v>51.146028415300542</v>
      </c>
      <c r="G30" s="226">
        <f t="shared" si="24"/>
        <v>4.4000000000000004</v>
      </c>
      <c r="H30" s="28">
        <f t="shared" si="25"/>
        <v>4.4341666666666661</v>
      </c>
      <c r="I30" s="28">
        <f t="array" ref="I30">(SUM((BF$20:BF$389)*(AW$20:AW$389)*($AR$20:$AR$389=$C30))+SUM((BF$20:BF$389)*(AX$20:AX$389)*($AR$20:$AR$389=$C30)))/(SUM((AW$20:AW$389)*($AR$20:$AR$389=$C30))+SUM((AX$20:AX$389)*($AR$20:$AR$389=$C30)))</f>
        <v>6.7024699037828679</v>
      </c>
      <c r="J30" s="226">
        <f t="shared" si="28"/>
        <v>10.428681771666666</v>
      </c>
      <c r="K30" s="28"/>
      <c r="L30" s="28"/>
      <c r="M30" s="590"/>
      <c r="N30" s="589"/>
      <c r="O30" s="226"/>
      <c r="P30" s="485"/>
      <c r="Q30" s="574">
        <v>0.02</v>
      </c>
      <c r="R30" s="574">
        <v>0.02</v>
      </c>
      <c r="S30" s="169">
        <v>1.2999999999999999E-2</v>
      </c>
      <c r="T30" s="169">
        <v>1.2E-2</v>
      </c>
      <c r="U30" s="169">
        <v>0.02</v>
      </c>
      <c r="V30" s="169">
        <v>1.7999999999999999E-2</v>
      </c>
      <c r="W30" s="169"/>
      <c r="X30" s="487"/>
      <c r="Y30" s="287">
        <f t="shared" si="26"/>
        <v>6.0059005937444203</v>
      </c>
      <c r="Z30" s="287">
        <f t="shared" si="30"/>
        <v>3.1711514400000005</v>
      </c>
      <c r="AA30" s="287">
        <f t="shared" si="31"/>
        <v>0.79796948000000001</v>
      </c>
      <c r="AB30" s="287">
        <f>AB29*(1+U30)</f>
        <v>0.8003226</v>
      </c>
      <c r="AC30" s="287">
        <v>0.73533931347490622</v>
      </c>
      <c r="AD30" s="287">
        <v>0.77724000000000004</v>
      </c>
      <c r="AE30" s="287">
        <v>0.77724000000000004</v>
      </c>
      <c r="AF30" s="577"/>
      <c r="AG30" s="577"/>
      <c r="AH30" s="577"/>
      <c r="AI30" s="577"/>
      <c r="AK30" s="472">
        <f t="shared" si="27"/>
        <v>2016</v>
      </c>
      <c r="AM30">
        <v>2019</v>
      </c>
      <c r="AN30" s="562">
        <v>25</v>
      </c>
      <c r="AO30" s="562">
        <f t="shared" si="8"/>
        <v>40.290737965156573</v>
      </c>
      <c r="AP30" s="562">
        <f t="shared" si="32"/>
        <v>33.150783021494966</v>
      </c>
      <c r="AR30">
        <f t="shared" si="19"/>
        <v>2006</v>
      </c>
      <c r="AS30" s="307">
        <f t="shared" si="20"/>
        <v>39022</v>
      </c>
      <c r="AT30" s="115">
        <v>63</v>
      </c>
      <c r="AU30" s="115">
        <v>52.92</v>
      </c>
      <c r="AV30" s="287">
        <f t="shared" si="33"/>
        <v>58.665599999999998</v>
      </c>
      <c r="AW30" s="271">
        <v>400</v>
      </c>
      <c r="AX30" s="271">
        <v>320</v>
      </c>
      <c r="AY30" s="271">
        <f t="shared" si="21"/>
        <v>0.55555555555555558</v>
      </c>
      <c r="AZ30" s="271">
        <f t="shared" si="22"/>
        <v>0.44444444444444442</v>
      </c>
      <c r="BD30">
        <f t="shared" si="17"/>
        <v>2006</v>
      </c>
      <c r="BE30" s="306">
        <v>39022</v>
      </c>
      <c r="BF30" s="114">
        <f t="shared" si="23"/>
        <v>6.8752623708537257</v>
      </c>
      <c r="BG30" s="115">
        <v>6.8752623708537257</v>
      </c>
      <c r="BI30">
        <f t="shared" si="9"/>
        <v>2005</v>
      </c>
      <c r="BJ30" s="306">
        <v>38625</v>
      </c>
      <c r="BK30">
        <f t="shared" si="10"/>
        <v>5.2391220134999994</v>
      </c>
      <c r="BL30">
        <v>5.331408411</v>
      </c>
      <c r="BM30">
        <v>5.1468356159999997</v>
      </c>
      <c r="BO30">
        <f t="shared" si="11"/>
        <v>2009</v>
      </c>
      <c r="BP30" s="286">
        <v>40026</v>
      </c>
      <c r="BQ30">
        <f t="shared" si="12"/>
        <v>11.112500000000001</v>
      </c>
      <c r="BR30">
        <v>11.145</v>
      </c>
      <c r="BS30">
        <v>11.08</v>
      </c>
      <c r="BT30">
        <f t="shared" si="1"/>
        <v>2016</v>
      </c>
      <c r="BU30" s="286">
        <v>42401</v>
      </c>
      <c r="BV30">
        <f t="shared" si="2"/>
        <v>1.6898275862068965</v>
      </c>
      <c r="BW30" s="580">
        <v>1.7268965517241381</v>
      </c>
      <c r="BX30" s="580">
        <v>1.6527586206896552</v>
      </c>
      <c r="BY30">
        <f t="shared" si="3"/>
        <v>2019</v>
      </c>
      <c r="BZ30" s="286">
        <v>43497</v>
      </c>
      <c r="CA30">
        <f t="shared" si="4"/>
        <v>2.5324999999999998</v>
      </c>
      <c r="CB30" s="580">
        <v>2.4449999999999998</v>
      </c>
      <c r="CC30" s="580">
        <v>2.62</v>
      </c>
      <c r="CD30" s="364">
        <f t="shared" si="5"/>
        <v>2020</v>
      </c>
      <c r="CE30" s="381">
        <v>43862</v>
      </c>
      <c r="CF30" s="364">
        <f t="shared" si="13"/>
        <v>1.6975862068965517</v>
      </c>
      <c r="CG30" s="411">
        <v>1.7189655172413796</v>
      </c>
      <c r="CH30" s="411">
        <v>1.6762068965517241</v>
      </c>
      <c r="CI30" s="364">
        <f t="shared" si="6"/>
        <v>2022</v>
      </c>
      <c r="CJ30" s="381">
        <v>44593</v>
      </c>
      <c r="CK30" s="364">
        <f t="shared" si="7"/>
        <v>4.3529464285714274</v>
      </c>
      <c r="CL30" s="411">
        <v>4.4208928571428565</v>
      </c>
      <c r="CM30" s="411">
        <v>4.2849999999999984</v>
      </c>
      <c r="CZ30">
        <v>2017</v>
      </c>
      <c r="DA30" s="285">
        <v>5.22</v>
      </c>
      <c r="DB30" s="285">
        <v>5.32</v>
      </c>
    </row>
    <row r="31" spans="3:106">
      <c r="C31">
        <f t="shared" si="29"/>
        <v>2013</v>
      </c>
      <c r="D31" s="28">
        <f t="array" ref="D31">SUM((AT$20:AT$389)*(AW$20:AW$389)*($AR$20:$AR$389=$C31))/SUM((AW$20:AW$389)*($AR$20:$AR$389=$C31))</f>
        <v>54.365325732899016</v>
      </c>
      <c r="E31" s="28">
        <f t="array" ref="E31">SUM((AU$20:AU$389)*(AX$20:AX$389)*($AR$20:$AR$389=$C31))/SUM((AX$20:AX$389)*($AR$20:$AR$389=$C31))</f>
        <v>45.07450623700624</v>
      </c>
      <c r="F31" s="28">
        <f t="array" ref="F31">(SUM((AV$20:AV$389)*(AW$20:AW$389)*($AR$20:$AR$389=$C31))+SUM((AV$20:AV$389)*(AX$20:AX$389)*($AR$20:$AR$389=$C31)))/(SUM((AW$20:AW$389)*($AR$20:$AR$389=$C31))+SUM((AX$20:AX$389)*($AR$20:$AR$389=$C31)))</f>
        <v>50.379454999999993</v>
      </c>
      <c r="G31" s="226">
        <f t="shared" si="24"/>
        <v>4.6399999999999997</v>
      </c>
      <c r="H31" s="28">
        <f t="shared" si="25"/>
        <v>4.5629166666666672</v>
      </c>
      <c r="I31" s="28">
        <f t="array" ref="I31">(SUM((BF$20:BF$389)*(AW$20:AW$389)*($AR$20:$AR$389=$C31))+SUM((BF$20:BF$389)*(AX$20:AX$389)*($AR$20:$AR$389=$C31)))/(SUM((AW$20:AW$389)*($AR$20:$AR$389=$C31))+SUM((AX$20:AX$389)*($AR$20:$AR$389=$C31)))</f>
        <v>6.6994948806584134</v>
      </c>
      <c r="J31" s="226">
        <f t="shared" si="28"/>
        <v>10.632848438333333</v>
      </c>
      <c r="K31" s="28"/>
      <c r="L31" s="28"/>
      <c r="M31" s="590"/>
      <c r="N31" s="589"/>
      <c r="O31" s="226"/>
      <c r="P31" s="485"/>
      <c r="Q31" s="574">
        <v>1.6E-2</v>
      </c>
      <c r="R31" s="574">
        <v>1.6E-2</v>
      </c>
      <c r="S31" s="169">
        <v>1.9E-2</v>
      </c>
      <c r="T31" s="169">
        <v>0.02</v>
      </c>
      <c r="U31" s="169">
        <v>0.02</v>
      </c>
      <c r="V31" s="169">
        <v>1.7999999999999999E-2</v>
      </c>
      <c r="W31" s="169"/>
      <c r="X31" s="487"/>
      <c r="Y31" s="287">
        <f t="shared" si="26"/>
        <v>6.1140068044318197</v>
      </c>
      <c r="Z31" s="287">
        <f t="shared" si="30"/>
        <v>3.2282321659200006</v>
      </c>
      <c r="AA31" s="287">
        <f t="shared" si="31"/>
        <v>0.81233293064000001</v>
      </c>
      <c r="AB31" s="287">
        <f t="shared" ref="AB31:AB56" si="34">AB30*(1+U31)</f>
        <v>0.81632905200000005</v>
      </c>
      <c r="AC31" s="287">
        <v>0.74709822865800335</v>
      </c>
      <c r="AD31" s="287">
        <v>0.78966895499999978</v>
      </c>
      <c r="AE31" s="287">
        <v>0.78966895499999978</v>
      </c>
      <c r="AF31" s="577"/>
      <c r="AG31" s="577"/>
      <c r="AH31" s="577"/>
      <c r="AI31" s="577"/>
      <c r="AK31" s="472">
        <f t="shared" si="27"/>
        <v>2017</v>
      </c>
      <c r="AM31">
        <v>2020</v>
      </c>
      <c r="AN31" s="562">
        <v>25</v>
      </c>
      <c r="AO31" s="562">
        <f t="shared" si="8"/>
        <v>40.290737965156573</v>
      </c>
      <c r="AP31" s="562">
        <f t="shared" si="32"/>
        <v>33.150783021494966</v>
      </c>
      <c r="AR31">
        <f t="shared" si="19"/>
        <v>2006</v>
      </c>
      <c r="AS31" s="307">
        <f t="shared" si="20"/>
        <v>39052</v>
      </c>
      <c r="AT31" s="115">
        <v>75.599999999999994</v>
      </c>
      <c r="AU31" s="115">
        <v>66.959999999999994</v>
      </c>
      <c r="AV31" s="287">
        <f t="shared" si="33"/>
        <v>71.884799999999984</v>
      </c>
      <c r="AW31" s="271">
        <v>400</v>
      </c>
      <c r="AX31" s="271">
        <v>344</v>
      </c>
      <c r="AY31" s="271">
        <f t="shared" si="21"/>
        <v>0.5376344086021505</v>
      </c>
      <c r="AZ31" s="271">
        <f t="shared" si="22"/>
        <v>0.46236559139784944</v>
      </c>
      <c r="BD31">
        <f t="shared" si="17"/>
        <v>2006</v>
      </c>
      <c r="BE31" s="306">
        <v>39052</v>
      </c>
      <c r="BF31" s="114">
        <f t="shared" si="23"/>
        <v>8.5881498096791731</v>
      </c>
      <c r="BG31" s="115">
        <v>8.5881498096791731</v>
      </c>
      <c r="BI31">
        <f t="shared" si="9"/>
        <v>2005</v>
      </c>
      <c r="BJ31" s="306">
        <v>38656</v>
      </c>
      <c r="BK31">
        <f t="shared" si="10"/>
        <v>5.2591220135000007</v>
      </c>
      <c r="BL31">
        <v>5.3514084110000004</v>
      </c>
      <c r="BM31">
        <v>5.1668356160000002</v>
      </c>
      <c r="BO31">
        <f t="shared" si="11"/>
        <v>2009</v>
      </c>
      <c r="BP31" s="286">
        <v>40057</v>
      </c>
      <c r="BQ31">
        <f t="shared" si="12"/>
        <v>11.055</v>
      </c>
      <c r="BR31">
        <v>11.14</v>
      </c>
      <c r="BS31">
        <v>10.97</v>
      </c>
      <c r="BT31">
        <f t="shared" si="1"/>
        <v>2016</v>
      </c>
      <c r="BU31" s="286">
        <v>42430</v>
      </c>
      <c r="BV31">
        <f t="shared" si="2"/>
        <v>1.4091129032258063</v>
      </c>
      <c r="BW31" s="580">
        <v>1.425806451612903</v>
      </c>
      <c r="BX31" s="580">
        <v>1.3924193548387096</v>
      </c>
      <c r="BY31">
        <f t="shared" si="3"/>
        <v>2019</v>
      </c>
      <c r="BZ31" s="286">
        <v>43525</v>
      </c>
      <c r="CA31">
        <f t="shared" si="4"/>
        <v>2.0255000000000001</v>
      </c>
      <c r="CB31" s="580">
        <v>2.0179999999999998</v>
      </c>
      <c r="CC31" s="580">
        <v>2.0329999999999999</v>
      </c>
      <c r="CD31" s="364">
        <f t="shared" si="5"/>
        <v>2020</v>
      </c>
      <c r="CE31" s="381">
        <v>43891</v>
      </c>
      <c r="CF31" s="364">
        <f t="shared" si="13"/>
        <v>1.6154032258064519</v>
      </c>
      <c r="CG31" s="411">
        <v>1.5809677419354844</v>
      </c>
      <c r="CH31" s="411">
        <v>1.6498387096774194</v>
      </c>
      <c r="CI31" s="364">
        <f t="shared" si="6"/>
        <v>2022</v>
      </c>
      <c r="CJ31" s="381">
        <v>44621</v>
      </c>
      <c r="CK31" s="364">
        <f t="shared" si="7"/>
        <v>4.2013709677419353</v>
      </c>
      <c r="CL31" s="411">
        <v>4.2885483870967738</v>
      </c>
      <c r="CM31" s="411">
        <v>4.1141935483870977</v>
      </c>
      <c r="CZ31">
        <v>2018</v>
      </c>
      <c r="DA31" s="285">
        <v>5.34</v>
      </c>
      <c r="DB31" s="285">
        <v>5.44</v>
      </c>
    </row>
    <row r="32" spans="3:106">
      <c r="C32">
        <f t="shared" si="29"/>
        <v>2014</v>
      </c>
      <c r="D32" s="28">
        <f t="array" ref="D32">SUM((AT$20:AT$389)*(AW$20:AW$389)*($AR$20:$AR$389=$C32))/SUM((AW$20:AW$389)*($AR$20:$AR$389=$C32))</f>
        <v>55.048241042345268</v>
      </c>
      <c r="E32" s="28">
        <f t="array" ref="E32">SUM((AU$20:AU$389)*(AX$20:AX$389)*($AR$20:$AR$389=$C32))/SUM((AX$20:AX$389)*($AR$20:$AR$389=$C32))</f>
        <v>45.659729729729733</v>
      </c>
      <c r="F32" s="28">
        <f t="array" ref="F32">(SUM((AV$20:AV$389)*(AW$20:AW$389)*($AR$20:$AR$389=$C32))+SUM((AV$20:AV$389)*(AX$20:AX$389)*($AR$20:$AR$389=$C32)))/(SUM((AW$20:AW$389)*($AR$20:$AR$389=$C32))+SUM((AX$20:AX$389)*($AR$20:$AR$389=$C32)))</f>
        <v>51.016862739726022</v>
      </c>
      <c r="G32" s="226">
        <f t="shared" si="24"/>
        <v>4.45</v>
      </c>
      <c r="H32" s="28">
        <f t="shared" si="25"/>
        <v>4.7508333333333326</v>
      </c>
      <c r="I32" s="28">
        <f t="array" ref="I32">(SUM((BF$20:BF$389)*(AW$20:AW$389)*($AR$20:$AR$389=$C32))+SUM((BF$20:BF$389)*(AX$20:AX$389)*($AR$20:$AR$389=$C32)))/(SUM((AW$20:AW$389)*($AR$20:$AR$389=$C32))+SUM((AX$20:AX$389)*($AR$20:$AR$389=$C32)))</f>
        <v>6.9140085811973453</v>
      </c>
      <c r="J32" s="226">
        <f t="shared" si="28"/>
        <v>10.346954939583332</v>
      </c>
      <c r="K32" s="28"/>
      <c r="L32" s="28"/>
      <c r="M32" s="590"/>
      <c r="N32" s="589"/>
      <c r="O32" s="226"/>
      <c r="P32" s="485"/>
      <c r="Q32" s="574">
        <v>1.7000000000000001E-2</v>
      </c>
      <c r="R32" s="574">
        <v>1.7000000000000001E-2</v>
      </c>
      <c r="S32" s="169">
        <v>1.7999999999999999E-2</v>
      </c>
      <c r="T32" s="169">
        <v>2.4E-2</v>
      </c>
      <c r="U32" s="169">
        <v>0.02</v>
      </c>
      <c r="V32" s="169">
        <v>1.7999999999999999E-2</v>
      </c>
      <c r="W32" s="169"/>
      <c r="X32" s="487"/>
      <c r="Y32" s="287">
        <f t="shared" si="26"/>
        <v>6.2240589269115922</v>
      </c>
      <c r="Z32" s="287">
        <f t="shared" si="30"/>
        <v>3.2863403449065607</v>
      </c>
      <c r="AA32" s="287">
        <f t="shared" si="31"/>
        <v>0.82695492339151999</v>
      </c>
      <c r="AB32" s="287">
        <f t="shared" si="34"/>
        <v>0.83265563304000012</v>
      </c>
      <c r="AC32" s="287">
        <v>0.25067519999999999</v>
      </c>
      <c r="AD32" s="287">
        <v>0.15667200000000001</v>
      </c>
      <c r="AE32" s="287">
        <v>0.15667200000000001</v>
      </c>
      <c r="AF32" s="577"/>
      <c r="AG32" s="577"/>
      <c r="AH32" s="577"/>
      <c r="AI32" s="577"/>
      <c r="AK32" s="472">
        <f t="shared" si="27"/>
        <v>2018</v>
      </c>
      <c r="AM32">
        <v>2021</v>
      </c>
      <c r="AN32" s="562">
        <v>26</v>
      </c>
      <c r="AO32" s="562">
        <f t="shared" si="8"/>
        <v>41.902367483762831</v>
      </c>
      <c r="AP32" s="562">
        <f t="shared" si="32"/>
        <v>34.476814342354771</v>
      </c>
      <c r="AR32">
        <f t="shared" si="19"/>
        <v>2007</v>
      </c>
      <c r="AS32" s="307">
        <f t="shared" si="20"/>
        <v>39083</v>
      </c>
      <c r="AT32" s="115">
        <v>80.459999999999994</v>
      </c>
      <c r="AU32" s="115">
        <v>72.484999999999999</v>
      </c>
      <c r="AV32" s="287">
        <f t="shared" si="33"/>
        <v>77.030749999999998</v>
      </c>
      <c r="AW32" s="271">
        <v>416</v>
      </c>
      <c r="AX32" s="271">
        <v>328</v>
      </c>
      <c r="AY32" s="271">
        <f t="shared" si="21"/>
        <v>0.55913978494623651</v>
      </c>
      <c r="AZ32" s="271">
        <f t="shared" si="22"/>
        <v>0.44086021505376344</v>
      </c>
      <c r="BD32">
        <f>+YEAR(BE32)</f>
        <v>2007</v>
      </c>
      <c r="BE32" s="306">
        <v>39083</v>
      </c>
      <c r="BF32" s="114">
        <f t="shared" si="23"/>
        <v>9.2117903752039147</v>
      </c>
      <c r="BG32" s="115">
        <v>9.2117903752039147</v>
      </c>
      <c r="BI32">
        <f t="shared" si="9"/>
        <v>2005</v>
      </c>
      <c r="BJ32" s="306">
        <v>38686</v>
      </c>
      <c r="BK32">
        <f t="shared" si="10"/>
        <v>5.421599133</v>
      </c>
      <c r="BL32">
        <v>5.5163626499999996</v>
      </c>
      <c r="BM32">
        <v>5.3268356160000003</v>
      </c>
      <c r="BO32">
        <f t="shared" si="11"/>
        <v>2009</v>
      </c>
      <c r="BP32" s="286">
        <v>40087</v>
      </c>
      <c r="BQ32">
        <f t="shared" si="12"/>
        <v>11.12125</v>
      </c>
      <c r="BR32">
        <v>11.115</v>
      </c>
      <c r="BS32">
        <v>11.1275</v>
      </c>
      <c r="BT32">
        <f t="shared" si="1"/>
        <v>2016</v>
      </c>
      <c r="BU32" s="286">
        <v>42461</v>
      </c>
      <c r="BV32">
        <f t="shared" si="2"/>
        <v>1.4209999999999998</v>
      </c>
      <c r="BW32" s="580">
        <v>1.5316666666666667</v>
      </c>
      <c r="BX32" s="580">
        <v>1.3103333333333331</v>
      </c>
      <c r="BY32">
        <f t="shared" si="3"/>
        <v>2019</v>
      </c>
      <c r="BZ32" s="286">
        <v>43556</v>
      </c>
      <c r="CA32">
        <f t="shared" si="4"/>
        <v>1.5285</v>
      </c>
      <c r="CB32" s="580">
        <v>1.5985</v>
      </c>
      <c r="CC32" s="580">
        <v>1.4584999999999999</v>
      </c>
      <c r="CD32" s="364">
        <f t="shared" si="5"/>
        <v>2020</v>
      </c>
      <c r="CE32" s="381">
        <v>43922</v>
      </c>
      <c r="CF32" s="364">
        <f t="shared" si="13"/>
        <v>1.5224999999999995</v>
      </c>
      <c r="CG32" s="411">
        <v>1.4766666666666663</v>
      </c>
      <c r="CH32" s="411">
        <v>1.5683333333333327</v>
      </c>
      <c r="CI32" s="364">
        <f t="shared" si="6"/>
        <v>2022</v>
      </c>
      <c r="CJ32" s="381">
        <v>44652</v>
      </c>
      <c r="CK32" s="364">
        <f t="shared" si="7"/>
        <v>6.2068333333333321</v>
      </c>
      <c r="CL32" s="411">
        <v>6.2069999999999981</v>
      </c>
      <c r="CM32" s="411">
        <v>6.206666666666667</v>
      </c>
      <c r="CZ32">
        <v>2019</v>
      </c>
      <c r="DA32" s="285">
        <v>5.46</v>
      </c>
      <c r="DB32" s="285">
        <v>5.57</v>
      </c>
    </row>
    <row r="33" spans="3:106">
      <c r="C33">
        <f t="shared" si="29"/>
        <v>2015</v>
      </c>
      <c r="D33" s="28">
        <f t="array" ref="D33">SUM((AT$20:AT$389)*(AW$20:AW$389)*($AR$20:$AR$389=$C33))/SUM((AW$20:AW$389)*($AR$20:$AR$389=$C33))</f>
        <v>59.510325732899027</v>
      </c>
      <c r="E33" s="28">
        <f t="array" ref="E33">SUM((AU$20:AU$389)*(AX$20:AX$389)*($AR$20:$AR$389=$C33))/SUM((AX$20:AX$389)*($AR$20:$AR$389=$C33))</f>
        <v>49.937941787941796</v>
      </c>
      <c r="F33" s="28">
        <f t="array" ref="F33">(SUM((AV$20:AV$389)*(AW$20:AW$389)*($AR$20:$AR$389=$C33))+SUM((AV$20:AV$389)*(AX$20:AX$389)*($AR$20:$AR$389=$C33)))/(SUM((AW$20:AW$389)*($AR$20:$AR$389=$C33))+SUM((AX$20:AX$389)*($AR$20:$AR$389=$C33)))</f>
        <v>55.392994520547944</v>
      </c>
      <c r="G33" s="226">
        <f t="shared" si="24"/>
        <v>4.88</v>
      </c>
      <c r="H33" s="28">
        <f t="shared" si="25"/>
        <v>4.8512499999999994</v>
      </c>
      <c r="I33" s="28">
        <f t="array" ref="I33">(SUM((BF$20:BF$389)*(AW$20:AW$389)*($AR$20:$AR$389=$C33))+SUM((BF$20:BF$389)*(AX$20:AX$389)*($AR$20:$AR$389=$C33)))/(SUM((AW$20:AW$389)*($AR$20:$AR$389=$C33))+SUM((AX$20:AX$389)*($AR$20:$AR$389=$C33)))</f>
        <v>7.3164011858738007</v>
      </c>
      <c r="J33" s="226">
        <f t="shared" si="28"/>
        <v>9.3330180370833329</v>
      </c>
      <c r="K33" s="226">
        <f t="shared" ref="K33:K60" si="35">AVERAGEIF($BT$17:$BT$389,$C33,$BV$17:$BV$389)</f>
        <v>2.3686730190732201</v>
      </c>
      <c r="L33" s="226"/>
      <c r="M33" s="590"/>
      <c r="N33" s="589"/>
      <c r="O33" s="226"/>
      <c r="P33" s="485"/>
      <c r="Q33" s="574">
        <v>5.0000000000000001E-3</v>
      </c>
      <c r="R33" s="574">
        <v>5.0000000000000001E-3</v>
      </c>
      <c r="S33" s="169">
        <v>2.3E-2</v>
      </c>
      <c r="T33" s="169">
        <v>1.9E-2</v>
      </c>
      <c r="U33" s="169">
        <v>0.02</v>
      </c>
      <c r="V33" s="169">
        <v>1.7999999999999999E-2</v>
      </c>
      <c r="W33" s="169"/>
      <c r="X33" s="487"/>
      <c r="Y33" s="287">
        <f t="shared" si="26"/>
        <v>6.3360919875960011</v>
      </c>
      <c r="Z33" s="287">
        <f t="shared" si="30"/>
        <v>3.3454944711148786</v>
      </c>
      <c r="AA33" s="287">
        <f t="shared" si="31"/>
        <v>0.84184011201256737</v>
      </c>
      <c r="AB33" s="287">
        <f t="shared" si="34"/>
        <v>0.84930874570080017</v>
      </c>
      <c r="AC33" s="287">
        <v>1.1100000000000001</v>
      </c>
      <c r="AD33" s="287">
        <v>0.85</v>
      </c>
      <c r="AE33" s="287">
        <v>0.85</v>
      </c>
      <c r="AF33" s="577"/>
      <c r="AG33" s="577"/>
      <c r="AH33" s="577"/>
      <c r="AI33" s="577"/>
      <c r="AK33" s="472">
        <f t="shared" si="27"/>
        <v>2019</v>
      </c>
      <c r="AM33">
        <v>2022</v>
      </c>
      <c r="AN33" s="562">
        <v>26</v>
      </c>
      <c r="AO33" s="562">
        <f t="shared" si="8"/>
        <v>41.902367483762831</v>
      </c>
      <c r="AP33" s="562">
        <f t="shared" si="32"/>
        <v>34.476814342354771</v>
      </c>
      <c r="AR33">
        <f t="shared" si="19"/>
        <v>2007</v>
      </c>
      <c r="AS33" s="307">
        <f>EOMONTH(AS32,0)+1</f>
        <v>39114</v>
      </c>
      <c r="AT33" s="115">
        <v>75.989999999999995</v>
      </c>
      <c r="AU33" s="115">
        <v>68.495000000000005</v>
      </c>
      <c r="AV33" s="287">
        <f t="shared" si="33"/>
        <v>72.767150000000001</v>
      </c>
      <c r="AW33" s="271">
        <v>384</v>
      </c>
      <c r="AX33" s="271">
        <v>288</v>
      </c>
      <c r="AY33" s="271">
        <f t="shared" si="21"/>
        <v>0.5714285714285714</v>
      </c>
      <c r="AZ33" s="271">
        <f t="shared" si="22"/>
        <v>0.42857142857142855</v>
      </c>
      <c r="BD33">
        <f t="shared" ref="BD33:BD97" si="36">+YEAR(BE33)</f>
        <v>2007</v>
      </c>
      <c r="BE33" s="306">
        <f>EOMONTH(BE32,0)+1</f>
        <v>39114</v>
      </c>
      <c r="BF33" s="114">
        <f t="shared" si="23"/>
        <v>9.2542727025557365</v>
      </c>
      <c r="BG33" s="115">
        <v>9.2542727025557365</v>
      </c>
      <c r="BI33">
        <f t="shared" si="9"/>
        <v>2005</v>
      </c>
      <c r="BJ33" s="306">
        <v>38717</v>
      </c>
      <c r="BK33">
        <f t="shared" si="10"/>
        <v>5.586599133</v>
      </c>
      <c r="BL33">
        <v>5.6813626499999996</v>
      </c>
      <c r="BM33">
        <v>5.4918356160000004</v>
      </c>
      <c r="BO33">
        <f t="shared" si="11"/>
        <v>2009</v>
      </c>
      <c r="BP33" s="286">
        <v>40118</v>
      </c>
      <c r="BQ33">
        <f t="shared" si="12"/>
        <v>12.0275</v>
      </c>
      <c r="BR33">
        <v>11.585000000000001</v>
      </c>
      <c r="BS33">
        <v>12.47</v>
      </c>
      <c r="BT33">
        <f t="shared" si="1"/>
        <v>2016</v>
      </c>
      <c r="BU33" s="286">
        <v>42491</v>
      </c>
      <c r="BV33">
        <f t="shared" si="2"/>
        <v>1.4932258064516128</v>
      </c>
      <c r="BW33" s="580">
        <v>1.6372580645161288</v>
      </c>
      <c r="BX33" s="580">
        <v>1.3491935483870967</v>
      </c>
      <c r="BY33">
        <f t="shared" si="3"/>
        <v>2019</v>
      </c>
      <c r="BZ33" s="286">
        <v>43586</v>
      </c>
      <c r="CA33">
        <f t="shared" si="4"/>
        <v>1.508</v>
      </c>
      <c r="CB33" s="580">
        <v>1.5905</v>
      </c>
      <c r="CC33" s="580">
        <v>1.4255</v>
      </c>
      <c r="CD33" s="364">
        <f t="shared" si="5"/>
        <v>2020</v>
      </c>
      <c r="CE33" s="381">
        <v>43952</v>
      </c>
      <c r="CF33" s="364">
        <f t="shared" si="13"/>
        <v>1.5598387096774193</v>
      </c>
      <c r="CG33" s="411">
        <v>1.5551612903225804</v>
      </c>
      <c r="CH33" s="411">
        <v>1.5645161290322582</v>
      </c>
      <c r="CI33" s="364">
        <f t="shared" si="6"/>
        <v>2022</v>
      </c>
      <c r="CJ33" s="381">
        <v>44682</v>
      </c>
      <c r="CK33" s="364">
        <f t="shared" si="7"/>
        <v>7.5319354838709671</v>
      </c>
      <c r="CL33" s="411">
        <v>7.591290322580643</v>
      </c>
      <c r="CM33" s="411">
        <v>7.4725806451612904</v>
      </c>
      <c r="CZ33">
        <v>2020</v>
      </c>
      <c r="DA33" s="285">
        <v>5.59</v>
      </c>
      <c r="DB33" s="285">
        <v>5.7</v>
      </c>
    </row>
    <row r="34" spans="3:106">
      <c r="C34">
        <f t="shared" si="29"/>
        <v>2016</v>
      </c>
      <c r="D34" s="28">
        <f t="array" ref="D34">SUM((AT$20:AT$389)*(AW$20:AW$389)*($AR$20:$AR$389=$C34))/SUM((AW$20:AW$389)*($AR$20:$AR$389=$C34))</f>
        <v>65.509415584415578</v>
      </c>
      <c r="E34" s="28">
        <f t="array" ref="E34">SUM((AU$20:AU$389)*(AX$20:AX$389)*($AR$20:$AR$389=$C34))/SUM((AX$20:AX$389)*($AR$20:$AR$389=$C34))</f>
        <v>53.69304979253112</v>
      </c>
      <c r="F34" s="28">
        <f t="array" ref="F34">(SUM((AV$20:AV$389)*(AW$20:AW$389)*($AR$20:$AR$389=$C34))+SUM((AV$20:AV$389)*(AX$20:AX$389)*($AR$20:$AR$389=$C34)))/(SUM((AW$20:AW$389)*($AR$20:$AR$389=$C34))+SUM((AX$20:AX$389)*($AR$20:$AR$389=$C34)))</f>
        <v>60.441771311475406</v>
      </c>
      <c r="G34" s="226">
        <f t="shared" si="24"/>
        <v>5.0999999999999996</v>
      </c>
      <c r="H34" s="28">
        <f t="shared" si="25"/>
        <v>5.003333333333333</v>
      </c>
      <c r="I34" s="28">
        <f t="array" ref="I34">(SUM((BF$20:BF$389)*(AW$20:AW$389)*($AR$20:$AR$389=$C34))+SUM((BF$20:BF$389)*(AX$20:AX$389)*($AR$20:$AR$389=$C34)))/(SUM((AW$20:AW$389)*($AR$20:$AR$389=$C34))+SUM((AX$20:AX$389)*($AR$20:$AR$389=$C34)))</f>
        <v>7.9211828417083421</v>
      </c>
      <c r="J34" s="226">
        <f t="shared" si="28"/>
        <v>8.9541666666666657</v>
      </c>
      <c r="K34" s="226">
        <f t="shared" si="35"/>
        <v>2.2680550766283525</v>
      </c>
      <c r="L34" s="226"/>
      <c r="M34" s="590"/>
      <c r="N34" s="589"/>
      <c r="O34" s="226"/>
      <c r="P34" s="485"/>
      <c r="Q34" s="574">
        <v>1.0999999999999999E-2</v>
      </c>
      <c r="R34" s="574">
        <v>1.0999999999999999E-2</v>
      </c>
      <c r="S34" s="169">
        <v>2.5999999999999999E-2</v>
      </c>
      <c r="T34" s="169">
        <v>2.5000000000000001E-2</v>
      </c>
      <c r="U34" s="169">
        <v>0.02</v>
      </c>
      <c r="V34" s="169">
        <v>1.7999999999999999E-2</v>
      </c>
      <c r="W34" s="169"/>
      <c r="X34" s="487"/>
      <c r="Y34" s="287">
        <f t="shared" si="26"/>
        <v>6.4501416433727297</v>
      </c>
      <c r="Z34" s="287">
        <f t="shared" si="30"/>
        <v>3.4057133715949464</v>
      </c>
      <c r="AA34" s="287">
        <f t="shared" si="31"/>
        <v>0.85699323402879357</v>
      </c>
      <c r="AB34" s="287">
        <f t="shared" si="34"/>
        <v>0.86629492061481617</v>
      </c>
      <c r="AC34" s="287">
        <v>1.1390234818202254</v>
      </c>
      <c r="AD34" s="287">
        <v>0.87222518878125355</v>
      </c>
      <c r="AE34" s="287">
        <v>0.87222518878125355</v>
      </c>
      <c r="AF34" s="577"/>
      <c r="AG34" s="577"/>
      <c r="AH34" s="577"/>
      <c r="AI34" s="577"/>
      <c r="AK34" s="472">
        <f t="shared" si="27"/>
        <v>2020</v>
      </c>
      <c r="AM34">
        <v>2023</v>
      </c>
      <c r="AN34" s="562">
        <v>27</v>
      </c>
      <c r="AO34" s="562">
        <f t="shared" si="8"/>
        <v>43.513997002369095</v>
      </c>
      <c r="AP34" s="562">
        <f t="shared" si="32"/>
        <v>35.802845663214569</v>
      </c>
      <c r="AR34">
        <f t="shared" si="19"/>
        <v>2007</v>
      </c>
      <c r="AS34" s="307">
        <f t="shared" ref="AS34:AS43" si="37">EOMONTH(AS33,0)+1</f>
        <v>39142</v>
      </c>
      <c r="AT34" s="115">
        <v>67.05</v>
      </c>
      <c r="AU34" s="115">
        <v>58.52</v>
      </c>
      <c r="AV34" s="287">
        <f t="shared" si="33"/>
        <v>63.382099999999994</v>
      </c>
      <c r="AW34" s="271">
        <v>432</v>
      </c>
      <c r="AX34" s="271">
        <v>312</v>
      </c>
      <c r="AY34" s="271">
        <f t="shared" si="21"/>
        <v>0.58064516129032262</v>
      </c>
      <c r="AZ34" s="271">
        <f t="shared" si="22"/>
        <v>0.41935483870967744</v>
      </c>
      <c r="BD34">
        <f t="shared" si="36"/>
        <v>2007</v>
      </c>
      <c r="BE34" s="306">
        <f t="shared" ref="BE34:BE98" si="38">EOMONTH(BE33,0)+1</f>
        <v>39142</v>
      </c>
      <c r="BF34" s="114">
        <f t="shared" si="23"/>
        <v>9.0996370309951047</v>
      </c>
      <c r="BG34" s="115">
        <v>9.0996370309951047</v>
      </c>
      <c r="BI34">
        <f t="shared" si="9"/>
        <v>2006</v>
      </c>
      <c r="BJ34" s="306">
        <v>38748</v>
      </c>
      <c r="BK34">
        <f t="shared" si="10"/>
        <v>5.7839892920000002</v>
      </c>
      <c r="BL34">
        <v>5.8454580360000001</v>
      </c>
      <c r="BM34">
        <v>5.7225205480000003</v>
      </c>
      <c r="BO34">
        <f t="shared" si="11"/>
        <v>2009</v>
      </c>
      <c r="BP34" s="286">
        <v>40148</v>
      </c>
      <c r="BQ34">
        <f t="shared" si="12"/>
        <v>12.3825</v>
      </c>
      <c r="BR34">
        <v>11.94</v>
      </c>
      <c r="BS34">
        <v>12.824999999999999</v>
      </c>
      <c r="BT34">
        <f t="shared" si="1"/>
        <v>2016</v>
      </c>
      <c r="BU34" s="286">
        <v>42522</v>
      </c>
      <c r="BV34">
        <f t="shared" si="2"/>
        <v>2.0781666666666667</v>
      </c>
      <c r="BW34" s="580">
        <v>2.2161666666666666</v>
      </c>
      <c r="BX34" s="580">
        <v>1.9401666666666668</v>
      </c>
      <c r="BY34">
        <f t="shared" si="3"/>
        <v>2019</v>
      </c>
      <c r="BZ34" s="286">
        <v>43617</v>
      </c>
      <c r="CA34">
        <f t="shared" si="4"/>
        <v>1.50485</v>
      </c>
      <c r="CB34" s="580">
        <v>1.5967</v>
      </c>
      <c r="CC34" s="580">
        <v>1.413</v>
      </c>
      <c r="CD34" s="364">
        <f t="shared" si="5"/>
        <v>2020</v>
      </c>
      <c r="CE34" s="381">
        <v>43983</v>
      </c>
      <c r="CF34" s="364">
        <f t="shared" si="13"/>
        <v>1.4484166666666667</v>
      </c>
      <c r="CG34" s="411">
        <v>1.4443333333333332</v>
      </c>
      <c r="CH34" s="411">
        <v>1.4525000000000001</v>
      </c>
      <c r="CI34" s="364">
        <f t="shared" si="6"/>
        <v>2022</v>
      </c>
      <c r="CJ34" s="381">
        <v>44713</v>
      </c>
      <c r="CK34" s="364">
        <f t="shared" si="7"/>
        <v>6.9535833333333317</v>
      </c>
      <c r="CL34" s="411">
        <v>7.0096666666666652</v>
      </c>
      <c r="CM34" s="411">
        <v>6.8974999999999982</v>
      </c>
      <c r="CZ34">
        <v>2021</v>
      </c>
      <c r="DA34" s="285">
        <v>5.68</v>
      </c>
      <c r="DB34" s="285">
        <v>5.79</v>
      </c>
    </row>
    <row r="35" spans="3:106">
      <c r="C35">
        <f t="shared" si="29"/>
        <v>2017</v>
      </c>
      <c r="D35" s="28">
        <f t="array" ref="D35">SUM((AT$20:AT$389)*(AW$20:AW$389)*($AR$20:$AR$389=$C35))/SUM((AW$20:AW$389)*($AR$20:$AR$389=$C35))</f>
        <v>72.198039215686279</v>
      </c>
      <c r="E35" s="28">
        <f t="array" ref="E35">SUM((AU$20:AU$389)*(AX$20:AX$389)*($AR$20:$AR$389=$C35))/SUM((AX$20:AX$389)*($AR$20:$AR$389=$C35))</f>
        <v>60.206853002070403</v>
      </c>
      <c r="F35" s="28">
        <f t="array" ref="F35">(SUM((AV$20:AV$389)*(AW$20:AW$389)*($AR$20:$AR$389=$C35))+SUM((AV$20:AV$389)*(AX$20:AX$389)*($AR$20:$AR$389=$C35)))/(SUM((AW$20:AW$389)*($AR$20:$AR$389=$C35))+SUM((AX$20:AX$389)*($AR$20:$AR$389=$C35)))</f>
        <v>67.035628493150682</v>
      </c>
      <c r="G35" s="226">
        <f t="shared" si="24"/>
        <v>5.22</v>
      </c>
      <c r="H35" s="28">
        <f t="shared" si="25"/>
        <v>5.1620833333333334</v>
      </c>
      <c r="I35" s="28">
        <f t="array" ref="I35">(SUM((BF$20:BF$389)*(AW$20:AW$389)*($AR$20:$AR$389=$C35))+SUM((BF$20:BF$389)*(AX$20:AX$389)*($AR$20:$AR$389=$C35)))/(SUM((AW$20:AW$389)*($AR$20:$AR$389=$C35))+SUM((AX$20:AX$389)*($AR$20:$AR$389=$C35)))</f>
        <v>8.5467545643478058</v>
      </c>
      <c r="J35" s="226">
        <f t="shared" si="28"/>
        <v>9.6420833333333338</v>
      </c>
      <c r="K35" s="226">
        <f t="shared" si="35"/>
        <v>3.0318916666666667</v>
      </c>
      <c r="L35" s="226"/>
      <c r="M35" s="590"/>
      <c r="N35" s="590"/>
      <c r="O35" s="226"/>
      <c r="P35" s="485"/>
      <c r="Q35" s="574">
        <v>0.02</v>
      </c>
      <c r="R35" s="574">
        <v>0.02</v>
      </c>
      <c r="S35" s="169">
        <v>2.4E-2</v>
      </c>
      <c r="T35" s="169">
        <v>2.4E-2</v>
      </c>
      <c r="U35" s="169">
        <v>1.9E-2</v>
      </c>
      <c r="V35" s="169">
        <v>1.7999999999999999E-2</v>
      </c>
      <c r="W35" s="169"/>
      <c r="X35" s="487"/>
      <c r="Y35" s="287">
        <f t="shared" si="26"/>
        <v>6.5662441929534392</v>
      </c>
      <c r="Z35" s="287">
        <f t="shared" si="30"/>
        <v>3.4670162122836556</v>
      </c>
      <c r="AA35" s="287">
        <f t="shared" si="31"/>
        <v>0.87241911224131186</v>
      </c>
      <c r="AB35" s="287">
        <f t="shared" si="34"/>
        <v>0.88275452410649757</v>
      </c>
      <c r="AC35" s="287">
        <v>1.1679956801767024</v>
      </c>
      <c r="AD35" s="287">
        <v>0.89441110644161892</v>
      </c>
      <c r="AE35" s="287">
        <v>0.89441110644161892</v>
      </c>
      <c r="AF35" s="577"/>
      <c r="AG35" s="577"/>
      <c r="AH35" s="577"/>
      <c r="AI35" s="577"/>
      <c r="AK35" s="472">
        <f t="shared" si="27"/>
        <v>2021</v>
      </c>
      <c r="AM35">
        <v>2024</v>
      </c>
      <c r="AN35" s="562">
        <v>27</v>
      </c>
      <c r="AO35" s="562">
        <f t="shared" si="8"/>
        <v>43.513997002369095</v>
      </c>
      <c r="AP35" s="562">
        <f t="shared" si="32"/>
        <v>35.802845663214569</v>
      </c>
      <c r="AR35">
        <f t="shared" si="19"/>
        <v>2007</v>
      </c>
      <c r="AS35" s="307">
        <f t="shared" si="37"/>
        <v>39173</v>
      </c>
      <c r="AT35" s="115">
        <v>58.5</v>
      </c>
      <c r="AU35" s="115">
        <v>42.9</v>
      </c>
      <c r="AV35" s="287">
        <f t="shared" si="33"/>
        <v>51.792000000000002</v>
      </c>
      <c r="AW35" s="271">
        <v>400</v>
      </c>
      <c r="AX35" s="271">
        <v>320</v>
      </c>
      <c r="AY35" s="271">
        <f t="shared" si="21"/>
        <v>0.55555555555555558</v>
      </c>
      <c r="AZ35" s="271">
        <f t="shared" si="22"/>
        <v>0.44444444444444442</v>
      </c>
      <c r="BD35">
        <f t="shared" si="36"/>
        <v>2007</v>
      </c>
      <c r="BE35" s="306">
        <f t="shared" si="38"/>
        <v>39173</v>
      </c>
      <c r="BF35" s="114">
        <f t="shared" si="23"/>
        <v>7.1942196846112019</v>
      </c>
      <c r="BG35" s="115">
        <v>7.1942196846112019</v>
      </c>
      <c r="BI35">
        <f t="shared" si="9"/>
        <v>2006</v>
      </c>
      <c r="BJ35" s="306">
        <v>38776</v>
      </c>
      <c r="BK35">
        <f t="shared" si="10"/>
        <v>5.7339892920000004</v>
      </c>
      <c r="BL35">
        <v>5.7954580360000003</v>
      </c>
      <c r="BM35">
        <v>5.6725205479999996</v>
      </c>
      <c r="BO35">
        <f t="shared" si="11"/>
        <v>2010</v>
      </c>
      <c r="BP35" s="286">
        <v>40179</v>
      </c>
      <c r="BQ35">
        <f t="shared" si="12"/>
        <v>12.602499999999999</v>
      </c>
      <c r="BR35">
        <v>12.16</v>
      </c>
      <c r="BS35">
        <v>13.045</v>
      </c>
      <c r="BT35">
        <f t="shared" si="1"/>
        <v>2016</v>
      </c>
      <c r="BU35" s="286">
        <v>42552</v>
      </c>
      <c r="BV35">
        <f t="shared" si="2"/>
        <v>2.3968548387096771</v>
      </c>
      <c r="BW35" s="580">
        <v>2.4861290322580643</v>
      </c>
      <c r="BX35" s="580">
        <v>2.3075806451612904</v>
      </c>
      <c r="BY35">
        <f t="shared" si="3"/>
        <v>2019</v>
      </c>
      <c r="BZ35" s="286">
        <v>43647</v>
      </c>
      <c r="CA35">
        <f t="shared" si="4"/>
        <v>1.7918499999999999</v>
      </c>
      <c r="CB35" s="580">
        <v>1.7386999999999999</v>
      </c>
      <c r="CC35" s="580">
        <v>1.845</v>
      </c>
      <c r="CD35" s="364">
        <f t="shared" si="5"/>
        <v>2020</v>
      </c>
      <c r="CE35" s="381">
        <v>44013</v>
      </c>
      <c r="CF35" s="364">
        <f t="shared" si="13"/>
        <v>1.5336290322580648</v>
      </c>
      <c r="CG35" s="411">
        <v>1.535645161290323</v>
      </c>
      <c r="CH35" s="411">
        <v>1.5316129032258066</v>
      </c>
      <c r="CI35" s="364">
        <f t="shared" si="6"/>
        <v>2022</v>
      </c>
      <c r="CJ35" s="381">
        <v>44743</v>
      </c>
      <c r="CK35" s="364">
        <f t="shared" si="7"/>
        <v>5.7856451612903221</v>
      </c>
      <c r="CL35" s="411">
        <v>6.497580645161289</v>
      </c>
      <c r="CM35" s="411">
        <v>5.0737096774193562</v>
      </c>
      <c r="CZ35">
        <v>2022</v>
      </c>
      <c r="DA35" s="285">
        <v>5.72</v>
      </c>
      <c r="DB35" s="285">
        <v>5.83</v>
      </c>
    </row>
    <row r="36" spans="3:106">
      <c r="C36">
        <f t="shared" si="29"/>
        <v>2018</v>
      </c>
      <c r="D36" s="28" cm="1">
        <f t="array" ref="D36">SUM((AT$20:AT$389)*(AW$20:AW$389)*($AR$20:$AR$389=$C36))/SUM((AW$20:AW$389)*($AR$20:$AR$389=$C36))</f>
        <v>78.589869706840389</v>
      </c>
      <c r="E36" s="28">
        <f t="array" ref="E36">SUM((AU$20:AU$389)*(AX$20:AX$389)*($AR$20:$AR$389=$C36))/SUM((AX$20:AX$389)*($AR$20:$AR$389=$C36))</f>
        <v>64.369480249480247</v>
      </c>
      <c r="F36" s="28">
        <f t="array" ref="F36">(SUM((AV$20:AV$389)*(AW$20:AW$389)*($AR$20:$AR$389=$C36))+SUM((AV$20:AV$389)*(AX$20:AX$389)*($AR$20:$AR$389=$C36)))/(SUM((AW$20:AW$389)*($AR$20:$AR$389=$C36))+SUM((AX$20:AX$389)*($AR$20:$AR$389=$C36)))</f>
        <v>72.472873150684933</v>
      </c>
      <c r="G36" s="226">
        <f t="shared" si="24"/>
        <v>5.34</v>
      </c>
      <c r="H36" s="28">
        <f t="shared" si="25"/>
        <v>5.333333333333333</v>
      </c>
      <c r="I36" s="28">
        <f t="array" ref="I36">(SUM((BF$20:BF$389)*(AW$20:AW$389)*($AR$20:$AR$389=$C36))+SUM((BF$20:BF$389)*(AX$20:AX$389)*($AR$20:$AR$389=$C36)))/(SUM((AW$20:AW$389)*($AR$20:$AR$389=$C36))+SUM((AX$20:AX$389)*($AR$20:$AR$389=$C36)))</f>
        <v>9.1071488375904099</v>
      </c>
      <c r="J36" s="226">
        <f t="shared" si="28"/>
        <v>11.30625</v>
      </c>
      <c r="K36" s="226">
        <f t="shared" si="35"/>
        <v>2.745204166666666</v>
      </c>
      <c r="L36" s="226">
        <f t="shared" ref="L36:L58" si="39">AVERAGEIF($BY$17:$BY$293,$C36,$CA$17:$CA$293)</f>
        <v>2.2091508096518182</v>
      </c>
      <c r="M36" s="590"/>
      <c r="N36" s="590"/>
      <c r="O36" s="226"/>
      <c r="P36" s="485"/>
      <c r="Q36" s="574">
        <v>2.4E-2</v>
      </c>
      <c r="R36" s="574">
        <v>2.4E-2</v>
      </c>
      <c r="S36" s="169">
        <v>2.3E-2</v>
      </c>
      <c r="T36" s="169">
        <v>2.4E-2</v>
      </c>
      <c r="U36" s="169">
        <v>1.9E-2</v>
      </c>
      <c r="V36" s="169">
        <v>1.9E-2</v>
      </c>
      <c r="W36" s="169"/>
      <c r="X36" s="487"/>
      <c r="Y36" s="287">
        <f t="shared" si="26"/>
        <v>6.6910028326195539</v>
      </c>
      <c r="Z36" s="287">
        <f t="shared" si="30"/>
        <v>3.532889520317045</v>
      </c>
      <c r="AA36" s="287">
        <f t="shared" si="31"/>
        <v>0.88899507537389666</v>
      </c>
      <c r="AB36" s="287">
        <f t="shared" si="34"/>
        <v>0.89952686006452098</v>
      </c>
      <c r="AC36" s="287">
        <v>1.1974836718320334</v>
      </c>
      <c r="AD36" s="287">
        <v>0.91699200095245803</v>
      </c>
      <c r="AE36" s="287">
        <v>0.91699200095245803</v>
      </c>
      <c r="AF36" s="577"/>
      <c r="AG36" s="577"/>
      <c r="AH36" s="577"/>
      <c r="AI36" s="577"/>
      <c r="AK36" s="472">
        <f t="shared" si="27"/>
        <v>2022</v>
      </c>
      <c r="AM36">
        <v>2025</v>
      </c>
      <c r="AN36" s="562">
        <v>28</v>
      </c>
      <c r="AO36" s="562">
        <f t="shared" si="8"/>
        <v>45.125626520975359</v>
      </c>
      <c r="AP36" s="562">
        <f t="shared" si="32"/>
        <v>37.128876984074367</v>
      </c>
      <c r="AR36">
        <f t="shared" si="19"/>
        <v>2007</v>
      </c>
      <c r="AS36" s="307">
        <f t="shared" si="37"/>
        <v>39203</v>
      </c>
      <c r="AT36" s="115">
        <v>48</v>
      </c>
      <c r="AU36" s="115">
        <v>32.89</v>
      </c>
      <c r="AV36" s="287">
        <f t="shared" si="33"/>
        <v>41.502699999999997</v>
      </c>
      <c r="AW36" s="271">
        <v>416</v>
      </c>
      <c r="AX36" s="271">
        <v>328</v>
      </c>
      <c r="AY36" s="271">
        <f t="shared" si="21"/>
        <v>0.55913978494623651</v>
      </c>
      <c r="AZ36" s="271">
        <f t="shared" si="22"/>
        <v>0.44086021505376344</v>
      </c>
      <c r="BD36">
        <f t="shared" si="36"/>
        <v>2007</v>
      </c>
      <c r="BE36" s="306">
        <f t="shared" si="38"/>
        <v>39203</v>
      </c>
      <c r="BF36" s="114">
        <f t="shared" si="23"/>
        <v>7.0412833061446438</v>
      </c>
      <c r="BG36" s="115">
        <v>7.0412833061446438</v>
      </c>
      <c r="BI36">
        <f t="shared" si="9"/>
        <v>2006</v>
      </c>
      <c r="BJ36" s="306">
        <v>38807</v>
      </c>
      <c r="BK36">
        <f t="shared" si="10"/>
        <v>5.5589892919999997</v>
      </c>
      <c r="BL36">
        <v>5.6204580359999996</v>
      </c>
      <c r="BM36">
        <v>5.4975205479999998</v>
      </c>
      <c r="BO36">
        <f t="shared" si="11"/>
        <v>2010</v>
      </c>
      <c r="BP36" s="286">
        <v>40210</v>
      </c>
      <c r="BQ36">
        <f t="shared" si="12"/>
        <v>12.537500000000001</v>
      </c>
      <c r="BR36">
        <v>12.095000000000001</v>
      </c>
      <c r="BS36">
        <v>12.98</v>
      </c>
      <c r="BT36">
        <f t="shared" si="1"/>
        <v>2016</v>
      </c>
      <c r="BU36" s="286">
        <v>42583</v>
      </c>
      <c r="BV36">
        <f t="shared" si="2"/>
        <v>2.5364516129032255</v>
      </c>
      <c r="BW36" s="580">
        <v>2.5683870967741931</v>
      </c>
      <c r="BX36" s="580">
        <v>2.5045161290322584</v>
      </c>
      <c r="BY36">
        <f t="shared" si="3"/>
        <v>2019</v>
      </c>
      <c r="BZ36" s="286">
        <v>43678</v>
      </c>
      <c r="CA36">
        <f t="shared" si="4"/>
        <v>1.7826500000000001</v>
      </c>
      <c r="CB36" s="580">
        <v>1.7658</v>
      </c>
      <c r="CC36" s="580">
        <v>1.7995000000000001</v>
      </c>
      <c r="CD36" s="364">
        <f t="shared" si="5"/>
        <v>2020</v>
      </c>
      <c r="CE36" s="381">
        <v>44044</v>
      </c>
      <c r="CF36" s="364">
        <f t="shared" si="13"/>
        <v>2.0703225806451613</v>
      </c>
      <c r="CG36" s="411">
        <v>2.0864516129032258</v>
      </c>
      <c r="CH36" s="411">
        <v>2.0541935483870968</v>
      </c>
      <c r="CI36" s="364">
        <f t="shared" si="6"/>
        <v>2022</v>
      </c>
      <c r="CJ36" s="381">
        <v>44774</v>
      </c>
      <c r="CK36" s="364">
        <f t="shared" si="7"/>
        <v>8.1397580645161298</v>
      </c>
      <c r="CL36" s="411">
        <v>8.1749999999999989</v>
      </c>
      <c r="CM36" s="411">
        <v>8.1045161290322589</v>
      </c>
      <c r="CZ36">
        <v>2023</v>
      </c>
      <c r="DA36" s="285">
        <v>5.85</v>
      </c>
      <c r="DB36" s="285">
        <v>5.97</v>
      </c>
    </row>
    <row r="37" spans="3:106">
      <c r="C37">
        <f t="shared" si="29"/>
        <v>2019</v>
      </c>
      <c r="D37" s="28">
        <f t="array" ref="D37">SUM((AT$20:AT$389)*(AW$20:AW$389)*($AR$20:$AR$389=$C37))/SUM((AW$20:AW$389)*($AR$20:$AR$389=$C37))</f>
        <v>84.90358306188925</v>
      </c>
      <c r="E37" s="28">
        <f t="array" ref="E37">SUM((AU$20:AU$389)*(AX$20:AX$389)*($AR$20:$AR$389=$C37))/SUM((AX$20:AX$389)*($AR$20:$AR$389=$C37))</f>
        <v>69.085634095634092</v>
      </c>
      <c r="F37" s="28">
        <f t="array" ref="F37">(SUM((AV$20:AV$389)*(AW$20:AW$389)*($AR$20:$AR$389=$C37))+SUM((AV$20:AV$389)*(AX$20:AX$389)*($AR$20:$AR$389=$C37)))/(SUM((AW$20:AW$389)*($AR$20:$AR$389=$C37))+SUM((AX$20:AX$389)*($AR$20:$AR$389=$C37)))</f>
        <v>78.125856164383563</v>
      </c>
      <c r="G37" s="226">
        <f t="shared" si="24"/>
        <v>5.46</v>
      </c>
      <c r="H37" s="28">
        <f t="shared" si="25"/>
        <v>5.5149999999999997</v>
      </c>
      <c r="I37" s="28">
        <f t="array" ref="I37">(SUM((BF$20:BF$389)*(AW$20:AW$389)*($AR$20:$AR$389=$C37))+SUM((BF$20:BF$389)*(AX$20:AX$389)*($AR$20:$AR$389=$C37)))/(SUM((AW$20:AW$389)*($AR$20:$AR$389=$C37))+SUM((AX$20:AX$389)*($AR$20:$AR$389=$C37)))</f>
        <v>9.7289597532905745</v>
      </c>
      <c r="J37" s="226">
        <f t="shared" si="28"/>
        <v>11.752083333333331</v>
      </c>
      <c r="K37" s="226">
        <f t="shared" si="35"/>
        <v>2.6163124999999998</v>
      </c>
      <c r="L37" s="226">
        <f t="shared" si="39"/>
        <v>1.9742583333333332</v>
      </c>
      <c r="M37" s="590">
        <f t="shared" ref="M37:M62" si="40">AVERAGEIF($CD$17:$CD$389,$C37,$CF$17:$CF$389)</f>
        <v>4.1493140945848124</v>
      </c>
      <c r="N37" s="590"/>
      <c r="O37" s="226"/>
      <c r="P37" s="485"/>
      <c r="Q37" s="574">
        <v>1.7999999999999999E-2</v>
      </c>
      <c r="R37" s="574">
        <v>1.7999999999999999E-2</v>
      </c>
      <c r="S37" s="169">
        <v>2.3E-2</v>
      </c>
      <c r="T37" s="169">
        <v>2.4E-2</v>
      </c>
      <c r="U37" s="169">
        <v>1.9E-2</v>
      </c>
      <c r="V37" s="169">
        <v>1.9E-2</v>
      </c>
      <c r="W37" s="169"/>
      <c r="X37" s="487"/>
      <c r="Y37" s="287">
        <f t="shared" si="26"/>
        <v>6.8181318864393248</v>
      </c>
      <c r="Z37" s="287">
        <f t="shared" si="30"/>
        <v>3.6000144212030687</v>
      </c>
      <c r="AA37" s="287">
        <f t="shared" si="31"/>
        <v>0.90588598180600066</v>
      </c>
      <c r="AB37" s="287">
        <f t="shared" si="34"/>
        <v>0.91661787040574683</v>
      </c>
      <c r="AC37" s="287">
        <v>1.2269144627008759</v>
      </c>
      <c r="AD37" s="287">
        <v>0.93952909305922927</v>
      </c>
      <c r="AE37" s="287">
        <v>0.93952909305922927</v>
      </c>
      <c r="AF37" s="577"/>
      <c r="AG37" s="577"/>
      <c r="AH37" s="577"/>
      <c r="AI37" s="577"/>
      <c r="AK37" s="472">
        <f t="shared" si="27"/>
        <v>2023</v>
      </c>
      <c r="AM37">
        <v>2026</v>
      </c>
      <c r="AN37" s="562">
        <v>28</v>
      </c>
      <c r="AO37" s="562">
        <f t="shared" si="8"/>
        <v>45.125626520975359</v>
      </c>
      <c r="AP37" s="562">
        <f t="shared" si="32"/>
        <v>37.128876984074367</v>
      </c>
      <c r="AR37">
        <f t="shared" si="19"/>
        <v>2007</v>
      </c>
      <c r="AS37" s="307">
        <f t="shared" si="37"/>
        <v>39234</v>
      </c>
      <c r="AT37" s="115">
        <v>44.5</v>
      </c>
      <c r="AU37" s="115">
        <v>31.46</v>
      </c>
      <c r="AV37" s="287">
        <f t="shared" si="33"/>
        <v>38.892800000000001</v>
      </c>
      <c r="AW37" s="271">
        <v>416</v>
      </c>
      <c r="AX37" s="271">
        <v>304</v>
      </c>
      <c r="AY37" s="271">
        <f t="shared" si="21"/>
        <v>0.57777777777777772</v>
      </c>
      <c r="AZ37" s="271">
        <f t="shared" si="22"/>
        <v>0.42222222222222222</v>
      </c>
      <c r="BD37">
        <f t="shared" si="36"/>
        <v>2007</v>
      </c>
      <c r="BE37" s="306">
        <f t="shared" si="38"/>
        <v>39234</v>
      </c>
      <c r="BF37" s="114">
        <f t="shared" si="23"/>
        <v>7.1265538336052208</v>
      </c>
      <c r="BG37" s="115">
        <v>7.1265538336052208</v>
      </c>
      <c r="BI37">
        <f t="shared" si="9"/>
        <v>2006</v>
      </c>
      <c r="BJ37" s="306">
        <v>38837</v>
      </c>
      <c r="BK37">
        <f t="shared" si="10"/>
        <v>4.8926438289999998</v>
      </c>
      <c r="BL37">
        <v>4.9677671099999996</v>
      </c>
      <c r="BM37">
        <v>4.8175205480000001</v>
      </c>
      <c r="BO37">
        <f t="shared" si="11"/>
        <v>2010</v>
      </c>
      <c r="BP37" s="286">
        <v>40238</v>
      </c>
      <c r="BQ37">
        <f t="shared" si="12"/>
        <v>12.287500000000001</v>
      </c>
      <c r="BR37">
        <v>11.845000000000001</v>
      </c>
      <c r="BS37">
        <v>12.73</v>
      </c>
      <c r="BT37">
        <f t="shared" si="1"/>
        <v>2016</v>
      </c>
      <c r="BU37" s="286">
        <v>42614</v>
      </c>
      <c r="BV37">
        <f t="shared" si="2"/>
        <v>2.6564166666666669</v>
      </c>
      <c r="BW37" s="580">
        <v>2.6613333333333338</v>
      </c>
      <c r="BX37" s="580">
        <v>2.6514999999999995</v>
      </c>
      <c r="BY37">
        <f t="shared" si="3"/>
        <v>2019</v>
      </c>
      <c r="BZ37" s="286">
        <v>43709</v>
      </c>
      <c r="CA37">
        <f t="shared" si="4"/>
        <v>1.7725</v>
      </c>
      <c r="CB37" s="580">
        <v>1.76</v>
      </c>
      <c r="CC37" s="580">
        <v>1.7849999999999999</v>
      </c>
      <c r="CD37" s="364">
        <f t="shared" si="5"/>
        <v>2020</v>
      </c>
      <c r="CE37" s="381">
        <v>44075</v>
      </c>
      <c r="CF37" s="364">
        <f t="shared" si="13"/>
        <v>2.2097500000000001</v>
      </c>
      <c r="CG37" s="411">
        <v>2.1893333333333334</v>
      </c>
      <c r="CH37" s="411">
        <v>2.2301666666666669</v>
      </c>
      <c r="CI37" s="364">
        <f t="shared" si="6"/>
        <v>2022</v>
      </c>
      <c r="CJ37" s="381">
        <v>44805</v>
      </c>
      <c r="CK37" s="364">
        <f t="shared" si="7"/>
        <v>7.0951666666666657</v>
      </c>
      <c r="CL37" s="411">
        <v>7.1353333333333335</v>
      </c>
      <c r="CM37" s="411">
        <v>7.0549999999999988</v>
      </c>
    </row>
    <row r="38" spans="3:106">
      <c r="C38">
        <f t="shared" si="29"/>
        <v>2020</v>
      </c>
      <c r="D38" s="28">
        <f t="array" ref="D38">SUM((AT$20:AT$389)*(AW$20:AW$389)*($AR$20:$AR$389=$C38))/SUM((AW$20:AW$389)*($AR$20:$AR$389=$C38))</f>
        <v>85.778798701298697</v>
      </c>
      <c r="E38" s="28">
        <f t="array" ref="E38">SUM((AU$20:AU$389)*(AX$20:AX$389)*($AR$20:$AR$389=$C38))/SUM((AX$20:AX$389)*($AR$20:$AR$389=$C38))</f>
        <v>72.797489626556015</v>
      </c>
      <c r="F38" s="28">
        <f t="array" ref="F38">(SUM((AV$20:AV$389)*(AW$20:AW$389)*($AR$20:$AR$389=$C38))+SUM((AV$20:AV$389)*(AX$20:AX$389)*($AR$20:$AR$389=$C38)))/(SUM((AW$20:AW$389)*($AR$20:$AR$389=$C38))+SUM((AX$20:AX$389)*($AR$20:$AR$389=$C38)))</f>
        <v>80.228144808743139</v>
      </c>
      <c r="G38" s="226">
        <f t="shared" si="24"/>
        <v>5.59</v>
      </c>
      <c r="H38" s="28">
        <f t="shared" si="25"/>
        <v>5.7024999999999997</v>
      </c>
      <c r="I38" s="28">
        <f t="array" ref="I38">(SUM((BF$20:BF$389)*(AW$20:AW$389)*($AR$20:$AR$389=$C38))+SUM((BF$20:BF$389)*(AX$20:AX$389)*($AR$20:$AR$389=$C38)))/(SUM((AW$20:AW$389)*($AR$20:$AR$389=$C38))+SUM((AX$20:AX$389)*($AR$20:$AR$389=$C38)))</f>
        <v>10.107309478601163</v>
      </c>
      <c r="J38" s="226">
        <f t="shared" si="28"/>
        <v>11.473750000000003</v>
      </c>
      <c r="K38" s="226">
        <f t="shared" si="35"/>
        <v>2.6944208333333339</v>
      </c>
      <c r="L38" s="226">
        <f t="shared" si="39"/>
        <v>1.8849916666666668</v>
      </c>
      <c r="M38" s="590">
        <f t="shared" si="40"/>
        <v>2.0866575313976594</v>
      </c>
      <c r="N38" s="590"/>
      <c r="O38" s="226"/>
      <c r="P38" s="485"/>
      <c r="Q38" s="574">
        <v>1.2999999999999999E-2</v>
      </c>
      <c r="R38" s="574">
        <v>1.2999999999999999E-2</v>
      </c>
      <c r="S38" s="169">
        <v>2.3E-2</v>
      </c>
      <c r="T38" s="169">
        <v>2.3E-2</v>
      </c>
      <c r="U38" s="169">
        <v>1.9E-2</v>
      </c>
      <c r="V38" s="169">
        <v>1.9E-2</v>
      </c>
      <c r="W38" s="169"/>
      <c r="X38" s="487"/>
      <c r="Y38" s="287">
        <f t="shared" si="26"/>
        <v>6.9476763922816716</v>
      </c>
      <c r="Z38" s="287">
        <f t="shared" si="30"/>
        <v>3.6684146952059264</v>
      </c>
      <c r="AA38" s="287">
        <f t="shared" si="31"/>
        <v>0.92309781546031455</v>
      </c>
      <c r="AB38" s="287">
        <f t="shared" si="34"/>
        <v>0.93403360994345597</v>
      </c>
      <c r="AC38" s="287">
        <v>1.2554480395092353</v>
      </c>
      <c r="AD38" s="287">
        <v>0.961379129353919</v>
      </c>
      <c r="AE38" s="287">
        <v>0.961379129353919</v>
      </c>
      <c r="AF38" s="578">
        <v>1.3</v>
      </c>
      <c r="AG38" s="578">
        <v>1.0900000000000001</v>
      </c>
      <c r="AH38" s="577"/>
      <c r="AI38" s="577"/>
      <c r="AK38" s="472">
        <f t="shared" si="27"/>
        <v>2024</v>
      </c>
      <c r="AM38">
        <v>2027</v>
      </c>
      <c r="AN38" s="562">
        <v>29</v>
      </c>
      <c r="AO38" s="562">
        <f t="shared" si="8"/>
        <v>46.737256039581624</v>
      </c>
      <c r="AP38" s="562">
        <f t="shared" si="32"/>
        <v>38.454908304934165</v>
      </c>
      <c r="AR38">
        <f t="shared" si="19"/>
        <v>2007</v>
      </c>
      <c r="AS38" s="307">
        <f t="shared" si="37"/>
        <v>39264</v>
      </c>
      <c r="AT38" s="115">
        <v>71.55</v>
      </c>
      <c r="AU38" s="115">
        <v>55.8</v>
      </c>
      <c r="AV38" s="287">
        <f t="shared" si="33"/>
        <v>64.777500000000003</v>
      </c>
      <c r="AW38" s="271">
        <v>400</v>
      </c>
      <c r="AX38" s="271">
        <v>344</v>
      </c>
      <c r="AY38" s="271">
        <f t="shared" si="21"/>
        <v>0.5376344086021505</v>
      </c>
      <c r="AZ38" s="271">
        <f t="shared" si="22"/>
        <v>0.46236559139784944</v>
      </c>
      <c r="BD38">
        <f t="shared" si="36"/>
        <v>2007</v>
      </c>
      <c r="BE38" s="306">
        <f t="shared" si="38"/>
        <v>39264</v>
      </c>
      <c r="BF38" s="114">
        <f t="shared" si="23"/>
        <v>7.2903996737357257</v>
      </c>
      <c r="BG38" s="115">
        <v>7.2903996737357257</v>
      </c>
      <c r="BI38">
        <f t="shared" si="9"/>
        <v>2006</v>
      </c>
      <c r="BJ38" s="306">
        <v>38868</v>
      </c>
      <c r="BK38">
        <f t="shared" si="10"/>
        <v>4.7426438290000004</v>
      </c>
      <c r="BL38">
        <v>4.8177671100000001</v>
      </c>
      <c r="BM38">
        <v>4.6675205479999997</v>
      </c>
      <c r="BO38">
        <f t="shared" si="11"/>
        <v>2010</v>
      </c>
      <c r="BP38" s="286">
        <v>40269</v>
      </c>
      <c r="BQ38">
        <f t="shared" si="12"/>
        <v>10.01</v>
      </c>
      <c r="BR38">
        <v>10.065</v>
      </c>
      <c r="BS38">
        <v>9.9550000000000001</v>
      </c>
      <c r="BT38">
        <f t="shared" si="1"/>
        <v>2016</v>
      </c>
      <c r="BU38" s="286">
        <v>42644</v>
      </c>
      <c r="BV38">
        <f t="shared" si="2"/>
        <v>2.665</v>
      </c>
      <c r="BW38" s="580">
        <v>2.68</v>
      </c>
      <c r="BX38" s="580">
        <v>2.65</v>
      </c>
      <c r="BY38">
        <f t="shared" si="3"/>
        <v>2019</v>
      </c>
      <c r="BZ38" s="286">
        <v>43739</v>
      </c>
      <c r="CA38">
        <f t="shared" si="4"/>
        <v>1.80375</v>
      </c>
      <c r="CB38" s="580">
        <v>1.7524999999999999</v>
      </c>
      <c r="CC38" s="580">
        <v>1.855</v>
      </c>
      <c r="CD38" s="364">
        <f t="shared" si="5"/>
        <v>2020</v>
      </c>
      <c r="CE38" s="381">
        <v>44105</v>
      </c>
      <c r="CF38" s="364">
        <f t="shared" si="13"/>
        <v>2.7998076923076924</v>
      </c>
      <c r="CG38" s="411">
        <v>2.2813461538461541</v>
      </c>
      <c r="CH38" s="411">
        <v>3.3182692307692312</v>
      </c>
      <c r="CI38" s="364">
        <f t="shared" si="6"/>
        <v>2022</v>
      </c>
      <c r="CJ38" s="381">
        <v>44835</v>
      </c>
      <c r="CK38" s="364">
        <f t="shared" si="7"/>
        <v>5.0850000000000009</v>
      </c>
      <c r="CL38" s="411">
        <v>4.6900000000000004</v>
      </c>
      <c r="CM38" s="411">
        <v>5.48</v>
      </c>
      <c r="CP38" s="309"/>
      <c r="CZ38" t="s">
        <v>171</v>
      </c>
    </row>
    <row r="39" spans="3:106">
      <c r="C39">
        <f t="shared" si="29"/>
        <v>2021</v>
      </c>
      <c r="D39" s="28">
        <f t="array" ref="D39">SUM((AT$20:AT$389)*(AW$20:AW$389)*($AR$20:$AR$389=$C39))/SUM((AW$20:AW$389)*($AR$20:$AR$389=$C39))</f>
        <v>85.96977198697067</v>
      </c>
      <c r="E39" s="28">
        <f t="array" ref="E39">SUM((AU$20:AU$389)*(AX$20:AX$389)*($AR$20:$AR$389=$C39))/SUM((AX$20:AX$389)*($AR$20:$AR$389=$C39))</f>
        <v>74.402765072765064</v>
      </c>
      <c r="F39" s="28">
        <f t="array" ref="F39">(SUM((AV$20:AV$389)*(AW$20:AW$389)*($AR$20:$AR$389=$C39))+SUM((AV$20:AV$389)*(AX$20:AX$389)*($AR$20:$AR$389=$C39)))/(SUM((AW$20:AW$389)*($AR$20:$AR$389=$C39))+SUM((AX$20:AX$389)*($AR$20:$AR$389=$C39)))</f>
        <v>81.014897260273969</v>
      </c>
      <c r="G39" s="226">
        <f t="shared" si="24"/>
        <v>5.68</v>
      </c>
      <c r="H39" s="28">
        <f t="shared" si="25"/>
        <v>5.8954166666666659</v>
      </c>
      <c r="I39" s="28">
        <f t="array" ref="I39">(SUM((BF$20:BF$389)*(AW$20:AW$389)*($AR$20:$AR$389=$C39))+SUM((BF$20:BF$389)*(AX$20:AX$389)*($AR$20:$AR$389=$C39)))/(SUM((AW$20:AW$389)*($AR$20:$AR$389=$C39))+SUM((AX$20:AX$389)*($AR$20:$AR$389=$C39)))</f>
        <v>10.286225465001079</v>
      </c>
      <c r="J39" s="226">
        <f t="shared" si="28"/>
        <v>11.692083333333334</v>
      </c>
      <c r="K39" s="226">
        <f t="shared" si="35"/>
        <v>2.8767624999999999</v>
      </c>
      <c r="L39" s="226">
        <f t="shared" si="39"/>
        <v>1.9506749999999997</v>
      </c>
      <c r="M39" s="590">
        <f t="shared" si="40"/>
        <v>2.8263514700353407</v>
      </c>
      <c r="N39" s="590">
        <f>AVERAGEIF($CI$17:$CI$389,$C39,$CK$17:$CK$389)</f>
        <v>3.8851701976339079</v>
      </c>
      <c r="O39" s="226"/>
      <c r="P39" s="485"/>
      <c r="Q39" s="574">
        <v>4.3999999999999997E-2</v>
      </c>
      <c r="R39" s="574">
        <v>0.04</v>
      </c>
      <c r="S39" s="169">
        <v>2.3E-2</v>
      </c>
      <c r="T39" s="169">
        <v>2.1999999999999999E-2</v>
      </c>
      <c r="U39" s="169">
        <v>1.7999999999999999E-2</v>
      </c>
      <c r="V39" s="169">
        <v>1.9E-2</v>
      </c>
      <c r="W39" s="169"/>
      <c r="X39" s="487"/>
      <c r="Y39" s="287">
        <f t="shared" si="26"/>
        <v>7.0796822437350224</v>
      </c>
      <c r="Z39" s="287">
        <f t="shared" si="30"/>
        <v>3.7381145744148387</v>
      </c>
      <c r="AA39" s="287">
        <f t="shared" si="31"/>
        <v>0.94063667395406048</v>
      </c>
      <c r="AB39" s="287">
        <f t="shared" si="34"/>
        <v>0.95084621492243815</v>
      </c>
      <c r="AC39" s="287">
        <v>1.2834505366016622</v>
      </c>
      <c r="AD39" s="287">
        <v>0.98282248298325492</v>
      </c>
      <c r="AE39" s="287">
        <v>0.98282248298325492</v>
      </c>
      <c r="AF39" s="577">
        <f>AF38*(1+R39)</f>
        <v>1.3520000000000001</v>
      </c>
      <c r="AG39" s="577">
        <f>AG38*(1+R39)</f>
        <v>1.1336000000000002</v>
      </c>
      <c r="AH39" s="577"/>
      <c r="AI39" s="577"/>
      <c r="AK39" s="472">
        <f t="shared" si="27"/>
        <v>2025</v>
      </c>
      <c r="AM39">
        <v>2028</v>
      </c>
      <c r="AN39" s="562">
        <v>29</v>
      </c>
      <c r="AO39" s="562">
        <f t="shared" si="8"/>
        <v>46.737256039581624</v>
      </c>
      <c r="AP39" s="562">
        <f t="shared" si="32"/>
        <v>38.454908304934165</v>
      </c>
      <c r="AR39">
        <f t="shared" si="19"/>
        <v>2007</v>
      </c>
      <c r="AS39" s="307">
        <f t="shared" si="37"/>
        <v>39295</v>
      </c>
      <c r="AT39" s="115">
        <v>84.27</v>
      </c>
      <c r="AU39" s="115">
        <v>65.72</v>
      </c>
      <c r="AV39" s="287">
        <f t="shared" si="33"/>
        <v>76.293499999999995</v>
      </c>
      <c r="AW39" s="271">
        <v>432</v>
      </c>
      <c r="AX39" s="271">
        <v>312</v>
      </c>
      <c r="AY39" s="271">
        <f t="shared" si="21"/>
        <v>0.58064516129032262</v>
      </c>
      <c r="AZ39" s="271">
        <f t="shared" si="22"/>
        <v>0.41935483870967744</v>
      </c>
      <c r="BD39">
        <f t="shared" si="36"/>
        <v>2007</v>
      </c>
      <c r="BE39" s="306">
        <f t="shared" si="38"/>
        <v>39295</v>
      </c>
      <c r="BF39" s="114">
        <f t="shared" si="23"/>
        <v>7.3821615008156618</v>
      </c>
      <c r="BG39" s="115">
        <v>7.3821615008156618</v>
      </c>
      <c r="BI39">
        <f t="shared" si="9"/>
        <v>2006</v>
      </c>
      <c r="BJ39" s="306">
        <v>38898</v>
      </c>
      <c r="BK39">
        <f t="shared" si="10"/>
        <v>4.7476438289999994</v>
      </c>
      <c r="BL39">
        <v>4.82276711</v>
      </c>
      <c r="BM39">
        <v>4.6725205479999996</v>
      </c>
      <c r="BO39">
        <f t="shared" si="11"/>
        <v>2010</v>
      </c>
      <c r="BP39" s="286">
        <v>40299</v>
      </c>
      <c r="BQ39">
        <f t="shared" si="12"/>
        <v>9.8449999999999989</v>
      </c>
      <c r="BR39">
        <v>9.9</v>
      </c>
      <c r="BS39">
        <v>9.7899999999999991</v>
      </c>
      <c r="BT39">
        <f t="shared" si="1"/>
        <v>2016</v>
      </c>
      <c r="BU39" s="286">
        <v>42675</v>
      </c>
      <c r="BV39">
        <f t="shared" si="2"/>
        <v>3.0488999999999997</v>
      </c>
      <c r="BW39" s="580">
        <v>3.0278</v>
      </c>
      <c r="BX39" s="580">
        <v>3.07</v>
      </c>
      <c r="BY39">
        <f t="shared" si="3"/>
        <v>2019</v>
      </c>
      <c r="BZ39" s="286">
        <v>43770</v>
      </c>
      <c r="CA39">
        <f t="shared" si="4"/>
        <v>2.0677500000000002</v>
      </c>
      <c r="CB39" s="580">
        <v>1.9715</v>
      </c>
      <c r="CC39" s="580">
        <v>2.1640000000000001</v>
      </c>
      <c r="CD39" s="364">
        <f t="shared" si="5"/>
        <v>2020</v>
      </c>
      <c r="CE39" s="381">
        <v>44136</v>
      </c>
      <c r="CF39" s="364">
        <f t="shared" si="13"/>
        <v>3.1758620689655173</v>
      </c>
      <c r="CG39" s="411">
        <v>3.0929310344827594</v>
      </c>
      <c r="CH39" s="411">
        <v>3.2587931034482756</v>
      </c>
      <c r="CI39" s="364">
        <f t="shared" si="6"/>
        <v>2022</v>
      </c>
      <c r="CJ39" s="381">
        <v>44866</v>
      </c>
      <c r="CK39" s="364">
        <f t="shared" si="7"/>
        <v>5.7142499999999998</v>
      </c>
      <c r="CL39" s="411">
        <v>5.4085000000000001</v>
      </c>
      <c r="CM39" s="411">
        <v>6.02</v>
      </c>
      <c r="CP39" s="309"/>
      <c r="CZ39" t="s">
        <v>168</v>
      </c>
    </row>
    <row r="40" spans="3:106">
      <c r="C40">
        <f t="shared" si="29"/>
        <v>2022</v>
      </c>
      <c r="D40" s="28">
        <f t="array" ref="D40">SUM((AT$20:AT$389)*(AW$20:AW$389)*($AR$20:$AR$389=$C40))/SUM((AW$20:AW$389)*($AR$20:$AR$389=$C40))</f>
        <v>85.168078175895758</v>
      </c>
      <c r="E40" s="28">
        <f t="array" ref="E40">SUM((AU$20:AU$389)*(AX$20:AX$389)*($AR$20:$AR$389=$C40))/SUM((AX$20:AX$389)*($AR$20:$AR$389=$C40))</f>
        <v>75.580145530145515</v>
      </c>
      <c r="F40" s="28">
        <f t="array" ref="F40">(SUM((AV$20:AV$389)*(AW$20:AW$389)*($AR$20:$AR$389=$C40))+SUM((AV$20:AV$389)*(AX$20:AX$389)*($AR$20:$AR$389=$C40)))/(SUM((AW$20:AW$389)*($AR$20:$AR$389=$C40))+SUM((AX$20:AX$389)*($AR$20:$AR$389=$C40)))</f>
        <v>81.061868493150669</v>
      </c>
      <c r="G40" s="226">
        <f t="shared" si="24"/>
        <v>5.72</v>
      </c>
      <c r="H40" s="28">
        <f t="shared" si="25"/>
        <v>6.1033333333333344</v>
      </c>
      <c r="I40" s="28">
        <f t="array" ref="I40">(SUM((BF$20:BF$389)*(AW$20:AW$389)*($AR$20:$AR$389=$C40))+SUM((BF$20:BF$389)*(AX$20:AX$389)*($AR$20:$AR$389=$C40)))/(SUM((AW$20:AW$389)*($AR$20:$AR$389=$C40))+SUM((AX$20:AX$389)*($AR$20:$AR$389=$C40)))</f>
        <v>10.481890917487915</v>
      </c>
      <c r="J40" s="226">
        <f t="shared" si="28"/>
        <v>11.912916666666668</v>
      </c>
      <c r="K40" s="226">
        <f t="shared" si="35"/>
        <v>3.0098541666666665</v>
      </c>
      <c r="L40" s="226">
        <f t="shared" si="39"/>
        <v>2.431295833333333</v>
      </c>
      <c r="M40" s="590">
        <f t="shared" si="40"/>
        <v>2.6243791666666665</v>
      </c>
      <c r="N40" s="590">
        <f t="shared" ref="N40:N70" si="41">AVERAGEIF($CI$17:$CI$389,$C40,$CK$17:$CK$389)</f>
        <v>6.0414413242447509</v>
      </c>
      <c r="O40" s="226"/>
      <c r="P40" s="485"/>
      <c r="Q40" s="574">
        <v>7.5999999999999998E-2</v>
      </c>
      <c r="R40" s="574">
        <v>2.5000000000000001E-2</v>
      </c>
      <c r="S40" s="169">
        <v>2.1999999999999999E-2</v>
      </c>
      <c r="T40" s="169">
        <v>2.1999999999999999E-2</v>
      </c>
      <c r="U40" s="169">
        <v>1.7999999999999999E-2</v>
      </c>
      <c r="V40" s="169">
        <v>1.9E-2</v>
      </c>
      <c r="W40" s="169"/>
      <c r="X40" s="487"/>
      <c r="Y40" s="287">
        <f t="shared" si="26"/>
        <v>7.2141962063659868</v>
      </c>
      <c r="Z40" s="287">
        <f t="shared" si="30"/>
        <v>3.8091387513287205</v>
      </c>
      <c r="AA40" s="287">
        <f t="shared" si="31"/>
        <v>0.9585087707591875</v>
      </c>
      <c r="AB40" s="287">
        <f t="shared" si="34"/>
        <v>0.96796144679104201</v>
      </c>
      <c r="AC40" s="287">
        <v>1.3117597482561225</v>
      </c>
      <c r="AD40" s="287">
        <v>1.0045007081240578</v>
      </c>
      <c r="AE40" s="287">
        <v>1.0045007081240578</v>
      </c>
      <c r="AF40" s="577">
        <f t="shared" ref="AF40:AF72" si="42">AF39*(1+R40)</f>
        <v>1.3857999999999999</v>
      </c>
      <c r="AG40" s="577">
        <f t="shared" ref="AG40:AG72" si="43">AG39*(1+R40)</f>
        <v>1.16194</v>
      </c>
      <c r="AH40" s="578">
        <v>1.58</v>
      </c>
      <c r="AI40" s="578">
        <v>1.32</v>
      </c>
      <c r="AK40" s="472">
        <f t="shared" si="27"/>
        <v>2026</v>
      </c>
      <c r="AM40">
        <v>2029</v>
      </c>
      <c r="AN40" s="562">
        <v>30</v>
      </c>
      <c r="AO40" s="562">
        <f t="shared" si="8"/>
        <v>48.348885558187888</v>
      </c>
      <c r="AP40" s="562">
        <f t="shared" si="32"/>
        <v>39.780939625793962</v>
      </c>
      <c r="AR40">
        <f t="shared" si="19"/>
        <v>2007</v>
      </c>
      <c r="AS40" s="307">
        <f t="shared" si="37"/>
        <v>39326</v>
      </c>
      <c r="AT40" s="115">
        <v>82.68</v>
      </c>
      <c r="AU40" s="115">
        <v>64.48</v>
      </c>
      <c r="AV40" s="287">
        <f t="shared" si="33"/>
        <v>74.853999999999999</v>
      </c>
      <c r="AW40" s="271">
        <v>384</v>
      </c>
      <c r="AX40" s="271">
        <v>336</v>
      </c>
      <c r="AY40" s="271">
        <f t="shared" si="21"/>
        <v>0.53333333333333333</v>
      </c>
      <c r="AZ40" s="271">
        <f t="shared" si="22"/>
        <v>0.46666666666666667</v>
      </c>
      <c r="BD40">
        <f t="shared" si="36"/>
        <v>2007</v>
      </c>
      <c r="BE40" s="306">
        <f t="shared" si="38"/>
        <v>39326</v>
      </c>
      <c r="BF40" s="114">
        <f t="shared" si="23"/>
        <v>7.473923327895597</v>
      </c>
      <c r="BG40" s="115">
        <v>7.473923327895597</v>
      </c>
      <c r="BI40">
        <f t="shared" si="9"/>
        <v>2006</v>
      </c>
      <c r="BJ40" s="306">
        <v>38929</v>
      </c>
      <c r="BK40">
        <f t="shared" si="10"/>
        <v>4.7676438289999998</v>
      </c>
      <c r="BL40">
        <v>4.8427671099999996</v>
      </c>
      <c r="BM40">
        <v>4.6925205480000001</v>
      </c>
      <c r="BO40">
        <f t="shared" si="11"/>
        <v>2010</v>
      </c>
      <c r="BP40" s="286">
        <v>40330</v>
      </c>
      <c r="BQ40">
        <f t="shared" si="12"/>
        <v>9.9250000000000007</v>
      </c>
      <c r="BR40">
        <v>9.98</v>
      </c>
      <c r="BS40">
        <v>9.8699999999999992</v>
      </c>
      <c r="BT40">
        <f t="shared" si="1"/>
        <v>2016</v>
      </c>
      <c r="BU40" s="286">
        <v>42705</v>
      </c>
      <c r="BV40">
        <f t="shared" si="2"/>
        <v>3.5498500000000002</v>
      </c>
      <c r="BW40" s="580">
        <v>3.4497</v>
      </c>
      <c r="BX40" s="580">
        <v>3.65</v>
      </c>
      <c r="BY40">
        <f t="shared" si="3"/>
        <v>2019</v>
      </c>
      <c r="BZ40" s="286">
        <v>43800</v>
      </c>
      <c r="CA40">
        <f t="shared" si="4"/>
        <v>2.4917500000000001</v>
      </c>
      <c r="CB40" s="580">
        <v>2.1455000000000002</v>
      </c>
      <c r="CC40" s="580">
        <v>2.8380000000000001</v>
      </c>
      <c r="CD40" s="364">
        <f t="shared" si="5"/>
        <v>2020</v>
      </c>
      <c r="CE40" s="381">
        <v>44166</v>
      </c>
      <c r="CF40" s="364">
        <f t="shared" si="13"/>
        <v>3.1866935483870966</v>
      </c>
      <c r="CG40" s="411">
        <v>3.2029032258064514</v>
      </c>
      <c r="CH40" s="411">
        <v>3.1704838709677423</v>
      </c>
      <c r="CI40" s="364">
        <f t="shared" si="6"/>
        <v>2022</v>
      </c>
      <c r="CJ40" s="381">
        <v>44896</v>
      </c>
      <c r="CK40" s="364">
        <f t="shared" si="7"/>
        <v>6.5325000000000006</v>
      </c>
      <c r="CL40" s="411">
        <v>6.2850000000000001</v>
      </c>
      <c r="CM40" s="411">
        <v>6.78</v>
      </c>
      <c r="CP40" s="309"/>
      <c r="CZ40" t="s">
        <v>169</v>
      </c>
    </row>
    <row r="41" spans="3:106">
      <c r="C41">
        <f t="shared" si="29"/>
        <v>2023</v>
      </c>
      <c r="D41" s="28">
        <f t="array" ref="D41">SUM((AT$20:AT$389)*(AW$20:AW$389)*($AR$20:$AR$389=$C41))/SUM((AW$20:AW$389)*($AR$20:$AR$389=$C41))</f>
        <v>87.361633986928112</v>
      </c>
      <c r="E41" s="28">
        <f t="array" ref="E41">SUM((AU$20:AU$389)*(AX$20:AX$389)*($AR$20:$AR$389=$C41))/SUM((AX$20:AX$389)*($AR$20:$AR$389=$C41))</f>
        <v>77.669503105590053</v>
      </c>
      <c r="F41" s="28">
        <f t="array" ref="F41">(SUM((AV$20:AV$389)*(AW$20:AW$389)*($AR$20:$AR$389=$C41))+SUM((AV$20:AV$389)*(AX$20:AX$389)*($AR$20:$AR$389=$C41)))/(SUM((AW$20:AW$389)*($AR$20:$AR$389=$C41))+SUM((AX$20:AX$389)*($AR$20:$AR$389=$C41)))</f>
        <v>83.203268493150688</v>
      </c>
      <c r="G41" s="226">
        <f t="shared" si="24"/>
        <v>5.85</v>
      </c>
      <c r="H41" s="28">
        <f t="shared" si="25"/>
        <v>6.3149999999999986</v>
      </c>
      <c r="I41" s="28">
        <f t="array" ref="I41">(SUM((BF$20:BF$389)*(AW$20:AW$389)*($AR$20:$AR$389=$C41))+SUM((BF$20:BF$389)*(AX$20:AX$389)*($AR$20:$AR$389=$C41)))/(SUM((AW$20:AW$389)*($AR$20:$AR$389=$C41))+SUM((AX$20:AX$389)*($AR$20:$AR$389=$C41)))</f>
        <v>10.679539654517416</v>
      </c>
      <c r="J41" s="226">
        <f t="shared" si="28"/>
        <v>12.139166666666668</v>
      </c>
      <c r="K41" s="226">
        <f t="shared" si="35"/>
        <v>3.4771000000000001</v>
      </c>
      <c r="L41" s="226">
        <f t="shared" si="39"/>
        <v>2.9371999999999994</v>
      </c>
      <c r="M41" s="590">
        <f t="shared" si="40"/>
        <v>2.5253727272727273</v>
      </c>
      <c r="N41" s="590">
        <f t="shared" si="41"/>
        <v>4.4217333333333331</v>
      </c>
      <c r="O41" s="226"/>
      <c r="P41" s="485"/>
      <c r="Q41" s="574">
        <v>0.04</v>
      </c>
      <c r="R41" s="574">
        <v>1.9E-2</v>
      </c>
      <c r="S41" s="169">
        <v>2.1999999999999999E-2</v>
      </c>
      <c r="T41" s="169">
        <v>2.1999999999999999E-2</v>
      </c>
      <c r="U41" s="169">
        <v>1.9E-2</v>
      </c>
      <c r="V41" s="169">
        <v>1.9E-2</v>
      </c>
      <c r="W41" s="169"/>
      <c r="X41" s="487"/>
      <c r="Y41" s="287">
        <f t="shared" si="26"/>
        <v>7.35126593428694</v>
      </c>
      <c r="Z41" s="287">
        <f t="shared" si="30"/>
        <v>3.8815123876039657</v>
      </c>
      <c r="AA41" s="287">
        <f t="shared" si="31"/>
        <v>0.97672043740361192</v>
      </c>
      <c r="AB41" s="287">
        <f t="shared" si="34"/>
        <v>0.98635271428007176</v>
      </c>
      <c r="AC41" s="287">
        <v>1.3408534982838876</v>
      </c>
      <c r="AD41" s="287">
        <v>1.026779705893067</v>
      </c>
      <c r="AE41" s="287">
        <v>1.026779705893067</v>
      </c>
      <c r="AF41" s="577">
        <f t="shared" si="42"/>
        <v>1.4121301999999998</v>
      </c>
      <c r="AG41" s="577">
        <f t="shared" si="43"/>
        <v>1.1840168599999998</v>
      </c>
      <c r="AH41" s="577">
        <f>AH40*(1+Q41)</f>
        <v>1.6432000000000002</v>
      </c>
      <c r="AI41" s="577">
        <f>AI40*(1+Q41)</f>
        <v>1.3728</v>
      </c>
      <c r="AK41" s="472">
        <f t="shared" si="27"/>
        <v>2027</v>
      </c>
      <c r="AM41">
        <v>2030</v>
      </c>
      <c r="AN41" s="562">
        <v>31</v>
      </c>
      <c r="AO41" s="562">
        <f t="shared" si="8"/>
        <v>49.960515076794145</v>
      </c>
      <c r="AP41" s="562">
        <f t="shared" si="32"/>
        <v>41.10697094665376</v>
      </c>
      <c r="AR41">
        <f t="shared" si="19"/>
        <v>2007</v>
      </c>
      <c r="AS41" s="307">
        <f t="shared" si="37"/>
        <v>39356</v>
      </c>
      <c r="AT41" s="115">
        <v>59.8</v>
      </c>
      <c r="AU41" s="115">
        <v>54.365000000000002</v>
      </c>
      <c r="AV41" s="287">
        <f t="shared" si="33"/>
        <v>57.462949999999999</v>
      </c>
      <c r="AW41" s="271">
        <v>432</v>
      </c>
      <c r="AX41" s="271">
        <v>312</v>
      </c>
      <c r="AY41" s="271">
        <f t="shared" si="21"/>
        <v>0.58064516129032262</v>
      </c>
      <c r="AZ41" s="271">
        <f t="shared" si="22"/>
        <v>0.41935483870967744</v>
      </c>
      <c r="BD41">
        <f t="shared" si="36"/>
        <v>2007</v>
      </c>
      <c r="BE41" s="306">
        <f t="shared" si="38"/>
        <v>39356</v>
      </c>
      <c r="BF41" s="114">
        <f t="shared" si="23"/>
        <v>7.6119059271343117</v>
      </c>
      <c r="BG41" s="115">
        <v>7.6119059271343117</v>
      </c>
      <c r="BI41">
        <f t="shared" si="9"/>
        <v>2006</v>
      </c>
      <c r="BJ41" s="306">
        <v>38960</v>
      </c>
      <c r="BK41">
        <f t="shared" si="10"/>
        <v>4.7856438289999996</v>
      </c>
      <c r="BL41">
        <v>4.8607671100000003</v>
      </c>
      <c r="BM41">
        <v>4.7105205479999999</v>
      </c>
      <c r="BO41">
        <f t="shared" si="11"/>
        <v>2010</v>
      </c>
      <c r="BP41" s="286">
        <v>40360</v>
      </c>
      <c r="BQ41">
        <f t="shared" si="12"/>
        <v>10.02</v>
      </c>
      <c r="BR41">
        <v>10.074999999999999</v>
      </c>
      <c r="BS41">
        <v>9.9649999999999999</v>
      </c>
      <c r="BT41">
        <f t="shared" si="1"/>
        <v>2017</v>
      </c>
      <c r="BU41" s="286">
        <v>42736</v>
      </c>
      <c r="BV41">
        <f t="shared" si="2"/>
        <v>3.5389499999999998</v>
      </c>
      <c r="BW41" s="580">
        <v>3.5049000000000001</v>
      </c>
      <c r="BX41" s="580">
        <v>3.573</v>
      </c>
      <c r="BY41">
        <f t="shared" si="3"/>
        <v>2020</v>
      </c>
      <c r="BZ41" s="286">
        <v>43831</v>
      </c>
      <c r="CA41">
        <f t="shared" si="4"/>
        <v>2.4710000000000001</v>
      </c>
      <c r="CB41" s="580">
        <v>2.2360000000000002</v>
      </c>
      <c r="CC41" s="580">
        <v>2.706</v>
      </c>
      <c r="CD41" s="364">
        <f t="shared" si="5"/>
        <v>2021</v>
      </c>
      <c r="CE41" s="381">
        <v>44197</v>
      </c>
      <c r="CF41" s="364">
        <f t="shared" si="13"/>
        <v>2.6565384615384615</v>
      </c>
      <c r="CG41" s="411">
        <v>2.6653846153846152</v>
      </c>
      <c r="CH41" s="411">
        <v>2.6476923076923078</v>
      </c>
      <c r="CI41" s="364">
        <f t="shared" si="6"/>
        <v>2023</v>
      </c>
      <c r="CJ41" s="381">
        <v>44927</v>
      </c>
      <c r="CK41" s="364">
        <f t="shared" si="7"/>
        <v>6.3002500000000001</v>
      </c>
      <c r="CL41" s="411">
        <v>5.7394999999999996</v>
      </c>
      <c r="CM41" s="411">
        <v>6.8609999999999998</v>
      </c>
      <c r="CZ41" t="s">
        <v>170</v>
      </c>
    </row>
    <row r="42" spans="3:106">
      <c r="C42">
        <f t="shared" si="29"/>
        <v>2024</v>
      </c>
      <c r="D42" s="28">
        <f t="array" ref="D42">SUM((AT$20:AT$389)*(AW$20:AW$389)*($AR$20:$AR$389=$C42))/SUM((AW$20:AW$389)*($AR$20:$AR$389=$C42))</f>
        <v>87.465941558441557</v>
      </c>
      <c r="E42" s="28">
        <f t="array" ref="E42">SUM((AU$20:AU$389)*(AX$20:AX$389)*($AR$20:$AR$389=$C42))/SUM((AX$20:AX$389)*($AR$20:$AR$389=$C42))</f>
        <v>78.932676348547716</v>
      </c>
      <c r="F42" s="28">
        <f t="array" ref="F42">(SUM((AV$20:AV$389)*(AW$20:AW$389)*($AR$20:$AR$389=$C42))+SUM((AV$20:AV$389)*(AX$20:AX$389)*($AR$20:$AR$389=$C42)))/(SUM((AW$20:AW$389)*($AR$20:$AR$389=$C42))+SUM((AX$20:AX$389)*($AR$20:$AR$389=$C42)))</f>
        <v>83.801019398907087</v>
      </c>
      <c r="G42" s="230">
        <f t="shared" ref="G42:G71" si="44">G41*(1+$CZ$42)</f>
        <v>5.996249999999999</v>
      </c>
      <c r="H42" s="28">
        <f t="shared" si="25"/>
        <v>6.5370833333333325</v>
      </c>
      <c r="I42" s="28">
        <f t="array" ref="I42">(SUM((BF$20:BF$389)*(AW$20:AW$389)*($AR$20:$AR$389=$C42))+SUM((BF$20:BF$389)*(AX$20:AX$389)*($AR$20:$AR$389=$C42)))/(SUM((AW$20:AW$389)*($AR$20:$AR$389=$C42))+SUM((AX$20:AX$389)*($AR$20:$AR$389=$C42)))</f>
        <v>10.883589278444866</v>
      </c>
      <c r="J42" s="226">
        <f t="shared" si="28"/>
        <v>12.371250000000002</v>
      </c>
      <c r="K42" s="226">
        <f t="shared" si="35"/>
        <v>3.9537833333333325</v>
      </c>
      <c r="L42" s="226">
        <f t="shared" si="39"/>
        <v>3.4675625000000001</v>
      </c>
      <c r="M42" s="590">
        <f t="shared" si="40"/>
        <v>2.7441374999999995</v>
      </c>
      <c r="N42" s="590">
        <f t="shared" si="41"/>
        <v>3.8152500000000003</v>
      </c>
      <c r="O42" s="226"/>
      <c r="P42" s="485"/>
      <c r="Q42" s="574">
        <v>2.1999999999999999E-2</v>
      </c>
      <c r="R42" s="574">
        <v>2.1999999999999999E-2</v>
      </c>
      <c r="S42" s="169">
        <v>2.1999999999999999E-2</v>
      </c>
      <c r="T42" s="169">
        <v>2.1999999999999999E-2</v>
      </c>
      <c r="U42" s="169">
        <v>1.9E-2</v>
      </c>
      <c r="V42" s="169">
        <v>1.9E-2</v>
      </c>
      <c r="W42" s="169"/>
      <c r="X42" s="487"/>
      <c r="Y42" s="287">
        <f t="shared" si="26"/>
        <v>7.4909399870383915</v>
      </c>
      <c r="Z42" s="287">
        <f t="shared" si="30"/>
        <v>3.9552611229684405</v>
      </c>
      <c r="AA42" s="287">
        <f t="shared" si="31"/>
        <v>0.99527812571428043</v>
      </c>
      <c r="AB42" s="287">
        <f t="shared" si="34"/>
        <v>1.0050934158513931</v>
      </c>
      <c r="AC42" s="287">
        <v>1.3709529466223729</v>
      </c>
      <c r="AD42" s="287">
        <v>1.0498288329991143</v>
      </c>
      <c r="AE42" s="287">
        <v>1.0498288329991143</v>
      </c>
      <c r="AF42" s="577">
        <f t="shared" si="42"/>
        <v>1.4431970643999998</v>
      </c>
      <c r="AG42" s="577">
        <f t="shared" si="43"/>
        <v>1.21006523092</v>
      </c>
      <c r="AH42" s="577">
        <f t="shared" ref="AH42:AH72" si="45">AH41*(1+Q42)</f>
        <v>1.6793504000000004</v>
      </c>
      <c r="AI42" s="577">
        <f t="shared" ref="AI42:AI72" si="46">AI41*(1+Q42)</f>
        <v>1.4030016000000001</v>
      </c>
      <c r="AK42" s="472">
        <f t="shared" si="27"/>
        <v>2028</v>
      </c>
      <c r="AM42">
        <v>2031</v>
      </c>
      <c r="AN42" s="562">
        <v>31</v>
      </c>
      <c r="AO42" s="562">
        <f t="shared" si="8"/>
        <v>49.960515076794145</v>
      </c>
      <c r="AP42" s="562">
        <f t="shared" si="32"/>
        <v>41.10697094665376</v>
      </c>
      <c r="AR42">
        <f t="shared" si="19"/>
        <v>2007</v>
      </c>
      <c r="AS42" s="307">
        <f t="shared" si="37"/>
        <v>39387</v>
      </c>
      <c r="AT42" s="115">
        <v>74.002499999999998</v>
      </c>
      <c r="AU42" s="115">
        <v>64.19</v>
      </c>
      <c r="AV42" s="287">
        <f t="shared" si="33"/>
        <v>69.783124999999998</v>
      </c>
      <c r="AW42" s="271">
        <v>400</v>
      </c>
      <c r="AX42" s="271">
        <v>320</v>
      </c>
      <c r="AY42" s="271">
        <f t="shared" si="21"/>
        <v>0.55555555555555558</v>
      </c>
      <c r="AZ42" s="271">
        <f t="shared" si="22"/>
        <v>0.44444444444444442</v>
      </c>
      <c r="BD42">
        <f t="shared" si="36"/>
        <v>2007</v>
      </c>
      <c r="BE42" s="306">
        <f t="shared" si="38"/>
        <v>39387</v>
      </c>
      <c r="BF42" s="114">
        <f t="shared" si="23"/>
        <v>8.4234883088635115</v>
      </c>
      <c r="BG42" s="115">
        <v>8.4234883088635115</v>
      </c>
      <c r="BI42">
        <f t="shared" si="9"/>
        <v>2006</v>
      </c>
      <c r="BJ42" s="306">
        <v>38990</v>
      </c>
      <c r="BK42">
        <f t="shared" si="10"/>
        <v>4.7606438290000002</v>
      </c>
      <c r="BL42">
        <v>4.8357671099999999</v>
      </c>
      <c r="BM42">
        <v>4.6855205480000004</v>
      </c>
      <c r="BO42">
        <f t="shared" si="11"/>
        <v>2010</v>
      </c>
      <c r="BP42" s="286">
        <v>40391</v>
      </c>
      <c r="BQ42">
        <f t="shared" si="12"/>
        <v>10.09</v>
      </c>
      <c r="BR42">
        <v>10.145</v>
      </c>
      <c r="BS42">
        <v>10.035</v>
      </c>
      <c r="BT42">
        <f t="shared" si="1"/>
        <v>2017</v>
      </c>
      <c r="BU42" s="286">
        <v>42767</v>
      </c>
      <c r="BV42">
        <f t="shared" si="2"/>
        <v>3.4752000000000001</v>
      </c>
      <c r="BW42" s="580">
        <v>3.4973999999999998</v>
      </c>
      <c r="BX42" s="580">
        <v>3.4529999999999998</v>
      </c>
      <c r="BY42">
        <f t="shared" si="3"/>
        <v>2020</v>
      </c>
      <c r="BZ42" s="286">
        <v>43862</v>
      </c>
      <c r="CA42">
        <f t="shared" si="4"/>
        <v>2.2885</v>
      </c>
      <c r="CB42" s="580">
        <v>2.1785000000000001</v>
      </c>
      <c r="CC42" s="580">
        <v>2.3984999999999999</v>
      </c>
      <c r="CD42" s="364">
        <f t="shared" si="5"/>
        <v>2021</v>
      </c>
      <c r="CE42" s="381">
        <v>44228</v>
      </c>
      <c r="CF42" s="364">
        <f t="shared" si="13"/>
        <v>4.3747727272727275</v>
      </c>
      <c r="CG42" s="411">
        <v>4.1177272727272731</v>
      </c>
      <c r="CH42" s="411">
        <v>4.6318181818181827</v>
      </c>
      <c r="CI42" s="364">
        <f t="shared" si="6"/>
        <v>2023</v>
      </c>
      <c r="CJ42" s="381">
        <v>44958</v>
      </c>
      <c r="CK42" s="364">
        <f t="shared" si="7"/>
        <v>5.9865999999999993</v>
      </c>
      <c r="CL42" s="411">
        <v>5.5057999999999998</v>
      </c>
      <c r="CM42" s="411">
        <v>6.4673999999999996</v>
      </c>
      <c r="CZ42" s="214">
        <v>2.5000000000000001E-2</v>
      </c>
    </row>
    <row r="43" spans="3:106">
      <c r="C43">
        <f t="shared" si="29"/>
        <v>2025</v>
      </c>
      <c r="D43" s="28">
        <f t="array" ref="D43">SUM((AT$20:AT$389)*(AW$20:AW$389)*($AR$20:$AR$389=$C43))/SUM((AW$20:AW$389)*($AR$20:$AR$389=$C43))</f>
        <v>88.983257328990234</v>
      </c>
      <c r="E43" s="28">
        <f t="array" ref="E43">SUM((AU$20:AU$389)*(AX$20:AX$389)*($AR$20:$AR$389=$C43))/SUM((AX$20:AX$389)*($AR$20:$AR$389=$C43))</f>
        <v>81.403617463617465</v>
      </c>
      <c r="F43" s="28">
        <f t="array" ref="F43">(SUM((AV$20:AV$389)*(AW$20:AW$389)*($AR$20:$AR$389=$C43))+SUM((AV$20:AV$389)*(AX$20:AX$389)*($AR$20:$AR$389=$C43)))/(SUM((AW$20:AW$389)*($AR$20:$AR$389=$C43))+SUM((AX$20:AX$389)*($AR$20:$AR$389=$C43)))</f>
        <v>85.729098904109577</v>
      </c>
      <c r="G43" s="230">
        <f t="shared" si="44"/>
        <v>6.146156249999998</v>
      </c>
      <c r="H43" s="28">
        <f t="shared" si="25"/>
        <v>6.765416666666666</v>
      </c>
      <c r="I43" s="28">
        <f t="array" ref="I43">(SUM((BF$20:BF$389)*(AW$20:AW$389)*($AR$20:$AR$389=$C43))+SUM((BF$20:BF$389)*(AX$20:AX$389)*($AR$20:$AR$389=$C43)))/(SUM((AW$20:AW$389)*($AR$20:$AR$389=$C43))+SUM((AX$20:AX$389)*($AR$20:$AR$389=$C43)))</f>
        <v>11.090126110825569</v>
      </c>
      <c r="J43" s="226">
        <f t="shared" si="28"/>
        <v>12.592916666666667</v>
      </c>
      <c r="K43" s="226">
        <f t="shared" si="35"/>
        <v>4.1086708333333339</v>
      </c>
      <c r="L43" s="226">
        <f t="shared" si="39"/>
        <v>3.8251624999999998</v>
      </c>
      <c r="M43" s="590">
        <f t="shared" si="40"/>
        <v>3.0765666666666664</v>
      </c>
      <c r="N43" s="590">
        <f t="shared" si="41"/>
        <v>3.8012999999999999</v>
      </c>
      <c r="O43" s="226"/>
      <c r="P43" s="485"/>
      <c r="Q43" s="574">
        <v>2.1000000000000001E-2</v>
      </c>
      <c r="R43" s="574">
        <v>2.3E-2</v>
      </c>
      <c r="S43" s="169">
        <v>2.1999999999999999E-2</v>
      </c>
      <c r="T43" s="169">
        <v>2.1999999999999999E-2</v>
      </c>
      <c r="U43" s="169">
        <v>1.9E-2</v>
      </c>
      <c r="V43" s="169">
        <v>1.9E-2</v>
      </c>
      <c r="W43" s="169"/>
      <c r="X43" s="487"/>
      <c r="Y43" s="287">
        <f t="shared" si="26"/>
        <v>7.63326784679212</v>
      </c>
      <c r="Z43" s="287">
        <f t="shared" si="30"/>
        <v>4.0304110843048404</v>
      </c>
      <c r="AA43" s="287">
        <f t="shared" si="31"/>
        <v>1.0141884101028518</v>
      </c>
      <c r="AB43" s="287">
        <f t="shared" si="34"/>
        <v>1.0241901907525695</v>
      </c>
      <c r="AC43" s="287">
        <v>1.4021626326399876</v>
      </c>
      <c r="AD43" s="287">
        <v>1.0737281421117022</v>
      </c>
      <c r="AE43" s="287">
        <v>1.0737281421117022</v>
      </c>
      <c r="AF43" s="577">
        <f t="shared" si="42"/>
        <v>1.4763905968811997</v>
      </c>
      <c r="AG43" s="577">
        <f t="shared" si="43"/>
        <v>1.23789673123116</v>
      </c>
      <c r="AH43" s="577">
        <f t="shared" si="45"/>
        <v>1.7146167584000003</v>
      </c>
      <c r="AI43" s="577">
        <f t="shared" si="46"/>
        <v>1.4324646336</v>
      </c>
      <c r="AK43" s="472">
        <f t="shared" si="27"/>
        <v>2029</v>
      </c>
      <c r="AM43">
        <v>2032</v>
      </c>
      <c r="AN43" s="562">
        <v>32</v>
      </c>
      <c r="AO43" s="562">
        <f t="shared" si="8"/>
        <v>51.57214459540041</v>
      </c>
      <c r="AP43" s="562">
        <f t="shared" si="32"/>
        <v>42.433002267513558</v>
      </c>
      <c r="AR43">
        <f t="shared" si="19"/>
        <v>2007</v>
      </c>
      <c r="AS43" s="307">
        <f t="shared" si="37"/>
        <v>39417</v>
      </c>
      <c r="AT43" s="115">
        <v>90.447500000000005</v>
      </c>
      <c r="AU43" s="115">
        <v>77.944999999999993</v>
      </c>
      <c r="AV43" s="287">
        <f t="shared" si="33"/>
        <v>85.071424999999991</v>
      </c>
      <c r="AW43" s="271">
        <v>400</v>
      </c>
      <c r="AX43" s="271">
        <v>344</v>
      </c>
      <c r="AY43" s="271">
        <f t="shared" si="21"/>
        <v>0.5376344086021505</v>
      </c>
      <c r="AZ43" s="271">
        <f t="shared" si="22"/>
        <v>0.46236559139784944</v>
      </c>
      <c r="BD43">
        <f t="shared" si="36"/>
        <v>2007</v>
      </c>
      <c r="BE43" s="306">
        <f t="shared" si="38"/>
        <v>39417</v>
      </c>
      <c r="BF43" s="114">
        <f t="shared" si="23"/>
        <v>9.2972648178357797</v>
      </c>
      <c r="BG43" s="115">
        <v>9.2972648178357797</v>
      </c>
      <c r="BI43">
        <f t="shared" si="9"/>
        <v>2006</v>
      </c>
      <c r="BJ43" s="306">
        <v>39021</v>
      </c>
      <c r="BK43">
        <f t="shared" si="10"/>
        <v>4.7806438290000006</v>
      </c>
      <c r="BL43">
        <v>4.8557671100000004</v>
      </c>
      <c r="BM43">
        <v>4.705520548</v>
      </c>
      <c r="BO43">
        <f t="shared" si="11"/>
        <v>2010</v>
      </c>
      <c r="BP43" s="286">
        <v>40422</v>
      </c>
      <c r="BQ43">
        <f t="shared" si="12"/>
        <v>10.115</v>
      </c>
      <c r="BR43">
        <v>10.17</v>
      </c>
      <c r="BS43">
        <v>10.06</v>
      </c>
      <c r="BT43">
        <f t="shared" si="1"/>
        <v>2017</v>
      </c>
      <c r="BU43" s="286">
        <v>42795</v>
      </c>
      <c r="BV43">
        <f t="shared" si="2"/>
        <v>3.1306500000000002</v>
      </c>
      <c r="BW43" s="580">
        <v>3.2363</v>
      </c>
      <c r="BX43" s="580">
        <v>3.0249999999999999</v>
      </c>
      <c r="BY43">
        <f t="shared" si="3"/>
        <v>2020</v>
      </c>
      <c r="BZ43" s="286">
        <v>43891</v>
      </c>
      <c r="CA43">
        <f t="shared" si="4"/>
        <v>1.9978500000000001</v>
      </c>
      <c r="CB43" s="580">
        <v>2.0122</v>
      </c>
      <c r="CC43" s="580">
        <v>1.9835</v>
      </c>
      <c r="CD43" s="364">
        <f t="shared" si="5"/>
        <v>2021</v>
      </c>
      <c r="CE43" s="381">
        <v>44256</v>
      </c>
      <c r="CF43" s="364">
        <f t="shared" si="13"/>
        <v>2.4633064516129024</v>
      </c>
      <c r="CG43" s="411">
        <v>2.4559677419354826</v>
      </c>
      <c r="CH43" s="411">
        <v>2.4706451612903222</v>
      </c>
      <c r="CI43" s="364">
        <f t="shared" si="6"/>
        <v>2023</v>
      </c>
      <c r="CJ43" s="381">
        <v>44986</v>
      </c>
      <c r="CK43" s="364">
        <f t="shared" si="7"/>
        <v>4.9245000000000001</v>
      </c>
      <c r="CL43" s="411">
        <v>5.0035999999999996</v>
      </c>
      <c r="CM43" s="411">
        <v>4.8453999999999997</v>
      </c>
    </row>
    <row r="44" spans="3:106">
      <c r="C44">
        <f t="shared" si="29"/>
        <v>2026</v>
      </c>
      <c r="D44" s="28">
        <f t="array" ref="D44">SUM((AT$20:AT$389)*(AW$20:AW$389)*($AR$20:$AR$389=$C44))/SUM((AW$20:AW$389)*($AR$20:$AR$389=$C44))</f>
        <v>90.695830618892501</v>
      </c>
      <c r="E44" s="28">
        <f t="array" ref="E44">SUM((AU$20:AU$389)*(AX$20:AX$389)*($AR$20:$AR$389=$C44))/SUM((AX$20:AX$389)*($AR$20:$AR$389=$C44))</f>
        <v>82.942245322245327</v>
      </c>
      <c r="F44" s="28">
        <f t="array" ref="F44">(SUM((AV$20:AV$389)*(AW$20:AW$389)*($AR$20:$AR$389=$C44))+SUM((AV$20:AV$389)*(AX$20:AX$389)*($AR$20:$AR$389=$C44)))/(SUM((AW$20:AW$389)*($AR$20:$AR$389=$C44))+SUM((AX$20:AX$389)*($AR$20:$AR$389=$C44)))</f>
        <v>87.357894794520547</v>
      </c>
      <c r="G44" s="230">
        <f t="shared" si="44"/>
        <v>6.2998101562499977</v>
      </c>
      <c r="H44" s="28">
        <f t="shared" si="25"/>
        <v>7.0025000000000004</v>
      </c>
      <c r="I44" s="28">
        <f t="array" ref="I44">(SUM((BF$20:BF$389)*(AW$20:AW$389)*($AR$20:$AR$389=$C44))+SUM((BF$20:BF$389)*(AX$20:AX$389)*($AR$20:$AR$389=$C44)))/(SUM((AW$20:AW$389)*($AR$20:$AR$389=$C44))+SUM((AX$20:AX$389)*($AR$20:$AR$389=$C44)))</f>
        <v>11.299115883408938</v>
      </c>
      <c r="J44" s="226">
        <f t="shared" si="28"/>
        <v>12.819166666666668</v>
      </c>
      <c r="K44" s="226">
        <f t="shared" si="35"/>
        <v>4.1864999999999997</v>
      </c>
      <c r="L44" s="226">
        <f t="shared" si="39"/>
        <v>4.0344208333333329</v>
      </c>
      <c r="M44" s="590">
        <f t="shared" si="40"/>
        <v>3.1568583333333335</v>
      </c>
      <c r="N44" s="590">
        <f t="shared" si="41"/>
        <v>4.4095833333333339</v>
      </c>
      <c r="O44" s="226"/>
      <c r="P44" s="485"/>
      <c r="Q44" s="574">
        <v>2.1999999999999999E-2</v>
      </c>
      <c r="R44" s="574">
        <v>2.4E-2</v>
      </c>
      <c r="S44" s="169">
        <v>2.1999999999999999E-2</v>
      </c>
      <c r="T44" s="169">
        <v>2.1999999999999999E-2</v>
      </c>
      <c r="U44" s="169">
        <v>1.9E-2</v>
      </c>
      <c r="V44" s="169">
        <v>0.02</v>
      </c>
      <c r="W44" s="169"/>
      <c r="X44" s="487"/>
      <c r="Y44" s="287">
        <f t="shared" si="26"/>
        <v>7.7859332037279625</v>
      </c>
      <c r="Z44" s="287">
        <f t="shared" si="30"/>
        <v>4.1110193059909372</v>
      </c>
      <c r="AA44" s="287">
        <f t="shared" si="31"/>
        <v>1.0344721783049089</v>
      </c>
      <c r="AB44" s="287">
        <f t="shared" si="34"/>
        <v>1.0436498043768683</v>
      </c>
      <c r="AC44" s="287">
        <v>1.4335840474923813</v>
      </c>
      <c r="AD44" s="287">
        <v>1.0977895859175892</v>
      </c>
      <c r="AE44" s="287">
        <v>1.0977895859175892</v>
      </c>
      <c r="AF44" s="577">
        <f t="shared" si="42"/>
        <v>1.5118239712063486</v>
      </c>
      <c r="AG44" s="577">
        <f t="shared" si="43"/>
        <v>1.2676062527807077</v>
      </c>
      <c r="AH44" s="577">
        <f t="shared" si="45"/>
        <v>1.7523383270848003</v>
      </c>
      <c r="AI44" s="577">
        <f t="shared" si="46"/>
        <v>1.4639788555391999</v>
      </c>
      <c r="AK44" s="472">
        <f t="shared" si="27"/>
        <v>2030</v>
      </c>
      <c r="AM44">
        <v>2033</v>
      </c>
      <c r="AN44" s="562">
        <v>33</v>
      </c>
      <c r="AO44" s="562">
        <f t="shared" si="8"/>
        <v>53.183774114006674</v>
      </c>
      <c r="AP44" s="562">
        <f t="shared" si="32"/>
        <v>43.759033588373356</v>
      </c>
      <c r="AR44">
        <f t="shared" si="19"/>
        <v>2008</v>
      </c>
      <c r="AS44" s="307">
        <f>EOMONTH(AS43,0)+1</f>
        <v>39448</v>
      </c>
      <c r="AT44" s="115">
        <v>86.4</v>
      </c>
      <c r="AU44" s="115">
        <v>76.504999999999995</v>
      </c>
      <c r="AV44" s="287">
        <f t="shared" si="33"/>
        <v>82.145150000000001</v>
      </c>
      <c r="AW44" s="271">
        <v>416</v>
      </c>
      <c r="AX44" s="271">
        <v>328</v>
      </c>
      <c r="AY44" s="271">
        <f t="shared" si="21"/>
        <v>0.55913978494623651</v>
      </c>
      <c r="AZ44" s="271">
        <f t="shared" si="22"/>
        <v>0.44086021505376344</v>
      </c>
      <c r="BD44">
        <f t="shared" si="36"/>
        <v>2008</v>
      </c>
      <c r="BE44" s="306">
        <f t="shared" si="38"/>
        <v>39448</v>
      </c>
      <c r="BF44" s="114">
        <f t="shared" si="23"/>
        <v>9.8274442631865142</v>
      </c>
      <c r="BG44" s="115">
        <v>9.8274442631865142</v>
      </c>
      <c r="BI44">
        <f t="shared" si="9"/>
        <v>2006</v>
      </c>
      <c r="BJ44" s="306">
        <v>39051</v>
      </c>
      <c r="BK44">
        <f t="shared" si="10"/>
        <v>4.9481209484999997</v>
      </c>
      <c r="BL44">
        <v>5.0257213490000003</v>
      </c>
      <c r="BM44">
        <v>4.870520548</v>
      </c>
      <c r="BO44">
        <f t="shared" si="11"/>
        <v>2010</v>
      </c>
      <c r="BP44" s="286">
        <v>40452</v>
      </c>
      <c r="BQ44">
        <f t="shared" si="12"/>
        <v>10.205</v>
      </c>
      <c r="BR44">
        <v>10.26</v>
      </c>
      <c r="BS44">
        <v>10.15</v>
      </c>
      <c r="BT44">
        <f t="shared" si="1"/>
        <v>2017</v>
      </c>
      <c r="BU44" s="286">
        <v>42826</v>
      </c>
      <c r="BV44">
        <f t="shared" si="2"/>
        <v>2.7704</v>
      </c>
      <c r="BW44" s="580">
        <v>2.9582999999999999</v>
      </c>
      <c r="BX44" s="580">
        <v>2.5825</v>
      </c>
      <c r="BY44">
        <f t="shared" si="3"/>
        <v>2020</v>
      </c>
      <c r="BZ44" s="286">
        <v>43922</v>
      </c>
      <c r="CA44">
        <f t="shared" si="4"/>
        <v>1.5547499999999999</v>
      </c>
      <c r="CB44" s="580">
        <v>1.6435</v>
      </c>
      <c r="CC44" s="580">
        <v>1.466</v>
      </c>
      <c r="CD44" s="364">
        <f t="shared" si="5"/>
        <v>2021</v>
      </c>
      <c r="CE44" s="381">
        <v>44287</v>
      </c>
      <c r="CF44" s="364">
        <f t="shared" si="13"/>
        <v>2.5049999999999999</v>
      </c>
      <c r="CG44" s="411">
        <v>2.52</v>
      </c>
      <c r="CH44" s="411">
        <v>2.4900000000000002</v>
      </c>
      <c r="CI44" s="364">
        <f t="shared" si="6"/>
        <v>2023</v>
      </c>
      <c r="CJ44" s="381">
        <v>45017</v>
      </c>
      <c r="CK44" s="364">
        <f t="shared" si="7"/>
        <v>3.6640000000000001</v>
      </c>
      <c r="CL44" s="411">
        <v>3.5832000000000002</v>
      </c>
      <c r="CM44" s="411">
        <v>3.7448000000000001</v>
      </c>
    </row>
    <row r="45" spans="3:106">
      <c r="C45">
        <f t="shared" si="29"/>
        <v>2027</v>
      </c>
      <c r="D45" s="28">
        <f t="array" ref="D45">SUM((AT$20:AT$389)*(AW$20:AW$389)*($AR$20:$AR$389=$C45))/SUM((AW$20:AW$389)*($AR$20:$AR$389=$C45))</f>
        <v>92.386319218241056</v>
      </c>
      <c r="E45" s="28">
        <f t="array" ref="E45">SUM((AU$20:AU$389)*(AX$20:AX$389)*($AR$20:$AR$389=$C45))/SUM((AX$20:AX$389)*($AR$20:$AR$389=$C45))</f>
        <v>84.557920997920988</v>
      </c>
      <c r="F45" s="28">
        <f t="array" ref="F45">(SUM((AV$20:AV$389)*(AW$20:AW$389)*($AR$20:$AR$389=$C45))+SUM((AV$20:AV$389)*(AX$20:AX$389)*($AR$20:$AR$389=$C45)))/(SUM((AW$20:AW$389)*($AR$20:$AR$389=$C45))+SUM((AX$20:AX$389)*($AR$20:$AR$389=$C45)))</f>
        <v>89.017453424657518</v>
      </c>
      <c r="G45" s="230">
        <f t="shared" si="44"/>
        <v>6.4573054101562475</v>
      </c>
      <c r="H45" s="28">
        <f t="shared" si="25"/>
        <v>7.2479166666666659</v>
      </c>
      <c r="I45" s="28">
        <f t="array" ref="I45">(SUM((BF$20:BF$389)*(AW$20:AW$389)*($AR$20:$AR$389=$C45))+SUM((BF$20:BF$389)*(AX$20:AX$389)*($AR$20:$AR$389=$C45)))/(SUM((AW$20:AW$389)*($AR$20:$AR$389=$C45))+SUM((AX$20:AX$389)*($AR$20:$AR$389=$C45)))</f>
        <v>11.51262158558478</v>
      </c>
      <c r="J45" s="226">
        <f t="shared" si="28"/>
        <v>13.063749999999999</v>
      </c>
      <c r="K45" s="226">
        <f t="shared" si="35"/>
        <v>4.4573125000000005</v>
      </c>
      <c r="L45" s="226">
        <f t="shared" si="39"/>
        <v>3.9925249999999992</v>
      </c>
      <c r="M45" s="590">
        <f t="shared" si="40"/>
        <v>3.313379166666667</v>
      </c>
      <c r="N45" s="590">
        <f t="shared" si="41"/>
        <v>4.8951958333333341</v>
      </c>
      <c r="O45" s="226"/>
      <c r="P45" s="485"/>
      <c r="Q45" s="574">
        <v>2.1999999999999999E-2</v>
      </c>
      <c r="R45" s="574">
        <v>2.5000000000000001E-2</v>
      </c>
      <c r="S45" s="169">
        <v>2.1999999999999999E-2</v>
      </c>
      <c r="T45" s="169">
        <v>2.1999999999999999E-2</v>
      </c>
      <c r="U45" s="169">
        <v>1.9E-2</v>
      </c>
      <c r="V45" s="169">
        <v>0.02</v>
      </c>
      <c r="W45" s="169"/>
      <c r="X45" s="487"/>
      <c r="Y45" s="287">
        <f t="shared" si="26"/>
        <v>7.9416518678025216</v>
      </c>
      <c r="Z45" s="287">
        <f t="shared" si="30"/>
        <v>4.1932396921107564</v>
      </c>
      <c r="AA45" s="287">
        <f t="shared" si="31"/>
        <v>1.0551616218710071</v>
      </c>
      <c r="AB45" s="287">
        <f t="shared" si="34"/>
        <v>1.0634791506600287</v>
      </c>
      <c r="AC45" s="287">
        <v>1.4649463685254571</v>
      </c>
      <c r="AD45" s="287">
        <v>1.1218057776996744</v>
      </c>
      <c r="AE45" s="287">
        <v>1.1218057776996744</v>
      </c>
      <c r="AF45" s="577">
        <f t="shared" si="42"/>
        <v>1.5496195704865072</v>
      </c>
      <c r="AG45" s="577">
        <f t="shared" si="43"/>
        <v>1.2992964091002253</v>
      </c>
      <c r="AH45" s="577">
        <f t="shared" si="45"/>
        <v>1.7908897702806659</v>
      </c>
      <c r="AI45" s="577">
        <f t="shared" si="46"/>
        <v>1.4961863903610624</v>
      </c>
      <c r="AK45" s="472">
        <f t="shared" si="27"/>
        <v>2031</v>
      </c>
      <c r="AM45">
        <v>2034</v>
      </c>
      <c r="AN45" s="562">
        <v>33</v>
      </c>
      <c r="AO45" s="562">
        <f t="shared" si="8"/>
        <v>53.183774114006674</v>
      </c>
      <c r="AP45" s="562">
        <f t="shared" si="32"/>
        <v>43.759033588373356</v>
      </c>
      <c r="AR45">
        <f t="shared" si="19"/>
        <v>2008</v>
      </c>
      <c r="AS45" s="307">
        <f t="shared" ref="AS45:AS109" si="47">EOMONTH(AS44,0)+1</f>
        <v>39479</v>
      </c>
      <c r="AT45" s="115">
        <v>81.599999999999994</v>
      </c>
      <c r="AU45" s="115">
        <v>73.644999999999996</v>
      </c>
      <c r="AV45" s="287">
        <f t="shared" si="33"/>
        <v>78.179349999999999</v>
      </c>
      <c r="AW45" s="271">
        <v>400</v>
      </c>
      <c r="AX45" s="271">
        <v>296</v>
      </c>
      <c r="AY45" s="271">
        <f t="shared" si="21"/>
        <v>0.57471264367816088</v>
      </c>
      <c r="AZ45" s="271">
        <f t="shared" si="22"/>
        <v>0.42528735632183906</v>
      </c>
      <c r="BD45">
        <f t="shared" si="36"/>
        <v>2008</v>
      </c>
      <c r="BE45" s="306">
        <f t="shared" si="38"/>
        <v>39479</v>
      </c>
      <c r="BF45" s="114">
        <f t="shared" si="23"/>
        <v>9.832542142468732</v>
      </c>
      <c r="BG45" s="115">
        <v>9.832542142468732</v>
      </c>
      <c r="BI45">
        <f t="shared" si="9"/>
        <v>2006</v>
      </c>
      <c r="BJ45" s="306">
        <v>39082</v>
      </c>
      <c r="BK45">
        <f t="shared" si="10"/>
        <v>5.1131209485000007</v>
      </c>
      <c r="BL45">
        <v>5.1907213490000004</v>
      </c>
      <c r="BM45">
        <v>5.035520548</v>
      </c>
      <c r="BO45">
        <f t="shared" si="11"/>
        <v>2010</v>
      </c>
      <c r="BP45" s="286">
        <v>40483</v>
      </c>
      <c r="BQ45">
        <f t="shared" si="12"/>
        <v>10.9925</v>
      </c>
      <c r="BR45">
        <v>10.535</v>
      </c>
      <c r="BS45">
        <v>11.45</v>
      </c>
      <c r="BT45">
        <f t="shared" si="1"/>
        <v>2017</v>
      </c>
      <c r="BU45" s="286">
        <v>42856</v>
      </c>
      <c r="BV45">
        <f t="shared" si="2"/>
        <v>2.6408500000000004</v>
      </c>
      <c r="BW45" s="580">
        <v>2.9077000000000002</v>
      </c>
      <c r="BX45" s="580">
        <v>2.3740000000000001</v>
      </c>
      <c r="BY45">
        <f t="shared" si="3"/>
        <v>2020</v>
      </c>
      <c r="BZ45" s="286">
        <v>43952</v>
      </c>
      <c r="CA45">
        <f t="shared" si="4"/>
        <v>1.52</v>
      </c>
      <c r="CB45" s="580">
        <v>1.625</v>
      </c>
      <c r="CC45" s="580">
        <v>1.415</v>
      </c>
      <c r="CD45" s="364">
        <f t="shared" si="5"/>
        <v>2021</v>
      </c>
      <c r="CE45" s="381">
        <v>44317</v>
      </c>
      <c r="CF45" s="364">
        <f t="shared" si="13"/>
        <v>2.35025</v>
      </c>
      <c r="CG45" s="411">
        <v>2.4504999999999999</v>
      </c>
      <c r="CH45" s="411">
        <v>2.25</v>
      </c>
      <c r="CI45" s="364">
        <f t="shared" si="6"/>
        <v>2023</v>
      </c>
      <c r="CJ45" s="381">
        <v>45047</v>
      </c>
      <c r="CK45" s="364">
        <f t="shared" si="7"/>
        <v>3.4940499999999997</v>
      </c>
      <c r="CL45" s="411">
        <v>3.4933999999999998</v>
      </c>
      <c r="CM45" s="411">
        <v>3.4946999999999999</v>
      </c>
      <c r="CZ45" t="s">
        <v>176</v>
      </c>
    </row>
    <row r="46" spans="3:106">
      <c r="C46">
        <f t="shared" si="29"/>
        <v>2028</v>
      </c>
      <c r="D46" s="28">
        <f t="array" ref="D46">SUM((AT$20:AT$389)*(AW$20:AW$389)*($AR$20:$AR$389=$C46))/SUM((AW$20:AW$389)*($AR$20:$AR$389=$C46))</f>
        <v>94.137035830618885</v>
      </c>
      <c r="E46" s="28">
        <f t="array" ref="E46">SUM((AU$20:AU$389)*(AX$20:AX$389)*($AR$20:$AR$389=$C46))/SUM((AX$20:AX$389)*($AR$20:$AR$389=$C46))</f>
        <v>86.209256198347092</v>
      </c>
      <c r="F46" s="28">
        <f t="array" ref="F46">(SUM((AV$20:AV$389)*(AW$20:AW$389)*($AR$20:$AR$389=$C46))+SUM((AV$20:AV$389)*(AX$20:AX$389)*($AR$20:$AR$389=$C46)))/(SUM((AW$20:AW$389)*($AR$20:$AR$389=$C46))+SUM((AX$20:AX$389)*($AR$20:$AR$389=$C46)))</f>
        <v>90.723929234972672</v>
      </c>
      <c r="G46" s="230">
        <f t="shared" si="44"/>
        <v>6.6187380454101534</v>
      </c>
      <c r="H46" s="28">
        <f t="shared" si="25"/>
        <v>7.5008333333333326</v>
      </c>
      <c r="I46" s="28">
        <f t="array" ref="I46">(SUM((BF$20:BF$389)*(AW$20:AW$389)*($AR$20:$AR$389=$C46))+SUM((BF$20:BF$389)*(AX$20:AX$389)*($AR$20:$AR$389=$C46)))/(SUM((AW$20:AW$389)*($AR$20:$AR$389=$C46))+SUM((AX$20:AX$389)*($AR$20:$AR$389=$C46)))</f>
        <v>11.7332358254813</v>
      </c>
      <c r="J46" s="226">
        <f t="shared" si="28"/>
        <v>13.311666666666667</v>
      </c>
      <c r="K46" s="226">
        <f t="shared" si="35"/>
        <v>4.6136041666666676</v>
      </c>
      <c r="L46" s="226">
        <f t="shared" si="39"/>
        <v>3.9325250000000005</v>
      </c>
      <c r="M46" s="590">
        <f t="shared" si="40"/>
        <v>3.5337791666666667</v>
      </c>
      <c r="N46" s="590">
        <f t="shared" si="41"/>
        <v>4.9050791666666669</v>
      </c>
      <c r="O46" s="226"/>
      <c r="P46" s="485"/>
      <c r="Q46" s="574">
        <v>2.1999999999999999E-2</v>
      </c>
      <c r="R46" s="574">
        <v>2.5000000000000001E-2</v>
      </c>
      <c r="S46" s="169">
        <v>2.1999999999999999E-2</v>
      </c>
      <c r="T46" s="169">
        <v>2.1000000000000001E-2</v>
      </c>
      <c r="U46" s="169">
        <v>1.9E-2</v>
      </c>
      <c r="V46" s="169">
        <v>2.1000000000000001E-2</v>
      </c>
      <c r="W46" s="169"/>
      <c r="X46" s="487"/>
      <c r="Y46" s="287">
        <f t="shared" si="26"/>
        <v>8.1084265570263732</v>
      </c>
      <c r="Z46" s="287">
        <f t="shared" si="30"/>
        <v>4.2812977256450822</v>
      </c>
      <c r="AA46" s="287">
        <f t="shared" si="31"/>
        <v>1.0773200159302982</v>
      </c>
      <c r="AB46" s="287">
        <f t="shared" si="34"/>
        <v>1.0836852545225693</v>
      </c>
      <c r="AC46" s="287">
        <v>1.4965465421812867</v>
      </c>
      <c r="AD46" s="287">
        <v>1.1460041088775619</v>
      </c>
      <c r="AE46" s="287">
        <v>1.1460041088775619</v>
      </c>
      <c r="AF46" s="577">
        <f t="shared" si="42"/>
        <v>1.5883600597486698</v>
      </c>
      <c r="AG46" s="577">
        <f t="shared" si="43"/>
        <v>1.3317788193277307</v>
      </c>
      <c r="AH46" s="577">
        <f t="shared" si="45"/>
        <v>1.8302893452268405</v>
      </c>
      <c r="AI46" s="577">
        <f t="shared" si="46"/>
        <v>1.5291024909490059</v>
      </c>
      <c r="AK46" s="472">
        <f t="shared" si="27"/>
        <v>2032</v>
      </c>
      <c r="AM46">
        <v>2035</v>
      </c>
      <c r="AN46" s="562">
        <v>34</v>
      </c>
      <c r="AO46" s="562">
        <f t="shared" si="8"/>
        <v>54.795403632612938</v>
      </c>
      <c r="AP46" s="562">
        <f t="shared" si="32"/>
        <v>45.085064909233161</v>
      </c>
      <c r="AR46">
        <f t="shared" si="19"/>
        <v>2008</v>
      </c>
      <c r="AS46" s="307">
        <f t="shared" si="47"/>
        <v>39508</v>
      </c>
      <c r="AT46" s="115">
        <v>72.8</v>
      </c>
      <c r="AU46" s="115">
        <v>64.349999999999994</v>
      </c>
      <c r="AV46" s="287">
        <f t="shared" si="33"/>
        <v>69.166499999999985</v>
      </c>
      <c r="AW46" s="271">
        <v>416</v>
      </c>
      <c r="AX46" s="271">
        <v>328</v>
      </c>
      <c r="AY46" s="271">
        <f t="shared" si="21"/>
        <v>0.55913978494623651</v>
      </c>
      <c r="AZ46" s="271">
        <f t="shared" si="22"/>
        <v>0.44086021505376344</v>
      </c>
      <c r="BD46">
        <f t="shared" si="36"/>
        <v>2008</v>
      </c>
      <c r="BE46" s="306">
        <f t="shared" si="38"/>
        <v>39508</v>
      </c>
      <c r="BF46" s="114">
        <f t="shared" si="23"/>
        <v>9.5694915715062514</v>
      </c>
      <c r="BG46" s="115">
        <v>9.5694915715062514</v>
      </c>
      <c r="BI46">
        <f t="shared" si="9"/>
        <v>2007</v>
      </c>
      <c r="BJ46" s="306">
        <v>39113</v>
      </c>
      <c r="BK46">
        <f t="shared" si="10"/>
        <v>5.2448921345000006</v>
      </c>
      <c r="BL46">
        <v>5.3016472830000003</v>
      </c>
      <c r="BM46">
        <v>5.188136986</v>
      </c>
      <c r="BO46">
        <f t="shared" si="11"/>
        <v>2010</v>
      </c>
      <c r="BP46" s="286">
        <v>40513</v>
      </c>
      <c r="BQ46">
        <f t="shared" si="12"/>
        <v>11.4125</v>
      </c>
      <c r="BR46">
        <v>10.955</v>
      </c>
      <c r="BS46">
        <v>11.87</v>
      </c>
      <c r="BT46">
        <f t="shared" si="1"/>
        <v>2017</v>
      </c>
      <c r="BU46" s="286">
        <v>42887</v>
      </c>
      <c r="BV46">
        <f t="shared" si="2"/>
        <v>2.6609500000000001</v>
      </c>
      <c r="BW46" s="580">
        <v>2.9464000000000001</v>
      </c>
      <c r="BX46" s="580">
        <v>2.3755000000000002</v>
      </c>
      <c r="BY46">
        <f t="shared" si="3"/>
        <v>2020</v>
      </c>
      <c r="BZ46" s="286">
        <v>43983</v>
      </c>
      <c r="CA46">
        <f t="shared" si="4"/>
        <v>1.55335</v>
      </c>
      <c r="CB46" s="580">
        <v>1.6601999999999999</v>
      </c>
      <c r="CC46" s="580">
        <v>1.4464999999999999</v>
      </c>
      <c r="CD46" s="364">
        <f t="shared" si="5"/>
        <v>2021</v>
      </c>
      <c r="CE46" s="381">
        <v>44348</v>
      </c>
      <c r="CF46" s="364">
        <f t="shared" si="13"/>
        <v>2.3947500000000002</v>
      </c>
      <c r="CG46" s="411">
        <v>2.4895</v>
      </c>
      <c r="CH46" s="411">
        <v>2.2999999999999998</v>
      </c>
      <c r="CI46" s="364">
        <f t="shared" si="6"/>
        <v>2023</v>
      </c>
      <c r="CJ46" s="381">
        <v>45078</v>
      </c>
      <c r="CK46" s="364">
        <f t="shared" si="7"/>
        <v>3.6365499999999997</v>
      </c>
      <c r="CL46" s="411">
        <v>3.7307999999999999</v>
      </c>
      <c r="CM46" s="411">
        <v>3.5423</v>
      </c>
      <c r="CZ46" t="s">
        <v>177</v>
      </c>
    </row>
    <row r="47" spans="3:106">
      <c r="C47">
        <f t="shared" si="29"/>
        <v>2029</v>
      </c>
      <c r="D47" s="28">
        <f t="array" ref="D47">SUM((AT$20:AT$389)*(AW$20:AW$389)*($AR$20:$AR$389=$C47))/SUM((AW$20:AW$389)*($AR$20:$AR$389=$C47))</f>
        <v>95.943843648208457</v>
      </c>
      <c r="E47" s="28">
        <f t="array" ref="E47">SUM((AU$20:AU$389)*(AX$20:AX$389)*($AR$20:$AR$389=$C47))/SUM((AX$20:AX$389)*($AR$20:$AR$389=$C47))</f>
        <v>87.8204365904366</v>
      </c>
      <c r="F47" s="28">
        <f t="array" ref="F47">(SUM((AV$20:AV$389)*(AW$20:AW$389)*($AR$20:$AR$389=$C47))+SUM((AV$20:AV$389)*(AX$20:AX$389)*($AR$20:$AR$389=$C47)))/(SUM((AW$20:AW$389)*($AR$20:$AR$389=$C47))+SUM((AX$20:AX$389)*($AR$20:$AR$389=$C47)))</f>
        <v>92.43199589041096</v>
      </c>
      <c r="G47" s="230">
        <f t="shared" si="44"/>
        <v>6.7842064965454068</v>
      </c>
      <c r="H47" s="28">
        <f t="shared" si="25"/>
        <v>7.7633333333333328</v>
      </c>
      <c r="I47" s="28">
        <f t="array" ref="I47">(SUM((BF$20:BF$389)*(AW$20:AW$389)*($AR$20:$AR$389=$C47))+SUM((BF$20:BF$389)*(AX$20:AX$389)*($AR$20:$AR$389=$C47)))/(SUM((AW$20:AW$389)*($AR$20:$AR$389=$C47))+SUM((AX$20:AX$389)*($AR$20:$AR$389=$C47)))</f>
        <v>11.952938687642925</v>
      </c>
      <c r="J47" s="226">
        <f t="shared" si="28"/>
        <v>13.565833333333336</v>
      </c>
      <c r="K47" s="226">
        <f t="shared" si="35"/>
        <v>4.7541666666666673</v>
      </c>
      <c r="L47" s="226">
        <f t="shared" si="39"/>
        <v>4.2515375000000004</v>
      </c>
      <c r="M47" s="590">
        <f t="shared" si="40"/>
        <v>3.8372791666666668</v>
      </c>
      <c r="N47" s="590">
        <f t="shared" si="41"/>
        <v>4.9885666666666664</v>
      </c>
      <c r="O47" s="226"/>
      <c r="P47" s="485"/>
      <c r="Q47" s="574">
        <v>2.1999999999999999E-2</v>
      </c>
      <c r="R47" s="574">
        <v>2.4E-2</v>
      </c>
      <c r="S47" s="169">
        <v>2.1999999999999999E-2</v>
      </c>
      <c r="T47" s="169">
        <v>2.1000000000000001E-2</v>
      </c>
      <c r="U47" s="169">
        <v>1.7999999999999999E-2</v>
      </c>
      <c r="V47" s="169">
        <v>2.1000000000000001E-2</v>
      </c>
      <c r="W47" s="169"/>
      <c r="X47" s="487"/>
      <c r="Y47" s="287">
        <f t="shared" si="26"/>
        <v>8.2787035147239258</v>
      </c>
      <c r="Z47" s="287">
        <f t="shared" si="30"/>
        <v>4.3712049778836288</v>
      </c>
      <c r="AA47" s="287">
        <f t="shared" si="31"/>
        <v>1.0999437362648343</v>
      </c>
      <c r="AB47" s="287">
        <f t="shared" si="34"/>
        <v>1.1031915891039754</v>
      </c>
      <c r="AC47" s="287">
        <v>1.5286401492284176</v>
      </c>
      <c r="AD47" s="287">
        <v>1.1705802944541936</v>
      </c>
      <c r="AE47" s="287">
        <v>1.1705802944541936</v>
      </c>
      <c r="AF47" s="577">
        <f t="shared" si="42"/>
        <v>1.6264807011826379</v>
      </c>
      <c r="AG47" s="577">
        <f t="shared" si="43"/>
        <v>1.3637415109915962</v>
      </c>
      <c r="AH47" s="577">
        <f t="shared" si="45"/>
        <v>1.8705557108218309</v>
      </c>
      <c r="AI47" s="577">
        <f t="shared" si="46"/>
        <v>1.5627427457498839</v>
      </c>
      <c r="AK47" s="472">
        <f t="shared" si="27"/>
        <v>2033</v>
      </c>
      <c r="AM47">
        <v>2036</v>
      </c>
      <c r="AN47" s="562">
        <v>35</v>
      </c>
      <c r="AO47" s="562">
        <f t="shared" si="8"/>
        <v>56.407033151219196</v>
      </c>
      <c r="AP47" s="562">
        <f t="shared" si="32"/>
        <v>46.411096230092959</v>
      </c>
      <c r="AR47">
        <f t="shared" si="19"/>
        <v>2008</v>
      </c>
      <c r="AS47" s="307">
        <f t="shared" si="47"/>
        <v>39539</v>
      </c>
      <c r="AT47" s="115">
        <v>55.29</v>
      </c>
      <c r="AU47" s="115">
        <v>41.7</v>
      </c>
      <c r="AV47" s="287">
        <f t="shared" si="33"/>
        <v>49.446299999999994</v>
      </c>
      <c r="AW47" s="271">
        <v>416</v>
      </c>
      <c r="AX47" s="271">
        <v>304</v>
      </c>
      <c r="AY47" s="271">
        <f t="shared" si="21"/>
        <v>0.57777777777777772</v>
      </c>
      <c r="AZ47" s="271">
        <f t="shared" si="22"/>
        <v>0.42222222222222222</v>
      </c>
      <c r="BD47">
        <f t="shared" si="36"/>
        <v>2008</v>
      </c>
      <c r="BE47" s="306">
        <f t="shared" si="38"/>
        <v>39539</v>
      </c>
      <c r="BF47" s="114">
        <f t="shared" si="23"/>
        <v>6.96467917346384</v>
      </c>
      <c r="BG47" s="115">
        <v>6.96467917346384</v>
      </c>
      <c r="BI47">
        <f t="shared" si="9"/>
        <v>2007</v>
      </c>
      <c r="BJ47" s="306">
        <v>39141</v>
      </c>
      <c r="BK47">
        <f t="shared" si="10"/>
        <v>5.1958921344999993</v>
      </c>
      <c r="BL47">
        <v>5.2526472829999999</v>
      </c>
      <c r="BM47">
        <v>5.1391369859999996</v>
      </c>
      <c r="BO47">
        <f t="shared" si="11"/>
        <v>2011</v>
      </c>
      <c r="BP47" s="286">
        <v>40544</v>
      </c>
      <c r="BQ47">
        <f t="shared" si="12"/>
        <v>11.647500000000001</v>
      </c>
      <c r="BR47">
        <v>11.2</v>
      </c>
      <c r="BS47">
        <v>12.095000000000001</v>
      </c>
      <c r="BT47">
        <f t="shared" si="1"/>
        <v>2017</v>
      </c>
      <c r="BU47" s="286">
        <v>42917</v>
      </c>
      <c r="BV47">
        <f t="shared" si="2"/>
        <v>2.8418999999999999</v>
      </c>
      <c r="BW47" s="580">
        <v>3.0232999999999999</v>
      </c>
      <c r="BX47" s="580">
        <v>2.6604999999999999</v>
      </c>
      <c r="BY47">
        <f t="shared" si="3"/>
        <v>2020</v>
      </c>
      <c r="BZ47" s="286">
        <v>44013</v>
      </c>
      <c r="CA47">
        <f t="shared" si="4"/>
        <v>1.6975</v>
      </c>
      <c r="CB47" s="580">
        <v>1.71</v>
      </c>
      <c r="CC47" s="580">
        <v>1.6850000000000001</v>
      </c>
      <c r="CD47" s="364">
        <f t="shared" si="5"/>
        <v>2021</v>
      </c>
      <c r="CE47" s="381">
        <v>44378</v>
      </c>
      <c r="CF47" s="364">
        <f t="shared" si="13"/>
        <v>2.5297499999999999</v>
      </c>
      <c r="CG47" s="411">
        <v>2.6194999999999999</v>
      </c>
      <c r="CH47" s="411">
        <v>2.44</v>
      </c>
      <c r="CI47" s="364">
        <f t="shared" si="6"/>
        <v>2023</v>
      </c>
      <c r="CJ47" s="381">
        <v>45108</v>
      </c>
      <c r="CK47" s="364">
        <f t="shared" si="7"/>
        <v>3.6604999999999999</v>
      </c>
      <c r="CL47" s="411">
        <v>3.5421</v>
      </c>
      <c r="CM47" s="411">
        <v>3.7789000000000001</v>
      </c>
      <c r="CZ47" t="s">
        <v>178</v>
      </c>
    </row>
    <row r="48" spans="3:106">
      <c r="C48">
        <f t="shared" si="29"/>
        <v>2030</v>
      </c>
      <c r="D48" s="28">
        <f t="array" ref="D48">SUM((AT$20:AT$389)*(AW$20:AW$389)*($AR$20:$AR$389=$C48))/SUM((AW$20:AW$389)*($AR$20:$AR$389=$C48))</f>
        <v>97.846775244299678</v>
      </c>
      <c r="E48" s="28">
        <f t="array" ref="E48">SUM((AU$20:AU$389)*(AX$20:AX$389)*($AR$20:$AR$389=$C48))/SUM((AX$20:AX$389)*($AR$20:$AR$389=$C48))</f>
        <v>89.549085239085244</v>
      </c>
      <c r="F48" s="28">
        <f t="array" ref="F48">(SUM((AV$20:AV$389)*(AW$20:AW$389)*($AR$20:$AR$389=$C48))+SUM((AV$20:AV$389)*(AX$20:AX$389)*($AR$20:$AR$389=$C48)))/(SUM((AW$20:AW$389)*($AR$20:$AR$389=$C48))+SUM((AX$20:AX$389)*($AR$20:$AR$389=$C48)))</f>
        <v>94.281371506849311</v>
      </c>
      <c r="G48" s="230">
        <f t="shared" si="44"/>
        <v>6.9538116589590411</v>
      </c>
      <c r="H48" s="28">
        <f t="shared" si="25"/>
        <v>8.0354166666666647</v>
      </c>
      <c r="I48" s="28">
        <f t="array" ref="I48">(SUM((BF$20:BF$389)*(AW$20:AW$389)*($AR$20:$AR$389=$C48))+SUM((BF$20:BF$389)*(AX$20:AX$389)*($AR$20:$AR$389=$C48)))/(SUM((AW$20:AW$389)*($AR$20:$AR$389=$C48))+SUM((AX$20:AX$389)*($AR$20:$AR$389=$C48)))</f>
        <v>12.192776449380618</v>
      </c>
      <c r="J48" s="226">
        <f t="shared" si="28"/>
        <v>13.822083333333332</v>
      </c>
      <c r="K48" s="226">
        <f t="shared" si="35"/>
        <v>5.052529166666667</v>
      </c>
      <c r="L48" s="226">
        <f t="shared" si="39"/>
        <v>4.8100083333333341</v>
      </c>
      <c r="M48" s="590">
        <f t="shared" si="40"/>
        <v>3.9845625000000005</v>
      </c>
      <c r="N48" s="590">
        <f t="shared" si="41"/>
        <v>5.1462750000000002</v>
      </c>
      <c r="O48" s="226"/>
      <c r="P48" s="485"/>
      <c r="Q48" s="574">
        <v>2.1999999999999999E-2</v>
      </c>
      <c r="R48" s="574">
        <v>2.3E-2</v>
      </c>
      <c r="S48" s="169">
        <v>2.1999999999999999E-2</v>
      </c>
      <c r="T48" s="169">
        <v>2.1000000000000001E-2</v>
      </c>
      <c r="U48" s="169">
        <v>1.7999999999999999E-2</v>
      </c>
      <c r="V48" s="169">
        <v>2.1000000000000001E-2</v>
      </c>
      <c r="W48" s="169"/>
      <c r="X48" s="487"/>
      <c r="Y48" s="287">
        <f t="shared" si="26"/>
        <v>8.4525562885331276</v>
      </c>
      <c r="Z48" s="287">
        <f t="shared" si="30"/>
        <v>4.463000282419185</v>
      </c>
      <c r="AA48" s="287">
        <f t="shared" si="31"/>
        <v>1.1230425547263958</v>
      </c>
      <c r="AB48" s="287">
        <f t="shared" si="34"/>
        <v>1.123049037707847</v>
      </c>
      <c r="AC48" s="287">
        <v>1.5607569013547813</v>
      </c>
      <c r="AD48" s="287">
        <v>1.1951742037401478</v>
      </c>
      <c r="AE48" s="287">
        <v>1.1951742037401478</v>
      </c>
      <c r="AF48" s="577">
        <f t="shared" si="42"/>
        <v>1.6638897573098383</v>
      </c>
      <c r="AG48" s="577">
        <f t="shared" si="43"/>
        <v>1.3951075657444028</v>
      </c>
      <c r="AH48" s="577">
        <f t="shared" si="45"/>
        <v>1.9117079364599112</v>
      </c>
      <c r="AI48" s="577">
        <f t="shared" si="46"/>
        <v>1.5971230861563814</v>
      </c>
      <c r="AK48" s="472">
        <f t="shared" si="27"/>
        <v>2034</v>
      </c>
      <c r="AM48">
        <v>2037</v>
      </c>
      <c r="AN48" s="562">
        <v>35</v>
      </c>
      <c r="AO48" s="562">
        <f t="shared" si="8"/>
        <v>56.407033151219196</v>
      </c>
      <c r="AP48" s="562">
        <f t="shared" si="32"/>
        <v>46.411096230092959</v>
      </c>
      <c r="AR48">
        <f t="shared" si="19"/>
        <v>2008</v>
      </c>
      <c r="AS48" s="307">
        <f t="shared" si="47"/>
        <v>39569</v>
      </c>
      <c r="AT48" s="115">
        <v>46.56</v>
      </c>
      <c r="AU48" s="115">
        <v>31.97</v>
      </c>
      <c r="AV48" s="287">
        <f t="shared" si="33"/>
        <v>40.286299999999997</v>
      </c>
      <c r="AW48" s="271">
        <v>416</v>
      </c>
      <c r="AX48" s="271">
        <v>328</v>
      </c>
      <c r="AY48" s="271">
        <f t="shared" si="21"/>
        <v>0.55913978494623651</v>
      </c>
      <c r="AZ48" s="271">
        <f t="shared" si="22"/>
        <v>0.44086021505376344</v>
      </c>
      <c r="BD48">
        <f t="shared" si="36"/>
        <v>2008</v>
      </c>
      <c r="BE48" s="306">
        <f t="shared" si="38"/>
        <v>39569</v>
      </c>
      <c r="BF48" s="114">
        <f t="shared" si="23"/>
        <v>6.7556661228928769</v>
      </c>
      <c r="BG48" s="115">
        <v>6.7556661228928769</v>
      </c>
      <c r="BI48">
        <f t="shared" si="9"/>
        <v>2007</v>
      </c>
      <c r="BJ48" s="306">
        <v>39172</v>
      </c>
      <c r="BK48">
        <f t="shared" si="10"/>
        <v>5.0058921344999998</v>
      </c>
      <c r="BL48">
        <v>5.0626472830000004</v>
      </c>
      <c r="BM48">
        <v>4.9491369860000001</v>
      </c>
      <c r="BO48">
        <f t="shared" si="11"/>
        <v>2011</v>
      </c>
      <c r="BP48" s="286">
        <v>40575</v>
      </c>
      <c r="BQ48">
        <f t="shared" si="12"/>
        <v>11.637499999999999</v>
      </c>
      <c r="BR48">
        <v>11.19</v>
      </c>
      <c r="BS48">
        <v>12.085000000000001</v>
      </c>
      <c r="BT48">
        <f t="shared" si="1"/>
        <v>2017</v>
      </c>
      <c r="BU48" s="286">
        <v>42948</v>
      </c>
      <c r="BV48">
        <f t="shared" si="2"/>
        <v>2.8873500000000001</v>
      </c>
      <c r="BW48" s="580">
        <v>3.0337000000000001</v>
      </c>
      <c r="BX48" s="580">
        <v>2.7410000000000001</v>
      </c>
      <c r="BY48">
        <f t="shared" si="3"/>
        <v>2020</v>
      </c>
      <c r="BZ48" s="286">
        <v>44044</v>
      </c>
      <c r="CA48">
        <f t="shared" si="4"/>
        <v>1.7156</v>
      </c>
      <c r="CB48" s="580">
        <v>1.7161999999999999</v>
      </c>
      <c r="CC48" s="580">
        <v>1.7150000000000001</v>
      </c>
      <c r="CD48" s="364">
        <f t="shared" si="5"/>
        <v>2021</v>
      </c>
      <c r="CE48" s="381">
        <v>44409</v>
      </c>
      <c r="CF48" s="364">
        <f t="shared" si="13"/>
        <v>2.5990000000000002</v>
      </c>
      <c r="CG48" s="411">
        <v>2.5979999999999999</v>
      </c>
      <c r="CH48" s="411">
        <v>2.6</v>
      </c>
      <c r="CI48" s="364">
        <f t="shared" si="6"/>
        <v>2023</v>
      </c>
      <c r="CJ48" s="381">
        <v>45139</v>
      </c>
      <c r="CK48" s="364">
        <f t="shared" si="7"/>
        <v>3.6395999999999997</v>
      </c>
      <c r="CL48" s="411">
        <v>3.4912000000000001</v>
      </c>
      <c r="CM48" s="411">
        <v>3.7879999999999998</v>
      </c>
      <c r="CZ48" t="s">
        <v>179</v>
      </c>
      <c r="DA48" s="169">
        <v>2.0199999999999999E-2</v>
      </c>
    </row>
    <row r="49" spans="3:105">
      <c r="C49">
        <f t="shared" si="29"/>
        <v>2031</v>
      </c>
      <c r="D49" s="28">
        <f t="array" ref="D49">SUM((AT$20:AT$389)*(AW$20:AW$389)*($AR$20:$AR$389=$C49))/SUM((AW$20:AW$389)*($AR$20:$AR$389=$C49))</f>
        <v>99.815504885993491</v>
      </c>
      <c r="E49" s="28">
        <f t="array" ref="E49">SUM((AU$20:AU$389)*(AX$20:AX$389)*($AR$20:$AR$389=$C49))/SUM((AX$20:AX$389)*($AR$20:$AR$389=$C49))</f>
        <v>91.314677754677746</v>
      </c>
      <c r="F49" s="28">
        <f t="array" ref="F49">(SUM((AV$20:AV$389)*(AW$20:AW$389)*($AR$20:$AR$389=$C49))+SUM((AV$20:AV$389)*(AX$20:AX$389)*($AR$20:$AR$389=$C49)))/(SUM((AW$20:AW$389)*($AR$20:$AR$389=$C49))+SUM((AX$20:AX$389)*($AR$20:$AR$389=$C49)))</f>
        <v>96.165856438356158</v>
      </c>
      <c r="G49" s="230">
        <f t="shared" si="44"/>
        <v>7.1276569504330167</v>
      </c>
      <c r="H49" s="28">
        <f t="shared" si="25"/>
        <v>8.3158333333333321</v>
      </c>
      <c r="I49" s="28">
        <f t="array" ref="I49">(SUM((BF$20:BF$389)*(AW$20:AW$389)*($AR$20:$AR$389=$C49))+SUM((BF$20:BF$389)*(AX$20:AX$389)*($AR$20:$AR$389=$C49)))/(SUM((AW$20:AW$389)*($AR$20:$AR$389=$C49))+SUM((AX$20:AX$389)*($AR$20:$AR$389=$C49)))</f>
        <v>12.434327471004936</v>
      </c>
      <c r="J49" s="226">
        <f t="shared" si="28"/>
        <v>14.084999999999999</v>
      </c>
      <c r="K49" s="226">
        <f t="shared" si="35"/>
        <v>5.1898791666666666</v>
      </c>
      <c r="L49" s="226">
        <f t="shared" si="39"/>
        <v>5.1210458333333335</v>
      </c>
      <c r="M49" s="590">
        <f t="shared" si="40"/>
        <v>4.1190916666666668</v>
      </c>
      <c r="N49" s="590">
        <f t="shared" si="41"/>
        <v>5.2737458333333338</v>
      </c>
      <c r="O49" s="226"/>
      <c r="P49" s="485"/>
      <c r="Q49" s="574">
        <v>2.1999999999999999E-2</v>
      </c>
      <c r="R49" s="574">
        <v>2.3E-2</v>
      </c>
      <c r="S49" s="169">
        <v>2.1999999999999999E-2</v>
      </c>
      <c r="T49" s="169">
        <v>2.1000000000000001E-2</v>
      </c>
      <c r="U49" s="169">
        <v>1.7999999999999999E-2</v>
      </c>
      <c r="V49" s="169">
        <v>2.1000000000000001E-2</v>
      </c>
      <c r="W49" s="169"/>
      <c r="X49" s="487"/>
      <c r="Y49" s="287">
        <f t="shared" si="26"/>
        <v>8.6300599705923222</v>
      </c>
      <c r="Z49" s="287">
        <f t="shared" si="30"/>
        <v>4.5567232883499873</v>
      </c>
      <c r="AA49" s="287">
        <f t="shared" si="31"/>
        <v>1.1466264483756501</v>
      </c>
      <c r="AB49" s="287">
        <f t="shared" si="34"/>
        <v>1.1432639203865882</v>
      </c>
      <c r="AC49" s="287">
        <v>1.5935251628391218</v>
      </c>
      <c r="AD49" s="287">
        <v>1.2202670165885168</v>
      </c>
      <c r="AE49" s="287">
        <v>1.2202670165885168</v>
      </c>
      <c r="AF49" s="577">
        <f t="shared" si="42"/>
        <v>1.7021592217279644</v>
      </c>
      <c r="AG49" s="577">
        <f t="shared" si="43"/>
        <v>1.4271950397565238</v>
      </c>
      <c r="AH49" s="577">
        <f t="shared" si="45"/>
        <v>1.9537655110620293</v>
      </c>
      <c r="AI49" s="577">
        <f t="shared" si="46"/>
        <v>1.6322597940518218</v>
      </c>
      <c r="AK49" s="472">
        <f t="shared" si="27"/>
        <v>2035</v>
      </c>
      <c r="AM49">
        <v>2038</v>
      </c>
      <c r="AN49" s="562">
        <v>36</v>
      </c>
      <c r="AO49" s="562">
        <f t="shared" si="8"/>
        <v>58.01866266982546</v>
      </c>
      <c r="AP49" s="562">
        <f t="shared" si="32"/>
        <v>47.737127550952756</v>
      </c>
      <c r="AR49">
        <f t="shared" si="19"/>
        <v>2008</v>
      </c>
      <c r="AS49" s="307">
        <f t="shared" si="47"/>
        <v>39600</v>
      </c>
      <c r="AT49" s="115">
        <v>43.65</v>
      </c>
      <c r="AU49" s="115">
        <v>30.58</v>
      </c>
      <c r="AV49" s="287">
        <f t="shared" si="33"/>
        <v>38.029899999999998</v>
      </c>
      <c r="AW49" s="271">
        <v>400</v>
      </c>
      <c r="AX49" s="271">
        <v>320</v>
      </c>
      <c r="AY49" s="271">
        <f t="shared" si="21"/>
        <v>0.55555555555555558</v>
      </c>
      <c r="AZ49" s="271">
        <f t="shared" si="22"/>
        <v>0.44444444444444442</v>
      </c>
      <c r="BD49">
        <f t="shared" si="36"/>
        <v>2008</v>
      </c>
      <c r="BE49" s="306">
        <f t="shared" si="38"/>
        <v>39600</v>
      </c>
      <c r="BF49" s="114">
        <f t="shared" si="23"/>
        <v>6.8423300706905925</v>
      </c>
      <c r="BG49" s="115">
        <v>6.8423300706905925</v>
      </c>
      <c r="BI49">
        <f t="shared" si="9"/>
        <v>2007</v>
      </c>
      <c r="BJ49" s="306">
        <v>39202</v>
      </c>
      <c r="BK49">
        <f t="shared" si="10"/>
        <v>4.4895466709999994</v>
      </c>
      <c r="BL49">
        <v>4.5599563559999998</v>
      </c>
      <c r="BM49">
        <v>4.4191369859999998</v>
      </c>
      <c r="BO49">
        <f t="shared" si="11"/>
        <v>2011</v>
      </c>
      <c r="BP49" s="286">
        <v>40603</v>
      </c>
      <c r="BQ49">
        <f t="shared" si="12"/>
        <v>11.4025</v>
      </c>
      <c r="BR49">
        <v>10.955</v>
      </c>
      <c r="BS49">
        <v>11.85</v>
      </c>
      <c r="BT49">
        <f t="shared" si="1"/>
        <v>2017</v>
      </c>
      <c r="BU49" s="286">
        <v>42979</v>
      </c>
      <c r="BV49">
        <f t="shared" si="2"/>
        <v>2.8809</v>
      </c>
      <c r="BW49" s="580">
        <v>3.0247999999999999</v>
      </c>
      <c r="BX49" s="580">
        <v>2.7370000000000001</v>
      </c>
      <c r="BY49">
        <f t="shared" si="3"/>
        <v>2020</v>
      </c>
      <c r="BZ49" s="286">
        <v>44075</v>
      </c>
      <c r="CA49">
        <f t="shared" si="4"/>
        <v>1.7141</v>
      </c>
      <c r="CB49" s="580">
        <v>1.7146999999999999</v>
      </c>
      <c r="CC49" s="580">
        <v>1.7135</v>
      </c>
      <c r="CD49" s="364">
        <f t="shared" si="5"/>
        <v>2021</v>
      </c>
      <c r="CE49" s="381">
        <v>44440</v>
      </c>
      <c r="CF49" s="364">
        <f t="shared" si="13"/>
        <v>2.42</v>
      </c>
      <c r="CG49" s="411">
        <v>2.2200000000000002</v>
      </c>
      <c r="CH49" s="411">
        <v>2.62</v>
      </c>
      <c r="CI49" s="364">
        <f t="shared" si="6"/>
        <v>2023</v>
      </c>
      <c r="CJ49" s="381">
        <v>45170</v>
      </c>
      <c r="CK49" s="364">
        <f t="shared" si="7"/>
        <v>3.9197999999999995</v>
      </c>
      <c r="CL49" s="411">
        <v>4.1239999999999997</v>
      </c>
      <c r="CM49" s="411">
        <v>3.7155999999999998</v>
      </c>
      <c r="CZ49" t="s">
        <v>180</v>
      </c>
      <c r="DA49" s="169">
        <v>2.9399999999999999E-2</v>
      </c>
    </row>
    <row r="50" spans="3:105">
      <c r="C50">
        <f t="shared" si="29"/>
        <v>2032</v>
      </c>
      <c r="D50" s="28">
        <f t="array" ref="D50">SUM((AT$20:AT$389)*(AW$20:AW$389)*($AR$20:$AR$389=$C50))/SUM((AW$20:AW$389)*($AR$20:$AR$389=$C50))</f>
        <v>101.9521103896104</v>
      </c>
      <c r="E50" s="28">
        <f t="array" ref="E50">SUM((AU$20:AU$389)*(AX$20:AX$389)*($AR$20:$AR$389=$C50))/SUM((AX$20:AX$389)*($AR$20:$AR$389=$C50))</f>
        <v>93.232323651452305</v>
      </c>
      <c r="F50" s="28">
        <f t="array" ref="F50">(SUM((AV$20:AV$389)*(AW$20:AW$389)*($AR$20:$AR$389=$C50))+SUM((AV$20:AV$389)*(AX$20:AX$389)*($AR$20:$AR$389=$C50)))/(SUM((AW$20:AW$389)*($AR$20:$AR$389=$C50))+SUM((AX$20:AX$389)*($AR$20:$AR$389=$C50)))</f>
        <v>98.202721857923493</v>
      </c>
      <c r="G50" s="230">
        <f t="shared" si="44"/>
        <v>7.3058483741938414</v>
      </c>
      <c r="H50" s="28">
        <f t="shared" si="25"/>
        <v>8.6074999999999999</v>
      </c>
      <c r="I50" s="28">
        <f t="array" ref="I50">(SUM((BF$20:BF$389)*(AW$20:AW$389)*($AR$20:$AR$389=$C50))+SUM((BF$20:BF$389)*(AX$20:AX$389)*($AR$20:$AR$389=$C50)))/(SUM((AW$20:AW$389)*($AR$20:$AR$389=$C50))+SUM((AX$20:AX$389)*($AR$20:$AR$389=$C50)))</f>
        <v>12.698146444521699</v>
      </c>
      <c r="J50" s="226">
        <f t="shared" si="28"/>
        <v>14.351666666666667</v>
      </c>
      <c r="K50" s="226">
        <f t="shared" si="35"/>
        <v>5.3326874999999996</v>
      </c>
      <c r="L50" s="226">
        <f t="shared" si="39"/>
        <v>5.4231541666666665</v>
      </c>
      <c r="M50" s="590">
        <f t="shared" si="40"/>
        <v>4.170583333333334</v>
      </c>
      <c r="N50" s="590">
        <f t="shared" si="41"/>
        <v>5.6205333333333334</v>
      </c>
      <c r="O50" s="226"/>
      <c r="P50" s="485"/>
      <c r="Q50" s="574">
        <v>2.1999999999999999E-2</v>
      </c>
      <c r="R50" s="574">
        <v>2.3E-2</v>
      </c>
      <c r="S50" s="169">
        <v>2.1999999999999999E-2</v>
      </c>
      <c r="T50" s="169">
        <v>2.1000000000000001E-2</v>
      </c>
      <c r="U50" s="169">
        <v>1.7999999999999999E-2</v>
      </c>
      <c r="V50" s="169">
        <v>2.1000000000000001E-2</v>
      </c>
      <c r="W50" s="169"/>
      <c r="X50" s="487"/>
      <c r="Y50" s="287">
        <f t="shared" si="26"/>
        <v>8.8112912299747599</v>
      </c>
      <c r="Z50" s="287">
        <f t="shared" si="30"/>
        <v>4.6524144774053369</v>
      </c>
      <c r="AA50" s="287">
        <f t="shared" si="31"/>
        <v>1.1707056037915387</v>
      </c>
      <c r="AB50" s="287">
        <f t="shared" si="34"/>
        <v>1.1638426709535468</v>
      </c>
      <c r="AC50" s="287">
        <v>1.6267336732773778</v>
      </c>
      <c r="AD50" s="287">
        <v>1.2456969570142082</v>
      </c>
      <c r="AE50" s="287">
        <v>1.2456969570142082</v>
      </c>
      <c r="AF50" s="577">
        <f t="shared" si="42"/>
        <v>1.7413088838277075</v>
      </c>
      <c r="AG50" s="577">
        <f t="shared" si="43"/>
        <v>1.4600205256709238</v>
      </c>
      <c r="AH50" s="577">
        <f t="shared" si="45"/>
        <v>1.9967483523053939</v>
      </c>
      <c r="AI50" s="577">
        <f t="shared" si="46"/>
        <v>1.6681695095209619</v>
      </c>
      <c r="AK50" s="472">
        <f t="shared" si="27"/>
        <v>2036</v>
      </c>
      <c r="AM50">
        <v>2039</v>
      </c>
      <c r="AN50" s="562">
        <v>37</v>
      </c>
      <c r="AO50" s="562">
        <f t="shared" si="8"/>
        <v>59.630292188431724</v>
      </c>
      <c r="AP50" s="562">
        <f t="shared" si="32"/>
        <v>49.063158871812554</v>
      </c>
      <c r="AR50">
        <f t="shared" si="19"/>
        <v>2008</v>
      </c>
      <c r="AS50" s="307">
        <f t="shared" si="47"/>
        <v>39630</v>
      </c>
      <c r="AT50" s="115">
        <v>71.099999999999994</v>
      </c>
      <c r="AU50" s="115">
        <v>55.8</v>
      </c>
      <c r="AV50" s="287">
        <f t="shared" si="33"/>
        <v>64.520999999999987</v>
      </c>
      <c r="AW50" s="271">
        <v>416</v>
      </c>
      <c r="AX50" s="271">
        <v>328</v>
      </c>
      <c r="AY50" s="271">
        <f t="shared" si="21"/>
        <v>0.55913978494623651</v>
      </c>
      <c r="AZ50" s="271">
        <f t="shared" si="22"/>
        <v>0.44086021505376344</v>
      </c>
      <c r="BD50">
        <f t="shared" si="36"/>
        <v>2008</v>
      </c>
      <c r="BE50" s="306">
        <f t="shared" si="38"/>
        <v>39630</v>
      </c>
      <c r="BF50" s="114">
        <f t="shared" si="23"/>
        <v>7.0220473083197392</v>
      </c>
      <c r="BG50" s="115">
        <v>7.0220473083197392</v>
      </c>
      <c r="BI50">
        <f t="shared" si="9"/>
        <v>2007</v>
      </c>
      <c r="BJ50" s="306">
        <v>39233</v>
      </c>
      <c r="BK50">
        <f t="shared" si="10"/>
        <v>4.3295466709999992</v>
      </c>
      <c r="BL50">
        <v>4.3999563559999997</v>
      </c>
      <c r="BM50">
        <v>4.2591369859999997</v>
      </c>
      <c r="BO50">
        <f t="shared" si="11"/>
        <v>2011</v>
      </c>
      <c r="BP50" s="286">
        <v>40634</v>
      </c>
      <c r="BQ50">
        <f t="shared" si="12"/>
        <v>9.6462500000000002</v>
      </c>
      <c r="BR50">
        <v>9.6974999999999998</v>
      </c>
      <c r="BS50">
        <v>9.5950000000000006</v>
      </c>
      <c r="BT50">
        <f t="shared" si="1"/>
        <v>2017</v>
      </c>
      <c r="BU50" s="286">
        <v>43009</v>
      </c>
      <c r="BV50">
        <f t="shared" si="2"/>
        <v>2.9229000000000003</v>
      </c>
      <c r="BW50" s="580">
        <v>3.0268000000000002</v>
      </c>
      <c r="BX50" s="580">
        <v>2.819</v>
      </c>
      <c r="BY50">
        <f t="shared" si="3"/>
        <v>2020</v>
      </c>
      <c r="BZ50" s="286">
        <v>44105</v>
      </c>
      <c r="CA50">
        <f t="shared" si="4"/>
        <v>1.7273999999999998</v>
      </c>
      <c r="CB50" s="580">
        <v>1.7367999999999999</v>
      </c>
      <c r="CC50" s="580">
        <v>1.718</v>
      </c>
      <c r="CD50" s="364">
        <f t="shared" si="5"/>
        <v>2021</v>
      </c>
      <c r="CE50" s="381">
        <v>44470</v>
      </c>
      <c r="CF50" s="364">
        <f t="shared" si="13"/>
        <v>2.7199999999999998</v>
      </c>
      <c r="CG50" s="411">
        <v>2.69</v>
      </c>
      <c r="CH50" s="411">
        <v>2.75</v>
      </c>
      <c r="CI50" s="364">
        <f t="shared" si="6"/>
        <v>2023</v>
      </c>
      <c r="CJ50" s="381">
        <v>45200</v>
      </c>
      <c r="CK50" s="364">
        <f t="shared" si="7"/>
        <v>3.9893000000000001</v>
      </c>
      <c r="CL50" s="411">
        <v>4.2300000000000004</v>
      </c>
      <c r="CM50" s="411">
        <v>3.7486000000000002</v>
      </c>
      <c r="CZ50" t="s">
        <v>181</v>
      </c>
      <c r="DA50" s="169">
        <v>3.4799999999999998E-2</v>
      </c>
    </row>
    <row r="51" spans="3:105">
      <c r="C51">
        <f t="shared" si="29"/>
        <v>2033</v>
      </c>
      <c r="D51" s="28">
        <f t="array" ref="D51">SUM((AT$20:AT$389)*(AW$20:AW$389)*($AR$20:$AR$389=$C51))/SUM((AW$20:AW$389)*($AR$20:$AR$389=$C51))</f>
        <v>104.04475570032574</v>
      </c>
      <c r="E51" s="28">
        <f t="array" ref="E51">SUM((AU$20:AU$389)*(AX$20:AX$389)*($AR$20:$AR$389=$C51))/SUM((AX$20:AX$389)*($AR$20:$AR$389=$C51))</f>
        <v>95.224490644490658</v>
      </c>
      <c r="F51" s="28">
        <f t="array" ref="F51">(SUM((AV$20:AV$389)*(AW$20:AW$389)*($AR$20:$AR$389=$C51))+SUM((AV$20:AV$389)*(AX$20:AX$389)*($AR$20:$AR$389=$C51)))/(SUM((AW$20:AW$389)*($AR$20:$AR$389=$C51))+SUM((AX$20:AX$389)*($AR$20:$AR$389=$C51)))</f>
        <v>100.24910465753423</v>
      </c>
      <c r="G51" s="230">
        <f t="shared" si="44"/>
        <v>7.4884945835486869</v>
      </c>
      <c r="H51" s="28">
        <f t="shared" si="25"/>
        <v>8.9100000000000019</v>
      </c>
      <c r="I51" s="28">
        <f t="array" ref="I51">(SUM((BF$20:BF$389)*(AW$20:AW$389)*($AR$20:$AR$389=$C51))+SUM((BF$20:BF$389)*(AX$20:AX$389)*($AR$20:$AR$389=$C51)))/(SUM((AW$20:AW$389)*($AR$20:$AR$389=$C51))+SUM((AX$20:AX$389)*($AR$20:$AR$389=$C51)))</f>
        <v>12.962411897472569</v>
      </c>
      <c r="J51" s="226">
        <f t="shared" si="28"/>
        <v>14.610833333333332</v>
      </c>
      <c r="K51" s="226">
        <f t="shared" si="35"/>
        <v>5.5168416666666671</v>
      </c>
      <c r="L51" s="226">
        <f t="shared" si="39"/>
        <v>5.7402833333333332</v>
      </c>
      <c r="M51" s="590">
        <f t="shared" si="40"/>
        <v>4.3581499999999993</v>
      </c>
      <c r="N51" s="590">
        <f t="shared" si="41"/>
        <v>5.8895666666666662</v>
      </c>
      <c r="O51" s="226"/>
      <c r="P51" s="485"/>
      <c r="Q51" s="574">
        <v>2.1999999999999999E-2</v>
      </c>
      <c r="R51" s="574">
        <v>2.3E-2</v>
      </c>
      <c r="S51" s="169">
        <v>2.1999999999999999E-2</v>
      </c>
      <c r="T51" s="169">
        <v>2.1000000000000001E-2</v>
      </c>
      <c r="U51" s="169">
        <v>1.9E-2</v>
      </c>
      <c r="V51" s="169">
        <f>V50</f>
        <v>2.1000000000000001E-2</v>
      </c>
      <c r="W51" s="169"/>
      <c r="X51" s="487"/>
      <c r="Y51" s="287">
        <f t="shared" si="26"/>
        <v>8.9963283458042298</v>
      </c>
      <c r="Z51" s="287">
        <f t="shared" si="30"/>
        <v>4.7501151814308482</v>
      </c>
      <c r="AA51" s="287">
        <f t="shared" si="31"/>
        <v>1.1952904214711608</v>
      </c>
      <c r="AB51" s="287">
        <f t="shared" si="34"/>
        <v>1.1859556817016641</v>
      </c>
      <c r="AC51" s="287">
        <v>1.6606577113778709</v>
      </c>
      <c r="AD51" s="287">
        <v>1.2716748240280993</v>
      </c>
      <c r="AE51" s="287">
        <v>1.2716748240280993</v>
      </c>
      <c r="AF51" s="577">
        <f t="shared" si="42"/>
        <v>1.7813589881557446</v>
      </c>
      <c r="AG51" s="577">
        <f t="shared" si="43"/>
        <v>1.4936009977613549</v>
      </c>
      <c r="AH51" s="577">
        <f t="shared" si="45"/>
        <v>2.0406768160561128</v>
      </c>
      <c r="AI51" s="577">
        <f t="shared" si="46"/>
        <v>1.7048692387304232</v>
      </c>
      <c r="AK51" s="472">
        <f t="shared" si="27"/>
        <v>2037</v>
      </c>
      <c r="AM51">
        <v>2040</v>
      </c>
      <c r="AN51" s="562">
        <v>37</v>
      </c>
      <c r="AO51" s="562">
        <f t="shared" si="8"/>
        <v>59.630292188431724</v>
      </c>
      <c r="AP51" s="562">
        <f t="shared" si="32"/>
        <v>49.063158871812554</v>
      </c>
      <c r="AR51">
        <f t="shared" si="19"/>
        <v>2008</v>
      </c>
      <c r="AS51" s="307">
        <f t="shared" si="47"/>
        <v>39661</v>
      </c>
      <c r="AT51" s="115">
        <v>83.74</v>
      </c>
      <c r="AU51" s="115">
        <v>65.72</v>
      </c>
      <c r="AV51" s="287">
        <f t="shared" si="33"/>
        <v>75.991399999999999</v>
      </c>
      <c r="AW51" s="271">
        <v>416</v>
      </c>
      <c r="AX51" s="271">
        <v>328</v>
      </c>
      <c r="AY51" s="271">
        <f t="shared" si="21"/>
        <v>0.55913978494623651</v>
      </c>
      <c r="AZ51" s="271">
        <f t="shared" si="22"/>
        <v>0.44086021505376344</v>
      </c>
      <c r="BD51">
        <f t="shared" si="36"/>
        <v>2008</v>
      </c>
      <c r="BE51" s="306">
        <f t="shared" si="38"/>
        <v>39661</v>
      </c>
      <c r="BF51" s="114">
        <f t="shared" si="23"/>
        <v>7.1036133768352361</v>
      </c>
      <c r="BG51" s="115">
        <v>7.1036133768352361</v>
      </c>
      <c r="BI51">
        <f t="shared" si="9"/>
        <v>2007</v>
      </c>
      <c r="BJ51" s="306">
        <v>39263</v>
      </c>
      <c r="BK51">
        <f t="shared" si="10"/>
        <v>4.3315466709999999</v>
      </c>
      <c r="BL51">
        <v>4.4019563560000003</v>
      </c>
      <c r="BM51">
        <v>4.2611369860000003</v>
      </c>
      <c r="BO51">
        <f t="shared" si="11"/>
        <v>2011</v>
      </c>
      <c r="BP51" s="286">
        <v>40664</v>
      </c>
      <c r="BQ51">
        <f t="shared" si="12"/>
        <v>9.5862499999999997</v>
      </c>
      <c r="BR51">
        <v>9.6374999999999993</v>
      </c>
      <c r="BS51">
        <v>9.5350000000000001</v>
      </c>
      <c r="BT51">
        <f t="shared" si="1"/>
        <v>2017</v>
      </c>
      <c r="BU51" s="286">
        <v>43040</v>
      </c>
      <c r="BV51">
        <f t="shared" si="2"/>
        <v>3.2003500000000003</v>
      </c>
      <c r="BW51" s="580">
        <v>3.1837</v>
      </c>
      <c r="BX51" s="580">
        <v>3.2170000000000001</v>
      </c>
      <c r="BY51">
        <f t="shared" si="3"/>
        <v>2020</v>
      </c>
      <c r="BZ51" s="286">
        <v>44136</v>
      </c>
      <c r="CA51">
        <f t="shared" si="4"/>
        <v>2.0680000000000001</v>
      </c>
      <c r="CB51" s="580">
        <v>1.9179999999999999</v>
      </c>
      <c r="CC51" s="580">
        <v>2.218</v>
      </c>
      <c r="CD51" s="364">
        <f t="shared" si="5"/>
        <v>2021</v>
      </c>
      <c r="CE51" s="381">
        <v>44501</v>
      </c>
      <c r="CF51" s="364">
        <f t="shared" si="13"/>
        <v>3.2212499999999999</v>
      </c>
      <c r="CG51" s="411">
        <v>2.9024999999999999</v>
      </c>
      <c r="CH51" s="411">
        <v>3.54</v>
      </c>
      <c r="CI51" s="364">
        <f t="shared" si="6"/>
        <v>2023</v>
      </c>
      <c r="CJ51" s="381">
        <v>45231</v>
      </c>
      <c r="CK51" s="364">
        <f t="shared" si="7"/>
        <v>4.4942000000000002</v>
      </c>
      <c r="CL51" s="411">
        <v>4.3875000000000002</v>
      </c>
      <c r="CM51" s="411">
        <v>4.6009000000000002</v>
      </c>
    </row>
    <row r="52" spans="3:105">
      <c r="C52">
        <f t="shared" si="29"/>
        <v>2034</v>
      </c>
      <c r="D52" s="28">
        <f t="array" ref="D52">SUM((AT$20:AT$389)*(AW$20:AW$389)*($AR$20:$AR$389=$C52))/SUM((AW$20:AW$389)*($AR$20:$AR$389=$C52))</f>
        <v>106.19401960784313</v>
      </c>
      <c r="E52" s="28">
        <f t="array" ref="E52">SUM((AU$20:AU$389)*(AX$20:AX$389)*($AR$20:$AR$389=$C52))/SUM((AX$20:AX$389)*($AR$20:$AR$389=$C52))</f>
        <v>97.271739130434781</v>
      </c>
      <c r="F52" s="28">
        <f t="array" ref="F52">(SUM((AV$20:AV$389)*(AW$20:AW$389)*($AR$20:$AR$389=$C52))+SUM((AV$20:AV$389)*(AX$20:AX$389)*($AR$20:$AR$389=$C52)))/(SUM((AW$20:AW$389)*($AR$20:$AR$389=$C52))+SUM((AX$20:AX$389)*($AR$20:$AR$389=$C52)))</f>
        <v>102.3546008219178</v>
      </c>
      <c r="G52" s="230">
        <f t="shared" si="44"/>
        <v>7.6757069481374032</v>
      </c>
      <c r="H52" s="28">
        <f t="shared" si="25"/>
        <v>9.2114285714285717</v>
      </c>
      <c r="I52" s="28">
        <f t="array" ref="I52">(SUM((BF$20:BF$389)*(AW$20:AW$389)*($AR$20:$AR$389=$C52))+SUM((BF$20:BF$389)*(AX$20:AX$389)*($AR$20:$AR$389=$C52)))/(SUM((AW$20:AW$389)*($AR$20:$AR$389=$C52))+SUM((AX$20:AX$389)*($AR$20:$AR$389=$C52)))</f>
        <v>13.232278263201412</v>
      </c>
      <c r="J52" s="226">
        <f t="shared" si="28"/>
        <v>14.875000000000002</v>
      </c>
      <c r="K52" s="226">
        <f t="shared" si="35"/>
        <v>5.688295833333334</v>
      </c>
      <c r="L52" s="226">
        <f t="shared" si="39"/>
        <v>6.0488291666666667</v>
      </c>
      <c r="M52" s="590">
        <f t="shared" si="40"/>
        <v>4.3934916666666668</v>
      </c>
      <c r="N52" s="590">
        <f t="shared" si="41"/>
        <v>5.9745791666666674</v>
      </c>
      <c r="O52" s="226"/>
      <c r="P52" s="485"/>
      <c r="Q52" s="574">
        <v>2.1000000000000001E-2</v>
      </c>
      <c r="R52" s="574">
        <v>2.3E-2</v>
      </c>
      <c r="S52" s="169">
        <v>2.1999999999999999E-2</v>
      </c>
      <c r="T52" s="169">
        <v>2.1000000000000001E-2</v>
      </c>
      <c r="U52" s="169">
        <v>1.7999999999999999E-2</v>
      </c>
      <c r="V52" s="169">
        <f t="shared" ref="V52:V53" si="48">V51</f>
        <v>2.1000000000000001E-2</v>
      </c>
      <c r="W52" s="169"/>
      <c r="X52" s="487"/>
      <c r="Y52" s="287">
        <f t="shared" si="26"/>
        <v>9.1852512410661173</v>
      </c>
      <c r="Z52" s="287">
        <f t="shared" si="30"/>
        <v>4.8498676002408958</v>
      </c>
      <c r="AA52" s="287">
        <f t="shared" si="31"/>
        <v>1.220391520322055</v>
      </c>
      <c r="AB52" s="287">
        <f t="shared" si="34"/>
        <v>1.2073028839722941</v>
      </c>
      <c r="AC52" s="287">
        <v>1.6953423361778306</v>
      </c>
      <c r="AD52" s="287">
        <v>1.2982351222983386</v>
      </c>
      <c r="AE52" s="287">
        <v>1.2982351222983386</v>
      </c>
      <c r="AF52" s="577">
        <f t="shared" si="42"/>
        <v>1.8223302448833265</v>
      </c>
      <c r="AG52" s="577">
        <f t="shared" si="43"/>
        <v>1.527953820709866</v>
      </c>
      <c r="AH52" s="577">
        <f t="shared" si="45"/>
        <v>2.0835310291932911</v>
      </c>
      <c r="AI52" s="577">
        <f t="shared" si="46"/>
        <v>1.7406714927437619</v>
      </c>
      <c r="AK52" s="472">
        <f t="shared" si="27"/>
        <v>2038</v>
      </c>
      <c r="AR52">
        <f t="shared" si="19"/>
        <v>2008</v>
      </c>
      <c r="AS52" s="307">
        <f t="shared" si="47"/>
        <v>39692</v>
      </c>
      <c r="AT52" s="115">
        <v>82.16</v>
      </c>
      <c r="AU52" s="115">
        <v>64.48</v>
      </c>
      <c r="AV52" s="287">
        <f t="shared" si="33"/>
        <v>74.557599999999994</v>
      </c>
      <c r="AW52" s="271">
        <v>400</v>
      </c>
      <c r="AX52" s="271">
        <v>320</v>
      </c>
      <c r="AY52" s="271">
        <f t="shared" si="21"/>
        <v>0.55555555555555558</v>
      </c>
      <c r="AZ52" s="271">
        <f t="shared" si="22"/>
        <v>0.44444444444444442</v>
      </c>
      <c r="BD52">
        <f t="shared" si="36"/>
        <v>2008</v>
      </c>
      <c r="BE52" s="306">
        <f t="shared" si="38"/>
        <v>39692</v>
      </c>
      <c r="BF52" s="114">
        <f t="shared" si="23"/>
        <v>7.2004730831973891</v>
      </c>
      <c r="BG52" s="115">
        <v>7.2004730831973891</v>
      </c>
      <c r="BI52">
        <f t="shared" si="9"/>
        <v>2007</v>
      </c>
      <c r="BJ52" s="306">
        <v>39294</v>
      </c>
      <c r="BK52">
        <f t="shared" si="10"/>
        <v>4.3415466709999997</v>
      </c>
      <c r="BL52">
        <v>4.4119563560000001</v>
      </c>
      <c r="BM52">
        <v>4.2711369860000001</v>
      </c>
      <c r="BO52">
        <f t="shared" si="11"/>
        <v>2011</v>
      </c>
      <c r="BP52" s="286">
        <v>40695</v>
      </c>
      <c r="BQ52">
        <f t="shared" si="12"/>
        <v>9.6712500000000006</v>
      </c>
      <c r="BR52">
        <v>9.7225000000000001</v>
      </c>
      <c r="BS52">
        <v>9.6199999999999992</v>
      </c>
      <c r="BT52">
        <f t="shared" si="1"/>
        <v>2017</v>
      </c>
      <c r="BU52" s="286">
        <v>43070</v>
      </c>
      <c r="BV52">
        <f t="shared" si="2"/>
        <v>3.4322999999999997</v>
      </c>
      <c r="BW52" s="580">
        <v>3.3275999999999999</v>
      </c>
      <c r="BX52" s="580">
        <v>3.5369999999999999</v>
      </c>
      <c r="BY52">
        <f t="shared" si="3"/>
        <v>2020</v>
      </c>
      <c r="BZ52" s="286">
        <v>44166</v>
      </c>
      <c r="CA52">
        <f t="shared" si="4"/>
        <v>2.3118499999999997</v>
      </c>
      <c r="CB52" s="580">
        <v>2.0636999999999999</v>
      </c>
      <c r="CC52" s="580">
        <v>2.56</v>
      </c>
      <c r="CD52" s="364">
        <f t="shared" si="5"/>
        <v>2021</v>
      </c>
      <c r="CE52" s="381">
        <v>44531</v>
      </c>
      <c r="CF52" s="364">
        <f t="shared" si="13"/>
        <v>3.6816</v>
      </c>
      <c r="CG52" s="411">
        <v>3.1272000000000002</v>
      </c>
      <c r="CH52" s="411">
        <v>4.2359999999999998</v>
      </c>
      <c r="CI52" s="364">
        <f t="shared" si="6"/>
        <v>2023</v>
      </c>
      <c r="CJ52" s="381">
        <v>45261</v>
      </c>
      <c r="CK52" s="364">
        <f t="shared" si="7"/>
        <v>5.3514499999999998</v>
      </c>
      <c r="CL52" s="411">
        <v>5.2332000000000001</v>
      </c>
      <c r="CM52" s="411">
        <v>5.4696999999999996</v>
      </c>
      <c r="CZ52">
        <v>2004</v>
      </c>
      <c r="DA52" s="169">
        <f>DA48</f>
        <v>2.0199999999999999E-2</v>
      </c>
    </row>
    <row r="53" spans="3:105">
      <c r="C53">
        <f t="shared" si="29"/>
        <v>2035</v>
      </c>
      <c r="D53" s="28">
        <f t="array" ref="D53">SUM((AT$20:AT$389)*(AW$20:AW$389)*($AR$20:$AR$389=$C53))/SUM((AW$20:AW$389)*($AR$20:$AR$389=$C53))</f>
        <v>108.47397394136806</v>
      </c>
      <c r="E53" s="28">
        <f t="array" ref="E53">SUM((AU$20:AU$389)*(AX$20:AX$389)*($AR$20:$AR$389=$C53))/SUM((AX$20:AX$389)*($AR$20:$AR$389=$C53))</f>
        <v>99.289002079002088</v>
      </c>
      <c r="F53" s="28">
        <f t="array" ref="F53">(SUM((AV$20:AV$389)*(AW$20:AW$389)*($AR$20:$AR$389=$C53))+SUM((AV$20:AV$389)*(AX$20:AX$389)*($AR$20:$AR$389=$C53)))/(SUM((AW$20:AW$389)*($AR$20:$AR$389=$C53))+SUM((AX$20:AX$389)*($AR$20:$AR$389=$C53)))</f>
        <v>104.5032106849315</v>
      </c>
      <c r="G53" s="230">
        <f t="shared" si="44"/>
        <v>7.8675996218408377</v>
      </c>
      <c r="H53" s="230">
        <f t="shared" ref="H53:H69" si="49">H52*(1+$DA$50)</f>
        <v>9.5319862857142859</v>
      </c>
      <c r="I53" s="28">
        <f t="array" ref="I53">(SUM((BF$20:BF$389)*(AW$20:AW$389)*($AR$20:$AR$389=$C53))+SUM((BF$20:BF$389)*(AX$20:AX$389)*($AR$20:$AR$389=$C53)))/(SUM((AW$20:AW$389)*($AR$20:$AR$389=$C53))+SUM((AX$20:AX$389)*($AR$20:$AR$389=$C53)))</f>
        <v>13.511483757551378</v>
      </c>
      <c r="J53" s="226">
        <f t="shared" si="28"/>
        <v>15.140833333333333</v>
      </c>
      <c r="K53" s="226">
        <f t="shared" si="35"/>
        <v>5.846000000000001</v>
      </c>
      <c r="L53" s="226">
        <f t="shared" si="39"/>
        <v>5.7299374999999992</v>
      </c>
      <c r="M53" s="590">
        <f t="shared" si="40"/>
        <v>4.4154458333333331</v>
      </c>
      <c r="N53" s="590">
        <f t="shared" si="41"/>
        <v>6.063579166666667</v>
      </c>
      <c r="O53" s="226"/>
      <c r="P53" s="485"/>
      <c r="Q53" s="574">
        <v>2.1000000000000001E-2</v>
      </c>
      <c r="R53" s="574">
        <v>2.3E-2</v>
      </c>
      <c r="S53" s="169">
        <v>2.1999999999999999E-2</v>
      </c>
      <c r="T53" s="169">
        <v>2.1000000000000001E-2</v>
      </c>
      <c r="U53" s="169">
        <v>1.7999999999999999E-2</v>
      </c>
      <c r="V53" s="169">
        <f t="shared" si="48"/>
        <v>2.1000000000000001E-2</v>
      </c>
      <c r="W53" s="169"/>
      <c r="X53" s="487"/>
      <c r="Y53" s="287">
        <f t="shared" si="26"/>
        <v>9.3781415171285047</v>
      </c>
      <c r="Z53" s="287">
        <f t="shared" si="30"/>
        <v>4.9517148198459537</v>
      </c>
      <c r="AA53" s="287">
        <f t="shared" si="31"/>
        <v>1.246019742248818</v>
      </c>
      <c r="AB53" s="287">
        <f t="shared" si="34"/>
        <v>1.2290343358837954</v>
      </c>
      <c r="AC53" s="287">
        <v>1.730529504666237</v>
      </c>
      <c r="AD53" s="287">
        <v>1.3251802513209923</v>
      </c>
      <c r="AE53" s="287">
        <v>1.3251802513209923</v>
      </c>
      <c r="AF53" s="577">
        <f t="shared" si="42"/>
        <v>1.864243840515643</v>
      </c>
      <c r="AG53" s="577">
        <f t="shared" si="43"/>
        <v>1.5630967585861928</v>
      </c>
      <c r="AH53" s="577">
        <f t="shared" si="45"/>
        <v>2.12728518080635</v>
      </c>
      <c r="AI53" s="577">
        <f t="shared" si="46"/>
        <v>1.7772255940913808</v>
      </c>
      <c r="AK53" s="472">
        <f t="shared" si="27"/>
        <v>2039</v>
      </c>
      <c r="AR53">
        <f t="shared" si="19"/>
        <v>2008</v>
      </c>
      <c r="AS53" s="307">
        <f t="shared" si="47"/>
        <v>39722</v>
      </c>
      <c r="AT53" s="115">
        <v>57.914999999999999</v>
      </c>
      <c r="AU53" s="115">
        <v>51.252499999999998</v>
      </c>
      <c r="AV53" s="287">
        <f t="shared" si="33"/>
        <v>55.050124999999994</v>
      </c>
      <c r="AW53" s="271">
        <v>432</v>
      </c>
      <c r="AX53" s="271">
        <v>312</v>
      </c>
      <c r="AY53" s="271">
        <f t="shared" si="21"/>
        <v>0.58064516129032262</v>
      </c>
      <c r="AZ53" s="271">
        <f t="shared" si="22"/>
        <v>0.41935483870967744</v>
      </c>
      <c r="BD53">
        <f t="shared" si="36"/>
        <v>2008</v>
      </c>
      <c r="BE53" s="306">
        <f t="shared" si="38"/>
        <v>39722</v>
      </c>
      <c r="BF53" s="114">
        <f t="shared" si="23"/>
        <v>7.3196275149537806</v>
      </c>
      <c r="BG53" s="115">
        <v>7.3196275149537806</v>
      </c>
      <c r="BI53">
        <f t="shared" si="9"/>
        <v>2007</v>
      </c>
      <c r="BJ53" s="306">
        <v>39325</v>
      </c>
      <c r="BK53">
        <f t="shared" si="10"/>
        <v>4.3644602705000004</v>
      </c>
      <c r="BL53">
        <v>4.435607665</v>
      </c>
      <c r="BM53">
        <v>4.2933128759999999</v>
      </c>
      <c r="BO53">
        <f t="shared" si="11"/>
        <v>2011</v>
      </c>
      <c r="BP53" s="286">
        <v>40725</v>
      </c>
      <c r="BQ53">
        <f t="shared" si="12"/>
        <v>9.7712500000000002</v>
      </c>
      <c r="BR53">
        <v>9.8224999999999998</v>
      </c>
      <c r="BS53">
        <v>9.7200000000000006</v>
      </c>
      <c r="BT53">
        <f t="shared" si="1"/>
        <v>2018</v>
      </c>
      <c r="BU53" s="286">
        <v>43101</v>
      </c>
      <c r="BV53">
        <f t="shared" si="2"/>
        <v>3.4073500000000001</v>
      </c>
      <c r="BW53" s="580">
        <v>3.3912</v>
      </c>
      <c r="BX53" s="580">
        <v>3.4235000000000002</v>
      </c>
      <c r="BY53">
        <f t="shared" si="3"/>
        <v>2021</v>
      </c>
      <c r="BZ53" s="286">
        <v>44197</v>
      </c>
      <c r="CA53">
        <f t="shared" si="4"/>
        <v>2.3321000000000001</v>
      </c>
      <c r="CB53" s="580">
        <v>2.1802000000000001</v>
      </c>
      <c r="CC53" s="580">
        <v>2.484</v>
      </c>
      <c r="CD53" s="364">
        <f t="shared" si="5"/>
        <v>2022</v>
      </c>
      <c r="CE53" s="381">
        <v>44562</v>
      </c>
      <c r="CF53" s="364">
        <f t="shared" si="13"/>
        <v>3.55335</v>
      </c>
      <c r="CG53" s="411">
        <v>3.1602000000000001</v>
      </c>
      <c r="CH53" s="411">
        <v>3.9464999999999999</v>
      </c>
      <c r="CI53" s="364">
        <f t="shared" si="6"/>
        <v>2024</v>
      </c>
      <c r="CJ53" s="381">
        <v>45292</v>
      </c>
      <c r="CK53" s="364">
        <f t="shared" si="7"/>
        <v>4.8659499999999998</v>
      </c>
      <c r="CL53" s="411">
        <v>4.1745000000000001</v>
      </c>
      <c r="CM53" s="411">
        <v>5.5574000000000003</v>
      </c>
    </row>
    <row r="54" spans="3:105">
      <c r="C54">
        <f t="shared" si="29"/>
        <v>2036</v>
      </c>
      <c r="D54" s="28">
        <f t="array" ref="D54">SUM((AT$20:AT$389)*(AW$20:AW$389)*($AR$20:$AR$389=$C54))/SUM((AW$20:AW$389)*($AR$20:$AR$389=$C54))</f>
        <v>109.10291827956989</v>
      </c>
      <c r="E54" s="28">
        <f t="array" ref="E54">SUM((AU$20:AU$389)*(AX$20:AX$389)*($AR$20:$AR$389=$C54))/SUM((AX$20:AX$389)*($AR$20:$AR$389=$C54))</f>
        <v>100.69096214689264</v>
      </c>
      <c r="F54" s="28">
        <f t="array" ref="F54">(SUM((AV$20:AV$389)*(AW$20:AW$389)*($AR$20:$AR$389=$C54))+SUM((AV$20:AV$389)*(AX$20:AX$389)*($AR$20:$AR$389=$C54)))/(SUM((AW$20:AW$389)*($AR$20:$AR$389=$C54))+SUM((AX$20:AX$389)*($AR$20:$AR$389=$C54)))</f>
        <v>105.48007397435897</v>
      </c>
      <c r="G54" s="230">
        <f t="shared" si="44"/>
        <v>8.0642896123868582</v>
      </c>
      <c r="H54" s="230">
        <f t="shared" si="49"/>
        <v>9.8636994084571423</v>
      </c>
      <c r="I54" s="28">
        <f t="array" ref="I54">(SUM((BF$20:BF$389)*(AW$20:AW$389)*($AR$20:$AR$389=$C54))+SUM((BF$20:BF$389)*(AX$20:AX$389)*($AR$20:$AR$389=$C54)))/(SUM((AW$20:AW$389)*($AR$20:$AR$389=$C54))+SUM((AX$20:AX$389)*($AR$20:$AR$389=$C54)))</f>
        <v>13.672603805022238</v>
      </c>
      <c r="J54" s="226">
        <f t="shared" si="28"/>
        <v>15.413750000000002</v>
      </c>
      <c r="K54" s="226">
        <f t="shared" si="35"/>
        <v>6.0717541666666675</v>
      </c>
      <c r="L54" s="226">
        <f t="shared" si="39"/>
        <v>5.7778666666666672</v>
      </c>
      <c r="M54" s="590">
        <f t="shared" si="40"/>
        <v>4.4830958333333326</v>
      </c>
      <c r="N54" s="590">
        <f t="shared" si="41"/>
        <v>6.022495833333334</v>
      </c>
      <c r="O54" s="226"/>
      <c r="P54" s="485"/>
      <c r="Q54" s="574">
        <v>2.1999999999999999E-2</v>
      </c>
      <c r="R54" s="574">
        <v>2.3E-2</v>
      </c>
      <c r="S54" s="169">
        <v>2.1999999999999999E-2</v>
      </c>
      <c r="T54" s="169">
        <v>2.1000000000000001E-2</v>
      </c>
      <c r="U54" s="169">
        <v>1.7999999999999999E-2</v>
      </c>
      <c r="V54" s="169">
        <f t="shared" ref="V54" si="50">V53</f>
        <v>2.1000000000000001E-2</v>
      </c>
      <c r="W54" s="169"/>
      <c r="X54" s="487"/>
      <c r="Y54" s="287">
        <f t="shared" si="26"/>
        <v>9.5750824889882029</v>
      </c>
      <c r="Z54" s="287">
        <f t="shared" si="30"/>
        <v>5.0557008310627181</v>
      </c>
      <c r="AA54" s="287">
        <f t="shared" si="31"/>
        <v>1.2721861568360431</v>
      </c>
      <c r="AB54" s="287">
        <f t="shared" si="34"/>
        <v>1.2511569539297038</v>
      </c>
      <c r="AC54" s="287">
        <v>1.7664344168351047</v>
      </c>
      <c r="AD54" s="287">
        <v>1.352675003882738</v>
      </c>
      <c r="AE54" s="287">
        <v>1.352675003882738</v>
      </c>
      <c r="AF54" s="577">
        <f t="shared" si="42"/>
        <v>1.9071214488475026</v>
      </c>
      <c r="AG54" s="577">
        <f t="shared" si="43"/>
        <v>1.5990479840336751</v>
      </c>
      <c r="AH54" s="577">
        <f t="shared" si="45"/>
        <v>2.1740854547840898</v>
      </c>
      <c r="AI54" s="577">
        <f t="shared" si="46"/>
        <v>1.8163245571613913</v>
      </c>
      <c r="AK54" s="472">
        <f t="shared" si="27"/>
        <v>2040</v>
      </c>
      <c r="AR54">
        <f t="shared" si="19"/>
        <v>2008</v>
      </c>
      <c r="AS54" s="307">
        <f t="shared" si="47"/>
        <v>39753</v>
      </c>
      <c r="AT54" s="115">
        <v>70.784999999999997</v>
      </c>
      <c r="AU54" s="115">
        <v>60.515000000000001</v>
      </c>
      <c r="AV54" s="287">
        <f t="shared" si="33"/>
        <v>66.368899999999996</v>
      </c>
      <c r="AW54" s="271">
        <v>384</v>
      </c>
      <c r="AX54" s="271">
        <v>336</v>
      </c>
      <c r="AY54" s="271">
        <f t="shared" si="21"/>
        <v>0.53333333333333333</v>
      </c>
      <c r="AZ54" s="271">
        <f t="shared" si="22"/>
        <v>0.46666666666666667</v>
      </c>
      <c r="BD54">
        <f t="shared" si="36"/>
        <v>2008</v>
      </c>
      <c r="BE54" s="306">
        <f t="shared" si="38"/>
        <v>39753</v>
      </c>
      <c r="BF54" s="114">
        <f t="shared" si="23"/>
        <v>8.2083238172920048</v>
      </c>
      <c r="BG54" s="115">
        <v>8.2083238172920048</v>
      </c>
      <c r="BI54">
        <f t="shared" si="9"/>
        <v>2007</v>
      </c>
      <c r="BJ54" s="306">
        <v>39355</v>
      </c>
      <c r="BK54">
        <f t="shared" si="10"/>
        <v>4.3359193375</v>
      </c>
      <c r="BL54">
        <v>4.407558538</v>
      </c>
      <c r="BM54">
        <v>4.2642801370000001</v>
      </c>
      <c r="BO54">
        <f t="shared" si="11"/>
        <v>2011</v>
      </c>
      <c r="BP54" s="286">
        <v>40756</v>
      </c>
      <c r="BQ54">
        <f t="shared" si="12"/>
        <v>9.8462500000000013</v>
      </c>
      <c r="BR54">
        <v>9.8975000000000009</v>
      </c>
      <c r="BS54">
        <v>9.7949999999999999</v>
      </c>
      <c r="BT54">
        <f t="shared" si="1"/>
        <v>2018</v>
      </c>
      <c r="BU54" s="286">
        <v>43132</v>
      </c>
      <c r="BV54">
        <f t="shared" si="2"/>
        <v>3.3311999999999999</v>
      </c>
      <c r="BW54" s="580">
        <v>3.3538999999999999</v>
      </c>
      <c r="BX54" s="580">
        <v>3.3085</v>
      </c>
      <c r="BY54">
        <f t="shared" si="3"/>
        <v>2021</v>
      </c>
      <c r="BZ54" s="286">
        <v>44228</v>
      </c>
      <c r="CA54">
        <f t="shared" si="4"/>
        <v>2.2283499999999998</v>
      </c>
      <c r="CB54" s="580">
        <v>2.1377000000000002</v>
      </c>
      <c r="CC54" s="580">
        <v>2.319</v>
      </c>
      <c r="CD54" s="364">
        <f t="shared" si="5"/>
        <v>2022</v>
      </c>
      <c r="CE54" s="381">
        <v>44593</v>
      </c>
      <c r="CF54" s="364">
        <f t="shared" si="13"/>
        <v>3.3638500000000002</v>
      </c>
      <c r="CG54" s="411">
        <v>3.0882000000000001</v>
      </c>
      <c r="CH54" s="411">
        <v>3.6395</v>
      </c>
      <c r="CI54" s="364">
        <f t="shared" si="6"/>
        <v>2024</v>
      </c>
      <c r="CJ54" s="381">
        <v>45323</v>
      </c>
      <c r="CK54" s="364">
        <f t="shared" si="7"/>
        <v>4.6555999999999997</v>
      </c>
      <c r="CL54" s="411">
        <v>4.0517000000000003</v>
      </c>
      <c r="CM54" s="411">
        <v>5.2595000000000001</v>
      </c>
    </row>
    <row r="55" spans="3:105">
      <c r="C55">
        <f t="shared" si="29"/>
        <v>2037</v>
      </c>
      <c r="D55" s="28">
        <f t="shared" ref="D55:D69" si="51">D54*(1+$V51)</f>
        <v>111.39407956344085</v>
      </c>
      <c r="E55" s="28">
        <f t="shared" ref="E55:E69" si="52">E54*(1+$V51)</f>
        <v>102.80547235197739</v>
      </c>
      <c r="F55" s="28">
        <f t="shared" ref="F55:F69" si="53">F54*(1+$V51)</f>
        <v>107.6951555278205</v>
      </c>
      <c r="G55" s="230">
        <f t="shared" si="44"/>
        <v>8.2658968526965282</v>
      </c>
      <c r="H55" s="230">
        <f t="shared" si="49"/>
        <v>10.20695614787145</v>
      </c>
      <c r="I55" s="287">
        <f t="shared" ref="I55:I69" si="54">I54*(1+$V51)</f>
        <v>13.959728484927703</v>
      </c>
      <c r="J55" s="226">
        <f t="shared" si="28"/>
        <v>15.707083333333335</v>
      </c>
      <c r="K55" s="226">
        <f t="shared" si="35"/>
        <v>6.240054166666666</v>
      </c>
      <c r="L55" s="226">
        <f t="shared" si="39"/>
        <v>6.1182749999999997</v>
      </c>
      <c r="M55" s="590">
        <f t="shared" si="40"/>
        <v>4.6021624999999995</v>
      </c>
      <c r="N55" s="590">
        <f t="shared" si="41"/>
        <v>6.2594874999999996</v>
      </c>
      <c r="O55" s="226"/>
      <c r="P55" s="485"/>
      <c r="Q55" s="574">
        <v>2.1999999999999999E-2</v>
      </c>
      <c r="R55" s="574">
        <v>2.3E-2</v>
      </c>
      <c r="S55" s="169">
        <v>2.1999999999999999E-2</v>
      </c>
      <c r="T55" s="169">
        <v>2.1000000000000001E-2</v>
      </c>
      <c r="U55" s="169">
        <v>1.7999999999999999E-2</v>
      </c>
      <c r="V55" s="169">
        <f t="shared" ref="V55" si="55">V54</f>
        <v>2.1000000000000001E-2</v>
      </c>
      <c r="W55" s="169"/>
      <c r="X55" s="487"/>
      <c r="Y55" s="287">
        <f t="shared" si="26"/>
        <v>9.7761592212569539</v>
      </c>
      <c r="Z55" s="287">
        <f t="shared" si="30"/>
        <v>5.1618705485150347</v>
      </c>
      <c r="AA55" s="287">
        <f t="shared" si="31"/>
        <v>1.2989020661295998</v>
      </c>
      <c r="AB55" s="287">
        <f t="shared" si="34"/>
        <v>1.2736777791004386</v>
      </c>
      <c r="AC55" s="287">
        <v>1.8033030507073435</v>
      </c>
      <c r="AD55" s="287">
        <v>1.3809077415326505</v>
      </c>
      <c r="AE55" s="287">
        <v>1.3809077415326505</v>
      </c>
      <c r="AF55" s="577">
        <f t="shared" si="42"/>
        <v>1.950985242170995</v>
      </c>
      <c r="AG55" s="577">
        <f t="shared" si="43"/>
        <v>1.6358260876664494</v>
      </c>
      <c r="AH55" s="577">
        <f t="shared" si="45"/>
        <v>2.2219153347893399</v>
      </c>
      <c r="AI55" s="577">
        <f t="shared" si="46"/>
        <v>1.8562836974189418</v>
      </c>
      <c r="AK55" s="472">
        <f t="shared" si="27"/>
        <v>2041</v>
      </c>
      <c r="AR55">
        <f t="shared" si="19"/>
        <v>2008</v>
      </c>
      <c r="AS55" s="307">
        <f t="shared" si="47"/>
        <v>39783</v>
      </c>
      <c r="AT55" s="115">
        <v>85.8</v>
      </c>
      <c r="AU55" s="115">
        <v>73.482500000000002</v>
      </c>
      <c r="AV55" s="287">
        <f t="shared" si="33"/>
        <v>80.503474999999995</v>
      </c>
      <c r="AW55" s="271">
        <v>416</v>
      </c>
      <c r="AX55" s="271">
        <v>328</v>
      </c>
      <c r="AY55" s="271">
        <f t="shared" si="21"/>
        <v>0.55913978494623651</v>
      </c>
      <c r="AZ55" s="271">
        <f t="shared" si="22"/>
        <v>0.44086021505376344</v>
      </c>
      <c r="BD55">
        <f t="shared" si="36"/>
        <v>2008</v>
      </c>
      <c r="BE55" s="306">
        <f t="shared" si="38"/>
        <v>39783</v>
      </c>
      <c r="BF55" s="114">
        <f t="shared" si="23"/>
        <v>9.0364912996193567</v>
      </c>
      <c r="BG55" s="115">
        <v>9.0364912996193567</v>
      </c>
      <c r="BI55">
        <f t="shared" si="9"/>
        <v>2007</v>
      </c>
      <c r="BJ55" s="306">
        <v>39386</v>
      </c>
      <c r="BK55">
        <f t="shared" si="10"/>
        <v>4.3729029374999993</v>
      </c>
      <c r="BL55">
        <v>4.4424798479999996</v>
      </c>
      <c r="BM55">
        <v>4.3033260269999998</v>
      </c>
      <c r="BO55">
        <f t="shared" si="11"/>
        <v>2011</v>
      </c>
      <c r="BP55" s="286">
        <v>40787</v>
      </c>
      <c r="BQ55">
        <f t="shared" si="12"/>
        <v>9.8712499999999999</v>
      </c>
      <c r="BR55">
        <v>9.9224999999999994</v>
      </c>
      <c r="BS55">
        <v>9.82</v>
      </c>
      <c r="BT55">
        <f t="shared" si="1"/>
        <v>2018</v>
      </c>
      <c r="BU55" s="286">
        <v>43160</v>
      </c>
      <c r="BV55">
        <f t="shared" si="2"/>
        <v>3.2502500000000003</v>
      </c>
      <c r="BW55" s="580">
        <v>3.2745000000000002</v>
      </c>
      <c r="BX55" s="580">
        <v>3.226</v>
      </c>
      <c r="BY55">
        <f t="shared" si="3"/>
        <v>2021</v>
      </c>
      <c r="BZ55" s="286">
        <v>44256</v>
      </c>
      <c r="CA55">
        <f t="shared" si="4"/>
        <v>2.0396000000000001</v>
      </c>
      <c r="CB55" s="580">
        <v>2.0451999999999999</v>
      </c>
      <c r="CC55" s="580">
        <v>2.0339999999999998</v>
      </c>
      <c r="CD55" s="364">
        <f t="shared" si="5"/>
        <v>2022</v>
      </c>
      <c r="CE55" s="381">
        <v>44621</v>
      </c>
      <c r="CF55" s="364">
        <f t="shared" si="13"/>
        <v>2.8148999999999997</v>
      </c>
      <c r="CG55" s="411">
        <v>2.7667999999999999</v>
      </c>
      <c r="CH55" s="411">
        <v>2.863</v>
      </c>
      <c r="CI55" s="364">
        <f t="shared" si="6"/>
        <v>2024</v>
      </c>
      <c r="CJ55" s="381">
        <v>45352</v>
      </c>
      <c r="CK55" s="364">
        <f t="shared" si="7"/>
        <v>4.0636999999999999</v>
      </c>
      <c r="CL55" s="411">
        <v>3.9986000000000002</v>
      </c>
      <c r="CM55" s="411">
        <v>4.1288</v>
      </c>
    </row>
    <row r="56" spans="3:105">
      <c r="C56">
        <f t="shared" si="29"/>
        <v>2038</v>
      </c>
      <c r="D56" s="28">
        <f t="shared" si="51"/>
        <v>113.73335523427311</v>
      </c>
      <c r="E56" s="28">
        <f t="shared" si="52"/>
        <v>104.96438727136891</v>
      </c>
      <c r="F56" s="28">
        <f t="shared" si="53"/>
        <v>109.95675379390472</v>
      </c>
      <c r="G56" s="230">
        <f t="shared" si="44"/>
        <v>8.4725442740139414</v>
      </c>
      <c r="H56" s="230">
        <f t="shared" si="49"/>
        <v>10.562158221817375</v>
      </c>
      <c r="I56" s="287">
        <f t="shared" si="54"/>
        <v>14.252882783111184</v>
      </c>
      <c r="J56" s="226">
        <f t="shared" si="28"/>
        <v>15.973571428571429</v>
      </c>
      <c r="K56" s="226">
        <f t="shared" si="35"/>
        <v>6.5604041666666673</v>
      </c>
      <c r="L56" s="226">
        <f t="shared" si="39"/>
        <v>6.6118625</v>
      </c>
      <c r="M56" s="590">
        <f t="shared" si="40"/>
        <v>4.7023374999999987</v>
      </c>
      <c r="N56" s="590">
        <f t="shared" si="41"/>
        <v>6.5332833333333333</v>
      </c>
      <c r="O56" s="226"/>
      <c r="P56" s="485"/>
      <c r="Q56" s="574">
        <v>2.1999999999999999E-2</v>
      </c>
      <c r="R56" s="574">
        <v>2.3E-2</v>
      </c>
      <c r="S56" s="169">
        <v>2.1999999999999999E-2</v>
      </c>
      <c r="T56" s="169">
        <v>2.1999999999999999E-2</v>
      </c>
      <c r="U56" s="169">
        <v>1.7999999999999999E-2</v>
      </c>
      <c r="V56" s="169">
        <f t="shared" ref="V56" si="56">V55</f>
        <v>2.1000000000000001E-2</v>
      </c>
      <c r="W56" s="169"/>
      <c r="X56" s="487"/>
      <c r="Y56" s="287">
        <f t="shared" si="26"/>
        <v>9.9814585649033489</v>
      </c>
      <c r="Z56" s="287">
        <f t="shared" si="30"/>
        <v>5.2702698300338495</v>
      </c>
      <c r="AA56" s="287">
        <f t="shared" si="31"/>
        <v>1.3261790095183212</v>
      </c>
      <c r="AB56" s="287">
        <f t="shared" si="34"/>
        <v>1.2966039791242465</v>
      </c>
      <c r="AC56" s="287">
        <v>1.8413139188621417</v>
      </c>
      <c r="AD56" s="287">
        <v>1.410015163092631</v>
      </c>
      <c r="AE56" s="287">
        <v>1.410015163092631</v>
      </c>
      <c r="AF56" s="577">
        <f t="shared" si="42"/>
        <v>1.9958579027409278</v>
      </c>
      <c r="AG56" s="577">
        <f t="shared" si="43"/>
        <v>1.6734500876827776</v>
      </c>
      <c r="AH56" s="577">
        <f t="shared" si="45"/>
        <v>2.2707974721547055</v>
      </c>
      <c r="AI56" s="577">
        <f t="shared" si="46"/>
        <v>1.8971219387621585</v>
      </c>
      <c r="AK56" s="472">
        <f t="shared" si="27"/>
        <v>2042</v>
      </c>
      <c r="AR56">
        <f t="shared" si="19"/>
        <v>2009</v>
      </c>
      <c r="AS56" s="307">
        <f t="shared" si="47"/>
        <v>39814</v>
      </c>
      <c r="AT56" s="115">
        <v>83.4</v>
      </c>
      <c r="AU56" s="115">
        <v>73.754999999999995</v>
      </c>
      <c r="AV56" s="287">
        <f t="shared" si="33"/>
        <v>79.252649999999988</v>
      </c>
      <c r="AW56" s="271">
        <v>416</v>
      </c>
      <c r="AX56" s="271">
        <v>328</v>
      </c>
      <c r="AY56" s="271">
        <f t="shared" si="21"/>
        <v>0.55913978494623651</v>
      </c>
      <c r="AZ56" s="271">
        <f t="shared" si="22"/>
        <v>0.44086021505376344</v>
      </c>
      <c r="BD56">
        <f t="shared" si="36"/>
        <v>2009</v>
      </c>
      <c r="BE56" s="306">
        <f t="shared" si="38"/>
        <v>39814</v>
      </c>
      <c r="BF56" s="114">
        <f t="shared" si="23"/>
        <v>9.5853629690048958</v>
      </c>
      <c r="BG56" s="115">
        <v>9.5853629690048958</v>
      </c>
      <c r="BI56">
        <f t="shared" si="9"/>
        <v>2007</v>
      </c>
      <c r="BJ56" s="306">
        <v>39416</v>
      </c>
      <c r="BK56">
        <f t="shared" si="10"/>
        <v>4.5446511740000002</v>
      </c>
      <c r="BL56">
        <v>4.6161204299999996</v>
      </c>
      <c r="BM56">
        <v>4.4731819179999999</v>
      </c>
      <c r="BO56">
        <f t="shared" si="11"/>
        <v>2011</v>
      </c>
      <c r="BP56" s="286">
        <v>40817</v>
      </c>
      <c r="BQ56">
        <f t="shared" si="12"/>
        <v>9.9662499999999987</v>
      </c>
      <c r="BR56">
        <v>10.0175</v>
      </c>
      <c r="BS56">
        <v>9.9149999999999991</v>
      </c>
      <c r="BT56">
        <f t="shared" si="1"/>
        <v>2018</v>
      </c>
      <c r="BU56" s="286">
        <v>43191</v>
      </c>
      <c r="BV56">
        <f t="shared" si="2"/>
        <v>2.36775</v>
      </c>
      <c r="BW56" s="580">
        <v>2.5819999999999999</v>
      </c>
      <c r="BX56" s="580">
        <v>2.1535000000000002</v>
      </c>
      <c r="BY56">
        <f t="shared" si="3"/>
        <v>2021</v>
      </c>
      <c r="BZ56" s="286">
        <v>44287</v>
      </c>
      <c r="CA56">
        <f t="shared" si="4"/>
        <v>1.6171000000000002</v>
      </c>
      <c r="CB56" s="580">
        <v>1.7352000000000001</v>
      </c>
      <c r="CC56" s="580">
        <v>1.4990000000000001</v>
      </c>
      <c r="CD56" s="364">
        <f t="shared" si="5"/>
        <v>2022</v>
      </c>
      <c r="CE56" s="381">
        <v>44652</v>
      </c>
      <c r="CF56" s="364">
        <f t="shared" si="13"/>
        <v>2.1517499999999998</v>
      </c>
      <c r="CG56" s="411">
        <v>2.2654999999999998</v>
      </c>
      <c r="CH56" s="411">
        <v>2.0379999999999998</v>
      </c>
      <c r="CI56" s="364">
        <f t="shared" si="6"/>
        <v>2024</v>
      </c>
      <c r="CJ56" s="381">
        <v>45383</v>
      </c>
      <c r="CK56" s="364">
        <f t="shared" si="7"/>
        <v>3.1294000000000004</v>
      </c>
      <c r="CL56" s="411">
        <v>3.0222000000000002</v>
      </c>
      <c r="CM56" s="411">
        <v>3.2366000000000001</v>
      </c>
    </row>
    <row r="57" spans="3:105">
      <c r="C57">
        <f t="shared" si="29"/>
        <v>2039</v>
      </c>
      <c r="D57" s="28">
        <f t="shared" si="51"/>
        <v>116.12175569419283</v>
      </c>
      <c r="E57" s="28">
        <f t="shared" si="52"/>
        <v>107.16863940406765</v>
      </c>
      <c r="F57" s="28">
        <f t="shared" si="53"/>
        <v>112.26584562357671</v>
      </c>
      <c r="G57" s="230">
        <f t="shared" si="44"/>
        <v>8.6843578808642885</v>
      </c>
      <c r="H57" s="230">
        <f t="shared" si="49"/>
        <v>10.929721327936619</v>
      </c>
      <c r="I57" s="287">
        <f t="shared" si="54"/>
        <v>14.552193321556517</v>
      </c>
      <c r="J57" s="287">
        <f>J56*(1+$U$53)</f>
        <v>16.261095714285716</v>
      </c>
      <c r="K57" s="226">
        <f t="shared" si="35"/>
        <v>6.7722499999999988</v>
      </c>
      <c r="L57" s="226">
        <f t="shared" si="39"/>
        <v>7.0919124999999994</v>
      </c>
      <c r="M57" s="590">
        <f t="shared" si="40"/>
        <v>4.94475</v>
      </c>
      <c r="N57" s="590">
        <f t="shared" si="41"/>
        <v>6.8255166666666662</v>
      </c>
      <c r="O57" s="226"/>
      <c r="P57" s="485"/>
      <c r="Q57" s="574">
        <v>2.1000000000000001E-2</v>
      </c>
      <c r="R57" s="574">
        <v>2.3E-2</v>
      </c>
      <c r="S57" s="169">
        <v>2.3E-2</v>
      </c>
      <c r="T57" s="169">
        <v>2.1999999999999999E-2</v>
      </c>
      <c r="U57" s="169">
        <v>1.7999999999999999E-2</v>
      </c>
      <c r="V57" s="169">
        <f t="shared" ref="V57" si="57">V56</f>
        <v>2.1000000000000001E-2</v>
      </c>
      <c r="W57" s="169"/>
      <c r="X57" s="487"/>
      <c r="Y57" s="287">
        <f t="shared" si="26"/>
        <v>10.191069194766317</v>
      </c>
      <c r="Z57" s="287">
        <f t="shared" si="30"/>
        <v>5.3809454964645598</v>
      </c>
      <c r="AA57" s="287">
        <f t="shared" si="31"/>
        <v>1.3540287687182058</v>
      </c>
      <c r="AB57" s="287">
        <f t="shared" ref="AB57:AB64" si="58">AB56*(1+U57)</f>
        <v>1.3199428507484829</v>
      </c>
      <c r="AC57" s="287">
        <v>1.8803404620364608</v>
      </c>
      <c r="AD57" s="287">
        <v>1.4399003538117043</v>
      </c>
      <c r="AE57" s="287">
        <v>1.4399003538117043</v>
      </c>
      <c r="AF57" s="577">
        <f t="shared" si="42"/>
        <v>2.0417626345039688</v>
      </c>
      <c r="AG57" s="577">
        <f t="shared" si="43"/>
        <v>1.7119394396994814</v>
      </c>
      <c r="AH57" s="577">
        <f t="shared" si="45"/>
        <v>2.3184842190699539</v>
      </c>
      <c r="AI57" s="577">
        <f t="shared" si="46"/>
        <v>1.9369614994761637</v>
      </c>
      <c r="AK57" s="472">
        <f t="shared" si="27"/>
        <v>2043</v>
      </c>
      <c r="AR57">
        <f t="shared" si="19"/>
        <v>2009</v>
      </c>
      <c r="AS57" s="307">
        <f t="shared" si="47"/>
        <v>39845</v>
      </c>
      <c r="AT57" s="115">
        <v>78.599999999999994</v>
      </c>
      <c r="AU57" s="115">
        <v>70.894999999999996</v>
      </c>
      <c r="AV57" s="287">
        <f t="shared" si="33"/>
        <v>75.286849999999987</v>
      </c>
      <c r="AW57" s="271">
        <v>384</v>
      </c>
      <c r="AX57" s="271">
        <v>288</v>
      </c>
      <c r="AY57" s="271">
        <f t="shared" si="21"/>
        <v>0.5714285714285714</v>
      </c>
      <c r="AZ57" s="271">
        <f t="shared" si="22"/>
        <v>0.42857142857142855</v>
      </c>
      <c r="BD57">
        <f t="shared" si="36"/>
        <v>2009</v>
      </c>
      <c r="BE57" s="306">
        <f t="shared" si="38"/>
        <v>39845</v>
      </c>
      <c r="BF57" s="114">
        <f t="shared" si="23"/>
        <v>9.5853629690048958</v>
      </c>
      <c r="BG57" s="115">
        <v>9.5853629690048958</v>
      </c>
      <c r="BI57">
        <f t="shared" si="9"/>
        <v>2007</v>
      </c>
      <c r="BJ57" s="306">
        <v>39447</v>
      </c>
      <c r="BK57">
        <f t="shared" si="10"/>
        <v>4.7338404599999997</v>
      </c>
      <c r="BL57">
        <v>4.8000231119999999</v>
      </c>
      <c r="BM57">
        <v>4.6676578080000004</v>
      </c>
      <c r="BO57">
        <f t="shared" si="11"/>
        <v>2011</v>
      </c>
      <c r="BP57" s="286">
        <v>40848</v>
      </c>
      <c r="BQ57">
        <f t="shared" si="12"/>
        <v>10.78125</v>
      </c>
      <c r="BR57">
        <v>10.3325</v>
      </c>
      <c r="BS57">
        <v>11.23</v>
      </c>
      <c r="BT57">
        <f t="shared" si="1"/>
        <v>2018</v>
      </c>
      <c r="BU57" s="286">
        <v>43221</v>
      </c>
      <c r="BV57">
        <f t="shared" si="2"/>
        <v>2.3014000000000001</v>
      </c>
      <c r="BW57" s="580">
        <v>2.5383</v>
      </c>
      <c r="BX57" s="580">
        <v>2.0644999999999998</v>
      </c>
      <c r="BY57">
        <f t="shared" si="3"/>
        <v>2021</v>
      </c>
      <c r="BZ57" s="286">
        <v>44317</v>
      </c>
      <c r="CA57">
        <f t="shared" si="4"/>
        <v>1.5720000000000001</v>
      </c>
      <c r="CB57" s="580">
        <v>1.6995</v>
      </c>
      <c r="CC57" s="580">
        <v>1.4444999999999999</v>
      </c>
      <c r="CD57" s="364">
        <f t="shared" si="5"/>
        <v>2022</v>
      </c>
      <c r="CE57" s="381">
        <v>44682</v>
      </c>
      <c r="CF57" s="364">
        <f t="shared" si="13"/>
        <v>2.0213999999999999</v>
      </c>
      <c r="CG57" s="411">
        <v>2.1858</v>
      </c>
      <c r="CH57" s="411">
        <v>1.857</v>
      </c>
      <c r="CI57" s="364">
        <f t="shared" si="6"/>
        <v>2024</v>
      </c>
      <c r="CJ57" s="381">
        <v>45413</v>
      </c>
      <c r="CK57" s="364">
        <f t="shared" si="7"/>
        <v>3.0544000000000002</v>
      </c>
      <c r="CL57" s="411">
        <v>2.9803999999999999</v>
      </c>
      <c r="CM57" s="411">
        <v>3.1284000000000001</v>
      </c>
    </row>
    <row r="58" spans="3:105">
      <c r="C58">
        <f t="shared" si="29"/>
        <v>2040</v>
      </c>
      <c r="D58" s="28">
        <f t="shared" si="51"/>
        <v>118.56031256377086</v>
      </c>
      <c r="E58" s="28">
        <f t="shared" si="52"/>
        <v>109.41918083155306</v>
      </c>
      <c r="F58" s="28">
        <f t="shared" si="53"/>
        <v>114.62342838167181</v>
      </c>
      <c r="G58" s="230">
        <f t="shared" si="44"/>
        <v>8.9014668278858942</v>
      </c>
      <c r="H58" s="230">
        <f t="shared" si="49"/>
        <v>11.310075630148813</v>
      </c>
      <c r="I58" s="287">
        <f t="shared" si="54"/>
        <v>14.857789381309203</v>
      </c>
      <c r="J58" s="287">
        <f t="shared" ref="J58:J71" si="59">J57*(1+$U$53)</f>
        <v>16.55379543714286</v>
      </c>
      <c r="K58" s="226">
        <f t="shared" si="35"/>
        <v>7.075779166666667</v>
      </c>
      <c r="L58" s="226">
        <f t="shared" si="39"/>
        <v>7.3225625000000001</v>
      </c>
      <c r="M58" s="590">
        <f t="shared" si="40"/>
        <v>5.1728249999999996</v>
      </c>
      <c r="N58" s="590">
        <f t="shared" si="41"/>
        <v>6.9763833333333336</v>
      </c>
      <c r="O58" s="226"/>
      <c r="P58" s="485"/>
      <c r="Q58" s="574">
        <v>2.1999999999999999E-2</v>
      </c>
      <c r="R58" s="574">
        <v>2.3E-2</v>
      </c>
      <c r="S58" s="169">
        <v>2.3E-2</v>
      </c>
      <c r="T58" s="169">
        <v>2.1999999999999999E-2</v>
      </c>
      <c r="U58" s="169">
        <v>1.7999999999999999E-2</v>
      </c>
      <c r="V58" s="169">
        <f t="shared" ref="V58" si="60">V57</f>
        <v>2.1000000000000001E-2</v>
      </c>
      <c r="W58" s="169"/>
      <c r="X58" s="487"/>
      <c r="Y58" s="287">
        <f t="shared" si="26"/>
        <v>10.405081647856409</v>
      </c>
      <c r="Z58" s="287">
        <f t="shared" si="30"/>
        <v>5.4939453518903152</v>
      </c>
      <c r="AA58" s="287">
        <f t="shared" si="31"/>
        <v>1.3824633728612881</v>
      </c>
      <c r="AB58" s="287">
        <f t="shared" si="58"/>
        <v>1.3437018220619557</v>
      </c>
      <c r="AC58" s="287">
        <v>1.9203752935028859</v>
      </c>
      <c r="AD58" s="287">
        <v>1.4705576571868948</v>
      </c>
      <c r="AE58" s="287">
        <v>1.4705576571868948</v>
      </c>
      <c r="AF58" s="577">
        <f t="shared" si="42"/>
        <v>2.0887231750975599</v>
      </c>
      <c r="AG58" s="577">
        <f t="shared" si="43"/>
        <v>1.7513140468125692</v>
      </c>
      <c r="AH58" s="577">
        <f t="shared" si="45"/>
        <v>2.3694908718894929</v>
      </c>
      <c r="AI58" s="577">
        <f t="shared" si="46"/>
        <v>1.9795746524646394</v>
      </c>
      <c r="AK58" s="472">
        <f t="shared" si="27"/>
        <v>2044</v>
      </c>
      <c r="AR58">
        <f t="shared" si="19"/>
        <v>2009</v>
      </c>
      <c r="AS58" s="307">
        <f t="shared" si="47"/>
        <v>39873</v>
      </c>
      <c r="AT58" s="115">
        <v>69.8</v>
      </c>
      <c r="AU58" s="115">
        <v>61.6</v>
      </c>
      <c r="AV58" s="287">
        <f t="shared" si="33"/>
        <v>66.274000000000001</v>
      </c>
      <c r="AW58" s="271">
        <v>416</v>
      </c>
      <c r="AX58" s="271">
        <v>328</v>
      </c>
      <c r="AY58" s="271">
        <f t="shared" si="21"/>
        <v>0.55913978494623651</v>
      </c>
      <c r="AZ58" s="271">
        <f t="shared" si="22"/>
        <v>0.44086021505376344</v>
      </c>
      <c r="BD58">
        <f t="shared" si="36"/>
        <v>2009</v>
      </c>
      <c r="BE58" s="306">
        <f t="shared" si="38"/>
        <v>39873</v>
      </c>
      <c r="BF58" s="114">
        <f t="shared" si="23"/>
        <v>9.3044018488308868</v>
      </c>
      <c r="BG58" s="115">
        <v>9.3044018488308868</v>
      </c>
      <c r="BI58">
        <f t="shared" si="9"/>
        <v>2008</v>
      </c>
      <c r="BJ58" s="306">
        <v>39478</v>
      </c>
      <c r="BK58">
        <f t="shared" si="10"/>
        <v>4.7721493929999994</v>
      </c>
      <c r="BL58">
        <v>4.8182237179999996</v>
      </c>
      <c r="BM58">
        <v>4.7260750680000001</v>
      </c>
      <c r="BO58">
        <f t="shared" si="11"/>
        <v>2011</v>
      </c>
      <c r="BP58" s="286">
        <v>40878</v>
      </c>
      <c r="BQ58">
        <f t="shared" si="12"/>
        <v>11.206250000000001</v>
      </c>
      <c r="BR58">
        <v>10.7575</v>
      </c>
      <c r="BS58">
        <v>11.654999999999999</v>
      </c>
      <c r="BT58">
        <f t="shared" si="1"/>
        <v>2018</v>
      </c>
      <c r="BU58" s="286">
        <v>43252</v>
      </c>
      <c r="BV58">
        <f t="shared" si="2"/>
        <v>2.3048500000000001</v>
      </c>
      <c r="BW58" s="580">
        <v>2.5592000000000001</v>
      </c>
      <c r="BX58" s="580">
        <v>2.0505</v>
      </c>
      <c r="BY58">
        <f t="shared" si="3"/>
        <v>2021</v>
      </c>
      <c r="BZ58" s="286">
        <v>44348</v>
      </c>
      <c r="CA58">
        <f t="shared" si="4"/>
        <v>1.6049</v>
      </c>
      <c r="CB58" s="580">
        <v>1.7318</v>
      </c>
      <c r="CC58" s="580">
        <v>1.478</v>
      </c>
      <c r="CD58" s="364">
        <f t="shared" si="5"/>
        <v>2022</v>
      </c>
      <c r="CE58" s="381">
        <v>44713</v>
      </c>
      <c r="CF58" s="364">
        <f t="shared" si="13"/>
        <v>2.0867499999999999</v>
      </c>
      <c r="CG58" s="411">
        <v>2.1955</v>
      </c>
      <c r="CH58" s="411">
        <v>1.978</v>
      </c>
      <c r="CI58" s="364">
        <f t="shared" si="6"/>
        <v>2024</v>
      </c>
      <c r="CJ58" s="381">
        <v>45444</v>
      </c>
      <c r="CK58" s="364">
        <f t="shared" si="7"/>
        <v>3.2079499999999999</v>
      </c>
      <c r="CL58" s="411">
        <v>3.2267999999999999</v>
      </c>
      <c r="CM58" s="411">
        <v>3.1890999999999998</v>
      </c>
    </row>
    <row r="59" spans="3:105">
      <c r="C59">
        <f t="shared" si="29"/>
        <v>2041</v>
      </c>
      <c r="D59" s="28">
        <f t="shared" si="51"/>
        <v>121.05007912761005</v>
      </c>
      <c r="E59" s="28">
        <f t="shared" si="52"/>
        <v>111.71698362901567</v>
      </c>
      <c r="F59" s="28">
        <f t="shared" si="53"/>
        <v>117.03052037768691</v>
      </c>
      <c r="G59" s="230">
        <f t="shared" si="44"/>
        <v>9.1240034985830416</v>
      </c>
      <c r="H59" s="230">
        <f t="shared" si="49"/>
        <v>11.703666262077991</v>
      </c>
      <c r="I59" s="287">
        <f t="shared" si="54"/>
        <v>15.169802958316696</v>
      </c>
      <c r="J59" s="287">
        <f t="shared" si="59"/>
        <v>16.851763755011433</v>
      </c>
      <c r="K59" s="226">
        <f t="shared" si="35"/>
        <v>7.2385291666666687</v>
      </c>
      <c r="L59" s="230">
        <f t="shared" ref="L59:L69" si="61">L58*(1+$T$56)</f>
        <v>7.4836588750000006</v>
      </c>
      <c r="M59" s="590">
        <f t="shared" si="40"/>
        <v>5.4832125000000005</v>
      </c>
      <c r="N59" s="590">
        <f t="shared" si="41"/>
        <v>7.3208083333333347</v>
      </c>
      <c r="O59" s="226"/>
      <c r="P59" s="485"/>
      <c r="Q59" s="574">
        <v>2.1999999999999999E-2</v>
      </c>
      <c r="R59" s="574">
        <v>2.1999999999999999E-2</v>
      </c>
      <c r="S59" s="169">
        <v>2.3E-2</v>
      </c>
      <c r="T59" s="169">
        <v>2.1999999999999999E-2</v>
      </c>
      <c r="U59" s="169">
        <v>1.7999999999999999E-2</v>
      </c>
      <c r="V59" s="169">
        <f t="shared" ref="V59" si="62">V58</f>
        <v>2.1000000000000001E-2</v>
      </c>
      <c r="W59" s="169"/>
      <c r="X59" s="487"/>
      <c r="Y59" s="287"/>
      <c r="Z59" s="287">
        <f t="shared" si="30"/>
        <v>5.6093182042800116</v>
      </c>
      <c r="AA59" s="287">
        <f t="shared" si="31"/>
        <v>1.411495103691375</v>
      </c>
      <c r="AB59" s="287">
        <f t="shared" si="58"/>
        <v>1.3678884548590708</v>
      </c>
      <c r="AC59" s="287">
        <v>1.9616503565022387</v>
      </c>
      <c r="AD59" s="287">
        <v>1.5021646874116246</v>
      </c>
      <c r="AE59" s="287">
        <v>1.5021646874116246</v>
      </c>
      <c r="AF59" s="577">
        <f t="shared" si="42"/>
        <v>2.134675084949706</v>
      </c>
      <c r="AG59" s="577">
        <f t="shared" si="43"/>
        <v>1.7898429558424458</v>
      </c>
      <c r="AH59" s="577">
        <f t="shared" si="45"/>
        <v>2.421619671071062</v>
      </c>
      <c r="AI59" s="577">
        <f t="shared" si="46"/>
        <v>2.0231252948188616</v>
      </c>
      <c r="AK59" s="472">
        <f t="shared" si="27"/>
        <v>2045</v>
      </c>
      <c r="AR59">
        <f t="shared" si="19"/>
        <v>2009</v>
      </c>
      <c r="AS59" s="307">
        <f t="shared" si="47"/>
        <v>39904</v>
      </c>
      <c r="AT59" s="115">
        <v>52.29</v>
      </c>
      <c r="AU59" s="115">
        <v>38.950000000000003</v>
      </c>
      <c r="AV59" s="287">
        <f t="shared" si="33"/>
        <v>46.553799999999995</v>
      </c>
      <c r="AW59" s="271">
        <v>416</v>
      </c>
      <c r="AX59" s="271">
        <v>304</v>
      </c>
      <c r="AY59" s="271">
        <f t="shared" si="21"/>
        <v>0.57777777777777772</v>
      </c>
      <c r="AZ59" s="271">
        <f t="shared" si="22"/>
        <v>0.42222222222222222</v>
      </c>
      <c r="BD59">
        <f t="shared" si="36"/>
        <v>2009</v>
      </c>
      <c r="BE59" s="306">
        <f t="shared" si="38"/>
        <v>39904</v>
      </c>
      <c r="BF59" s="114">
        <f t="shared" si="23"/>
        <v>6.837707993474714</v>
      </c>
      <c r="BG59" s="115">
        <v>6.837707993474714</v>
      </c>
      <c r="BI59">
        <f t="shared" si="9"/>
        <v>2008</v>
      </c>
      <c r="BJ59" s="306">
        <v>39507</v>
      </c>
      <c r="BK59">
        <f t="shared" si="10"/>
        <v>4.6831726289999995</v>
      </c>
      <c r="BL59">
        <v>4.7338942990000001</v>
      </c>
      <c r="BM59">
        <v>4.6324509589999998</v>
      </c>
      <c r="BO59">
        <f t="shared" si="11"/>
        <v>2012</v>
      </c>
      <c r="BP59" s="286">
        <v>40909</v>
      </c>
      <c r="BQ59">
        <f t="shared" si="12"/>
        <v>11.445452605</v>
      </c>
      <c r="BR59">
        <v>11.025905209999999</v>
      </c>
      <c r="BS59">
        <v>11.865</v>
      </c>
      <c r="BT59">
        <f t="shared" si="1"/>
        <v>2018</v>
      </c>
      <c r="BU59" s="286">
        <v>43282</v>
      </c>
      <c r="BV59">
        <f t="shared" si="2"/>
        <v>2.4473000000000003</v>
      </c>
      <c r="BW59" s="580">
        <v>2.6351</v>
      </c>
      <c r="BX59" s="580">
        <v>2.2595000000000001</v>
      </c>
      <c r="BY59">
        <f t="shared" si="3"/>
        <v>2021</v>
      </c>
      <c r="BZ59" s="286">
        <v>44378</v>
      </c>
      <c r="CA59">
        <f t="shared" si="4"/>
        <v>1.7172499999999999</v>
      </c>
      <c r="CB59" s="580">
        <v>1.776</v>
      </c>
      <c r="CC59" s="580">
        <v>1.6585000000000001</v>
      </c>
      <c r="CD59" s="364">
        <f t="shared" si="5"/>
        <v>2022</v>
      </c>
      <c r="CE59" s="381">
        <v>44743</v>
      </c>
      <c r="CF59" s="364">
        <f t="shared" si="13"/>
        <v>2.3380000000000001</v>
      </c>
      <c r="CG59" s="411">
        <v>2.3330000000000002</v>
      </c>
      <c r="CH59" s="411">
        <v>2.343</v>
      </c>
      <c r="CI59" s="364">
        <f t="shared" si="6"/>
        <v>2024</v>
      </c>
      <c r="CJ59" s="381">
        <v>45474</v>
      </c>
      <c r="CK59" s="364">
        <f t="shared" si="7"/>
        <v>3.24925</v>
      </c>
      <c r="CL59" s="411">
        <v>3.0531000000000001</v>
      </c>
      <c r="CM59" s="411">
        <v>3.4453999999999998</v>
      </c>
    </row>
    <row r="60" spans="3:105">
      <c r="C60">
        <f t="shared" si="29"/>
        <v>2042</v>
      </c>
      <c r="D60" s="28">
        <f t="shared" si="51"/>
        <v>123.59213078928985</v>
      </c>
      <c r="E60" s="28">
        <f t="shared" si="52"/>
        <v>114.06304028522499</v>
      </c>
      <c r="F60" s="28">
        <f t="shared" si="53"/>
        <v>119.48816130561832</v>
      </c>
      <c r="G60" s="230">
        <f t="shared" si="44"/>
        <v>9.3521035860476172</v>
      </c>
      <c r="H60" s="230">
        <f t="shared" si="49"/>
        <v>12.110953847998305</v>
      </c>
      <c r="I60" s="287">
        <f t="shared" si="54"/>
        <v>15.488368820441345</v>
      </c>
      <c r="J60" s="287">
        <f t="shared" si="59"/>
        <v>17.15509550260164</v>
      </c>
      <c r="K60" s="226">
        <f t="shared" si="35"/>
        <v>7.4050000000000002</v>
      </c>
      <c r="L60" s="230">
        <f t="shared" si="61"/>
        <v>7.6482993702500011</v>
      </c>
      <c r="M60" s="590">
        <f t="shared" si="40"/>
        <v>5.738483333333332</v>
      </c>
      <c r="N60" s="590">
        <f t="shared" si="41"/>
        <v>7.634595833333333</v>
      </c>
      <c r="O60" s="226"/>
      <c r="P60" s="485"/>
      <c r="Q60" s="574">
        <v>2.1999999999999999E-2</v>
      </c>
      <c r="R60" s="574">
        <v>2.1999999999999999E-2</v>
      </c>
      <c r="S60" s="169">
        <v>2.3E-2</v>
      </c>
      <c r="T60" s="169">
        <v>2.1999999999999999E-2</v>
      </c>
      <c r="U60" s="169">
        <v>1.7999999999999999E-2</v>
      </c>
      <c r="V60" s="169">
        <f t="shared" ref="V60" si="63">V59</f>
        <v>2.1000000000000001E-2</v>
      </c>
      <c r="W60" s="169"/>
      <c r="X60" s="487"/>
      <c r="Y60" s="287"/>
      <c r="Z60" s="287">
        <f t="shared" si="30"/>
        <v>5.7271138865698914</v>
      </c>
      <c r="AA60" s="287">
        <f t="shared" si="31"/>
        <v>1.4411365008688937</v>
      </c>
      <c r="AB60" s="287">
        <f t="shared" si="58"/>
        <v>1.3925104470465341</v>
      </c>
      <c r="AC60" s="287">
        <v>2.0038320171796222</v>
      </c>
      <c r="AD60" s="287">
        <v>1.5344659591015128</v>
      </c>
      <c r="AE60" s="287">
        <v>1.5344659591015128</v>
      </c>
      <c r="AF60" s="577">
        <f t="shared" si="42"/>
        <v>2.1816379368185994</v>
      </c>
      <c r="AG60" s="577">
        <f t="shared" si="43"/>
        <v>1.8292195008709797</v>
      </c>
      <c r="AH60" s="577">
        <f t="shared" si="45"/>
        <v>2.4748953038346255</v>
      </c>
      <c r="AI60" s="577">
        <f t="shared" si="46"/>
        <v>2.0676340513048768</v>
      </c>
      <c r="AK60" s="472">
        <f t="shared" si="27"/>
        <v>2046</v>
      </c>
      <c r="AR60">
        <f t="shared" si="19"/>
        <v>2009</v>
      </c>
      <c r="AS60" s="307">
        <f t="shared" si="47"/>
        <v>39934</v>
      </c>
      <c r="AT60" s="115">
        <v>43.56</v>
      </c>
      <c r="AU60" s="115">
        <v>29.22</v>
      </c>
      <c r="AV60" s="287">
        <f t="shared" si="33"/>
        <v>37.393799999999999</v>
      </c>
      <c r="AW60" s="271">
        <v>400</v>
      </c>
      <c r="AX60" s="271">
        <v>344</v>
      </c>
      <c r="AY60" s="271">
        <f t="shared" si="21"/>
        <v>0.5376344086021505</v>
      </c>
      <c r="AZ60" s="271">
        <f t="shared" si="22"/>
        <v>0.46236559139784944</v>
      </c>
      <c r="BD60">
        <f t="shared" si="36"/>
        <v>2009</v>
      </c>
      <c r="BE60" s="306">
        <f t="shared" si="38"/>
        <v>39934</v>
      </c>
      <c r="BF60" s="114">
        <f t="shared" si="23"/>
        <v>6.6337928221859714</v>
      </c>
      <c r="BG60" s="115">
        <v>6.6337928221859714</v>
      </c>
      <c r="BI60">
        <f t="shared" si="9"/>
        <v>2008</v>
      </c>
      <c r="BJ60" s="306">
        <v>39538</v>
      </c>
      <c r="BK60">
        <f t="shared" si="10"/>
        <v>4.4767958649999997</v>
      </c>
      <c r="BL60">
        <v>4.5331648810000003</v>
      </c>
      <c r="BM60">
        <v>4.420426849</v>
      </c>
      <c r="BO60">
        <f t="shared" si="11"/>
        <v>2012</v>
      </c>
      <c r="BP60" s="286">
        <v>40940</v>
      </c>
      <c r="BQ60">
        <f t="shared" si="12"/>
        <v>11.435452605</v>
      </c>
      <c r="BR60">
        <v>11.01590521</v>
      </c>
      <c r="BS60">
        <v>11.855</v>
      </c>
      <c r="BT60">
        <f t="shared" si="1"/>
        <v>2018</v>
      </c>
      <c r="BU60" s="286">
        <v>43313</v>
      </c>
      <c r="BV60">
        <f t="shared" si="2"/>
        <v>2.4517500000000001</v>
      </c>
      <c r="BW60" s="580">
        <v>2.6495000000000002</v>
      </c>
      <c r="BX60" s="580">
        <v>2.254</v>
      </c>
      <c r="BY60">
        <f t="shared" si="3"/>
        <v>2021</v>
      </c>
      <c r="BZ60" s="286">
        <v>44409</v>
      </c>
      <c r="CA60">
        <f t="shared" si="4"/>
        <v>1.7458999999999998</v>
      </c>
      <c r="CB60" s="580">
        <v>1.7952999999999999</v>
      </c>
      <c r="CC60" s="580">
        <v>1.6964999999999999</v>
      </c>
      <c r="CD60" s="364">
        <f t="shared" si="5"/>
        <v>2022</v>
      </c>
      <c r="CE60" s="381">
        <v>44774</v>
      </c>
      <c r="CF60" s="364">
        <f t="shared" si="13"/>
        <v>2.3852500000000001</v>
      </c>
      <c r="CG60" s="411">
        <v>2.3540000000000001</v>
      </c>
      <c r="CH60" s="411">
        <v>2.4165000000000001</v>
      </c>
      <c r="CI60" s="364">
        <f t="shared" si="6"/>
        <v>2024</v>
      </c>
      <c r="CJ60" s="381">
        <v>45505</v>
      </c>
      <c r="CK60" s="364">
        <f t="shared" si="7"/>
        <v>3.2547000000000001</v>
      </c>
      <c r="CL60" s="411">
        <v>3.0272000000000001</v>
      </c>
      <c r="CM60" s="411">
        <v>3.4822000000000002</v>
      </c>
    </row>
    <row r="61" spans="3:105">
      <c r="C61">
        <f t="shared" si="29"/>
        <v>2043</v>
      </c>
      <c r="D61" s="28">
        <f t="shared" si="51"/>
        <v>126.18756553586493</v>
      </c>
      <c r="E61" s="28">
        <f t="shared" si="52"/>
        <v>116.45836413121469</v>
      </c>
      <c r="F61" s="28">
        <f t="shared" si="53"/>
        <v>121.9974126930363</v>
      </c>
      <c r="G61" s="230">
        <f t="shared" si="44"/>
        <v>9.5859061756988062</v>
      </c>
      <c r="H61" s="230">
        <f t="shared" si="49"/>
        <v>12.532415041908646</v>
      </c>
      <c r="I61" s="287">
        <f t="shared" si="54"/>
        <v>15.813624565670612</v>
      </c>
      <c r="J61" s="287">
        <f t="shared" si="59"/>
        <v>17.46388722164847</v>
      </c>
      <c r="K61" s="230">
        <f t="shared" ref="K61:K69" si="64">K60*(1+$S$56)</f>
        <v>7.5679100000000004</v>
      </c>
      <c r="L61" s="230">
        <f t="shared" si="61"/>
        <v>7.8165619563955016</v>
      </c>
      <c r="M61" s="590">
        <f t="shared" si="40"/>
        <v>6.0442458333333322</v>
      </c>
      <c r="N61" s="590">
        <f t="shared" si="41"/>
        <v>8.0156333333333336</v>
      </c>
      <c r="O61" s="226"/>
      <c r="P61" s="485"/>
      <c r="Q61" s="574">
        <v>2.1999999999999999E-2</v>
      </c>
      <c r="R61" s="574">
        <v>2.3E-2</v>
      </c>
      <c r="S61" s="169">
        <v>2.1999999999999999E-2</v>
      </c>
      <c r="T61" s="169">
        <v>2.1999999999999999E-2</v>
      </c>
      <c r="U61" s="169">
        <v>1.7999999999999999E-2</v>
      </c>
      <c r="V61" s="169">
        <f t="shared" ref="V61" si="65">V60</f>
        <v>2.1000000000000001E-2</v>
      </c>
      <c r="W61" s="169"/>
      <c r="X61" s="487"/>
      <c r="Y61" s="287"/>
      <c r="Z61" s="287">
        <f t="shared" si="30"/>
        <v>5.8473832781878583</v>
      </c>
      <c r="AA61" s="287">
        <f t="shared" si="31"/>
        <v>1.4714003673871403</v>
      </c>
      <c r="AB61" s="287">
        <f t="shared" si="58"/>
        <v>1.4175756350933717</v>
      </c>
      <c r="AC61" s="287">
        <v>2.0468358206182615</v>
      </c>
      <c r="AD61" s="287">
        <v>1.5673967995725431</v>
      </c>
      <c r="AE61" s="287">
        <v>1.5673967995725431</v>
      </c>
      <c r="AF61" s="577">
        <f t="shared" si="42"/>
        <v>2.2318156093654271</v>
      </c>
      <c r="AG61" s="577">
        <f t="shared" si="43"/>
        <v>1.8712915493910121</v>
      </c>
      <c r="AH61" s="577">
        <f t="shared" si="45"/>
        <v>2.5293430005189874</v>
      </c>
      <c r="AI61" s="577">
        <f t="shared" si="46"/>
        <v>2.113122000433584</v>
      </c>
      <c r="AK61" s="472">
        <f t="shared" si="27"/>
        <v>2047</v>
      </c>
      <c r="AR61">
        <f t="shared" si="19"/>
        <v>2009</v>
      </c>
      <c r="AS61" s="307">
        <f t="shared" si="47"/>
        <v>39965</v>
      </c>
      <c r="AT61" s="115">
        <v>40.65</v>
      </c>
      <c r="AU61" s="115">
        <v>27.83</v>
      </c>
      <c r="AV61" s="287">
        <f t="shared" si="33"/>
        <v>35.1374</v>
      </c>
      <c r="AW61" s="271">
        <v>416</v>
      </c>
      <c r="AX61" s="271">
        <v>304</v>
      </c>
      <c r="AY61" s="271">
        <f t="shared" si="21"/>
        <v>0.57777777777777772</v>
      </c>
      <c r="AZ61" s="271">
        <f t="shared" si="22"/>
        <v>0.42222222222222222</v>
      </c>
      <c r="BD61">
        <f t="shared" si="36"/>
        <v>2009</v>
      </c>
      <c r="BE61" s="306">
        <f t="shared" si="38"/>
        <v>39965</v>
      </c>
      <c r="BF61" s="114">
        <f t="shared" si="23"/>
        <v>6.7153588907014683</v>
      </c>
      <c r="BG61" s="115">
        <v>6.7153588907014683</v>
      </c>
      <c r="BI61">
        <f t="shared" si="9"/>
        <v>2008</v>
      </c>
      <c r="BJ61" s="306">
        <v>39568</v>
      </c>
      <c r="BK61">
        <f t="shared" si="10"/>
        <v>4.08065547</v>
      </c>
      <c r="BL61">
        <v>4.1545668310000003</v>
      </c>
      <c r="BM61">
        <v>4.0067441090000004</v>
      </c>
      <c r="BO61">
        <f t="shared" si="11"/>
        <v>2012</v>
      </c>
      <c r="BP61" s="286">
        <v>40969</v>
      </c>
      <c r="BQ61">
        <f t="shared" si="12"/>
        <v>11.205452605</v>
      </c>
      <c r="BR61">
        <v>10.785905209999999</v>
      </c>
      <c r="BS61">
        <v>11.625</v>
      </c>
      <c r="BT61">
        <f t="shared" si="1"/>
        <v>2018</v>
      </c>
      <c r="BU61" s="286">
        <v>43344</v>
      </c>
      <c r="BV61">
        <f t="shared" si="2"/>
        <v>2.4714999999999998</v>
      </c>
      <c r="BW61" s="580">
        <v>2.6455000000000002</v>
      </c>
      <c r="BX61" s="580">
        <v>2.2974999999999999</v>
      </c>
      <c r="BY61">
        <f t="shared" si="3"/>
        <v>2021</v>
      </c>
      <c r="BZ61" s="286">
        <v>44440</v>
      </c>
      <c r="CA61">
        <f t="shared" si="4"/>
        <v>1.7490999999999999</v>
      </c>
      <c r="CB61" s="580">
        <v>1.7971999999999999</v>
      </c>
      <c r="CC61" s="580">
        <v>1.7010000000000001</v>
      </c>
      <c r="CD61" s="364">
        <f t="shared" si="5"/>
        <v>2022</v>
      </c>
      <c r="CE61" s="381">
        <v>44805</v>
      </c>
      <c r="CF61" s="364">
        <f t="shared" si="13"/>
        <v>2.3524000000000003</v>
      </c>
      <c r="CG61" s="411">
        <v>2.3468</v>
      </c>
      <c r="CH61" s="411">
        <v>2.3580000000000001</v>
      </c>
      <c r="CI61" s="364">
        <f t="shared" si="6"/>
        <v>2024</v>
      </c>
      <c r="CJ61" s="381">
        <v>45536</v>
      </c>
      <c r="CK61" s="364">
        <f t="shared" si="7"/>
        <v>3.5815000000000001</v>
      </c>
      <c r="CL61" s="411">
        <v>3.6749999999999998</v>
      </c>
      <c r="CM61" s="411">
        <v>3.488</v>
      </c>
    </row>
    <row r="62" spans="3:105">
      <c r="C62">
        <f t="shared" si="29"/>
        <v>2044</v>
      </c>
      <c r="D62" s="28">
        <f t="shared" si="51"/>
        <v>128.83750441211808</v>
      </c>
      <c r="E62" s="28">
        <f t="shared" si="52"/>
        <v>118.9039897779702</v>
      </c>
      <c r="F62" s="28">
        <f t="shared" si="53"/>
        <v>124.55935835959005</v>
      </c>
      <c r="G62" s="230">
        <f t="shared" si="44"/>
        <v>9.825553830091275</v>
      </c>
      <c r="H62" s="230">
        <f t="shared" si="49"/>
        <v>12.968543085367067</v>
      </c>
      <c r="I62" s="287">
        <f t="shared" si="54"/>
        <v>16.145710681549694</v>
      </c>
      <c r="J62" s="287">
        <f t="shared" si="59"/>
        <v>17.778237191638144</v>
      </c>
      <c r="K62" s="230">
        <f t="shared" si="64"/>
        <v>7.7344040200000004</v>
      </c>
      <c r="L62" s="230">
        <f t="shared" si="61"/>
        <v>7.9885263194362031</v>
      </c>
      <c r="M62" s="590">
        <f t="shared" si="40"/>
        <v>6.7006833333333331</v>
      </c>
      <c r="N62" s="590">
        <f t="shared" si="41"/>
        <v>8.4240333333333339</v>
      </c>
      <c r="O62" s="226"/>
      <c r="P62" s="485"/>
      <c r="Q62" s="574">
        <v>2.1999999999999999E-2</v>
      </c>
      <c r="R62" s="574">
        <v>2.1999999999999999E-2</v>
      </c>
      <c r="S62" s="169">
        <v>2.1999999999999999E-2</v>
      </c>
      <c r="T62" s="169">
        <v>2.1999999999999999E-2</v>
      </c>
      <c r="U62" s="169">
        <v>1.7999999999999999E-2</v>
      </c>
      <c r="V62" s="169">
        <f t="shared" ref="V62" si="66">V61</f>
        <v>2.1000000000000001E-2</v>
      </c>
      <c r="W62" s="169"/>
      <c r="X62" s="487"/>
      <c r="Y62" s="287"/>
      <c r="Z62" s="287">
        <f t="shared" si="30"/>
        <v>5.970178327029803</v>
      </c>
      <c r="AA62" s="287">
        <f t="shared" si="31"/>
        <v>1.5022997751022702</v>
      </c>
      <c r="AB62" s="287">
        <f t="shared" si="58"/>
        <v>1.4430919965250524</v>
      </c>
      <c r="AC62" s="287">
        <v>2.0909596981572163</v>
      </c>
      <c r="AD62" s="287">
        <v>1.6011853544447157</v>
      </c>
      <c r="AE62" s="287">
        <v>1.6011853544447157</v>
      </c>
      <c r="AF62" s="577">
        <f t="shared" si="42"/>
        <v>2.2809155527714666</v>
      </c>
      <c r="AG62" s="577">
        <f t="shared" si="43"/>
        <v>1.9124599634776143</v>
      </c>
      <c r="AH62" s="577">
        <f t="shared" si="45"/>
        <v>2.584988546530405</v>
      </c>
      <c r="AI62" s="577">
        <f t="shared" si="46"/>
        <v>2.1596106844431229</v>
      </c>
      <c r="AK62" s="472">
        <f t="shared" si="27"/>
        <v>2048</v>
      </c>
      <c r="AR62">
        <f t="shared" si="19"/>
        <v>2009</v>
      </c>
      <c r="AS62" s="307">
        <f t="shared" si="47"/>
        <v>39995</v>
      </c>
      <c r="AT62" s="115">
        <v>68.099999999999994</v>
      </c>
      <c r="AU62" s="115">
        <v>53.05</v>
      </c>
      <c r="AV62" s="287">
        <f t="shared" si="33"/>
        <v>61.628499999999988</v>
      </c>
      <c r="AW62" s="271">
        <v>416</v>
      </c>
      <c r="AX62" s="271">
        <v>328</v>
      </c>
      <c r="AY62" s="271">
        <f t="shared" si="21"/>
        <v>0.55913978494623651</v>
      </c>
      <c r="AZ62" s="271">
        <f t="shared" si="22"/>
        <v>0.44086021505376344</v>
      </c>
      <c r="BD62">
        <f t="shared" si="36"/>
        <v>2009</v>
      </c>
      <c r="BE62" s="306">
        <f t="shared" si="38"/>
        <v>39995</v>
      </c>
      <c r="BF62" s="114">
        <f t="shared" si="23"/>
        <v>6.8193556280587275</v>
      </c>
      <c r="BG62" s="115">
        <v>6.8193556280587275</v>
      </c>
      <c r="BI62">
        <f t="shared" si="9"/>
        <v>2008</v>
      </c>
      <c r="BJ62" s="306">
        <v>39599</v>
      </c>
      <c r="BK62">
        <f t="shared" si="10"/>
        <v>4.0389790699999999</v>
      </c>
      <c r="BL62">
        <v>4.1133281400000001</v>
      </c>
      <c r="BM62">
        <v>3.9646300000000001</v>
      </c>
      <c r="BO62">
        <f t="shared" si="11"/>
        <v>2012</v>
      </c>
      <c r="BP62" s="286">
        <v>41000</v>
      </c>
      <c r="BQ62">
        <f t="shared" si="12"/>
        <v>9.7192026049999996</v>
      </c>
      <c r="BR62">
        <v>9.7984052100000003</v>
      </c>
      <c r="BS62">
        <v>9.64</v>
      </c>
      <c r="BT62">
        <f t="shared" si="1"/>
        <v>2018</v>
      </c>
      <c r="BU62" s="286">
        <v>43374</v>
      </c>
      <c r="BV62">
        <f t="shared" si="2"/>
        <v>2.5008999999999997</v>
      </c>
      <c r="BW62" s="580">
        <v>2.6722999999999999</v>
      </c>
      <c r="BX62" s="580">
        <v>2.3294999999999999</v>
      </c>
      <c r="BY62">
        <f t="shared" si="3"/>
        <v>2021</v>
      </c>
      <c r="BZ62" s="286">
        <v>44470</v>
      </c>
      <c r="CA62">
        <f t="shared" si="4"/>
        <v>1.7728999999999999</v>
      </c>
      <c r="CB62" s="580">
        <v>1.8072999999999999</v>
      </c>
      <c r="CC62" s="580">
        <v>1.7384999999999999</v>
      </c>
      <c r="CD62" s="364">
        <f t="shared" si="5"/>
        <v>2022</v>
      </c>
      <c r="CE62" s="381">
        <v>44835</v>
      </c>
      <c r="CF62" s="364">
        <f t="shared" si="13"/>
        <v>2.3567499999999999</v>
      </c>
      <c r="CG62" s="411">
        <v>2.3405</v>
      </c>
      <c r="CH62" s="411">
        <v>2.3730000000000002</v>
      </c>
      <c r="CI62" s="364">
        <f t="shared" si="6"/>
        <v>2024</v>
      </c>
      <c r="CJ62" s="381">
        <v>45566</v>
      </c>
      <c r="CK62" s="364">
        <f t="shared" si="7"/>
        <v>3.6587499999999999</v>
      </c>
      <c r="CL62" s="411">
        <v>3.7749999999999999</v>
      </c>
      <c r="CM62" s="411">
        <v>3.5425</v>
      </c>
    </row>
    <row r="63" spans="3:105">
      <c r="C63">
        <f t="shared" si="29"/>
        <v>2045</v>
      </c>
      <c r="D63" s="28">
        <f t="shared" si="51"/>
        <v>131.54309200477255</v>
      </c>
      <c r="E63" s="28">
        <f t="shared" si="52"/>
        <v>121.40097356330756</v>
      </c>
      <c r="F63" s="28">
        <f t="shared" si="53"/>
        <v>127.17510488514142</v>
      </c>
      <c r="G63" s="230">
        <f t="shared" si="44"/>
        <v>10.071192675843555</v>
      </c>
      <c r="H63" s="230">
        <f t="shared" si="49"/>
        <v>13.41984838473784</v>
      </c>
      <c r="I63" s="287">
        <f t="shared" si="54"/>
        <v>16.484770605862238</v>
      </c>
      <c r="J63" s="287">
        <f t="shared" si="59"/>
        <v>18.098245461087632</v>
      </c>
      <c r="K63" s="230">
        <f t="shared" si="64"/>
        <v>7.9045609084400006</v>
      </c>
      <c r="L63" s="230">
        <f t="shared" si="61"/>
        <v>8.164273898463799</v>
      </c>
      <c r="M63" s="577">
        <f>M62*(1+$R$62)</f>
        <v>6.8480983666666662</v>
      </c>
      <c r="N63" s="590">
        <f t="shared" si="41"/>
        <v>8.8254416666666682</v>
      </c>
      <c r="O63" s="226"/>
      <c r="P63" s="485"/>
      <c r="Q63" s="574">
        <v>2.1999999999999999E-2</v>
      </c>
      <c r="R63" s="574">
        <v>2.1999999999999999E-2</v>
      </c>
      <c r="S63" s="169">
        <v>2.1999999999999999E-2</v>
      </c>
      <c r="T63" s="169">
        <v>2.1999999999999999E-2</v>
      </c>
      <c r="U63" s="169">
        <v>1.7999999999999999E-2</v>
      </c>
      <c r="V63" s="169">
        <f t="shared" ref="V63" si="67">V62</f>
        <v>2.1000000000000001E-2</v>
      </c>
      <c r="W63" s="169"/>
      <c r="X63" s="487"/>
      <c r="Y63" s="287"/>
      <c r="Z63" s="287">
        <f t="shared" si="30"/>
        <v>6.0955520718974281</v>
      </c>
      <c r="AA63" s="287">
        <f t="shared" si="31"/>
        <v>1.5338480703794177</v>
      </c>
      <c r="AB63" s="287">
        <f t="shared" si="58"/>
        <v>1.4690676524625033</v>
      </c>
      <c r="AC63" s="287">
        <v>2.1361590832077506</v>
      </c>
      <c r="AD63" s="287">
        <v>1.6357974961500799</v>
      </c>
      <c r="AE63" s="287">
        <v>1.6357974961500799</v>
      </c>
      <c r="AF63" s="577">
        <f t="shared" si="42"/>
        <v>2.3310956949324391</v>
      </c>
      <c r="AG63" s="577">
        <f t="shared" si="43"/>
        <v>1.9545340826741218</v>
      </c>
      <c r="AH63" s="577">
        <f t="shared" si="45"/>
        <v>2.6418582945540741</v>
      </c>
      <c r="AI63" s="577">
        <f t="shared" si="46"/>
        <v>2.2071221195008714</v>
      </c>
      <c r="AK63" s="472">
        <f t="shared" si="27"/>
        <v>2049</v>
      </c>
      <c r="AR63">
        <f t="shared" si="19"/>
        <v>2009</v>
      </c>
      <c r="AS63" s="307">
        <f t="shared" si="47"/>
        <v>40026</v>
      </c>
      <c r="AT63" s="115">
        <v>80.739999999999995</v>
      </c>
      <c r="AU63" s="115">
        <v>62.97</v>
      </c>
      <c r="AV63" s="287">
        <f t="shared" si="33"/>
        <v>73.098899999999986</v>
      </c>
      <c r="AW63" s="271">
        <v>416</v>
      </c>
      <c r="AX63" s="271">
        <v>328</v>
      </c>
      <c r="AY63" s="271">
        <f t="shared" si="21"/>
        <v>0.55913978494623651</v>
      </c>
      <c r="AZ63" s="271">
        <f t="shared" si="22"/>
        <v>0.44086021505376344</v>
      </c>
      <c r="BD63">
        <f t="shared" si="36"/>
        <v>2009</v>
      </c>
      <c r="BE63" s="306">
        <f t="shared" si="38"/>
        <v>40026</v>
      </c>
      <c r="BF63" s="114">
        <f t="shared" si="23"/>
        <v>6.9111174551386618</v>
      </c>
      <c r="BG63" s="115">
        <v>6.9111174551386618</v>
      </c>
      <c r="BI63">
        <f t="shared" si="9"/>
        <v>2008</v>
      </c>
      <c r="BJ63" s="306">
        <v>39629</v>
      </c>
      <c r="BK63">
        <f t="shared" si="10"/>
        <v>4.0555826694999997</v>
      </c>
      <c r="BL63">
        <v>4.1303694489999998</v>
      </c>
      <c r="BM63">
        <v>3.98079589</v>
      </c>
      <c r="BO63">
        <f t="shared" si="11"/>
        <v>2012</v>
      </c>
      <c r="BP63" s="286">
        <v>41030</v>
      </c>
      <c r="BQ63">
        <f t="shared" si="12"/>
        <v>9.6742026050000014</v>
      </c>
      <c r="BR63">
        <v>9.7534052100000004</v>
      </c>
      <c r="BS63">
        <v>9.5950000000000006</v>
      </c>
      <c r="BT63">
        <f t="shared" si="1"/>
        <v>2018</v>
      </c>
      <c r="BU63" s="286">
        <v>43405</v>
      </c>
      <c r="BV63">
        <f t="shared" si="2"/>
        <v>2.9172500000000001</v>
      </c>
      <c r="BW63" s="580">
        <v>2.863</v>
      </c>
      <c r="BX63" s="580">
        <v>2.9714999999999998</v>
      </c>
      <c r="BY63">
        <f t="shared" si="3"/>
        <v>2021</v>
      </c>
      <c r="BZ63" s="286">
        <v>44501</v>
      </c>
      <c r="CA63">
        <f t="shared" si="4"/>
        <v>2.39005</v>
      </c>
      <c r="CB63" s="580">
        <v>2.4327999999999999</v>
      </c>
      <c r="CC63" s="580">
        <v>2.3473000000000002</v>
      </c>
      <c r="CD63" s="364">
        <f t="shared" si="5"/>
        <v>2022</v>
      </c>
      <c r="CE63" s="381">
        <v>44866</v>
      </c>
      <c r="CF63" s="364">
        <f t="shared" si="13"/>
        <v>2.8391500000000001</v>
      </c>
      <c r="CG63" s="411">
        <v>2.5948000000000002</v>
      </c>
      <c r="CH63" s="411">
        <v>3.0834999999999999</v>
      </c>
      <c r="CI63" s="364">
        <f t="shared" si="6"/>
        <v>2024</v>
      </c>
      <c r="CJ63" s="381">
        <v>45597</v>
      </c>
      <c r="CK63" s="364">
        <f t="shared" si="7"/>
        <v>4.1105499999999999</v>
      </c>
      <c r="CL63" s="411">
        <v>3.8864999999999998</v>
      </c>
      <c r="CM63" s="411">
        <v>4.3346</v>
      </c>
    </row>
    <row r="64" spans="3:105">
      <c r="C64">
        <f t="shared" si="29"/>
        <v>2046</v>
      </c>
      <c r="D64" s="28">
        <f t="shared" si="51"/>
        <v>134.30549693687277</v>
      </c>
      <c r="E64" s="28">
        <f t="shared" si="52"/>
        <v>123.95039400813701</v>
      </c>
      <c r="F64" s="28">
        <f t="shared" si="53"/>
        <v>129.84578208772939</v>
      </c>
      <c r="G64" s="230">
        <f t="shared" si="44"/>
        <v>10.322972492739643</v>
      </c>
      <c r="H64" s="230">
        <f t="shared" si="49"/>
        <v>13.886859108526716</v>
      </c>
      <c r="I64" s="287">
        <f t="shared" si="54"/>
        <v>16.830950788585344</v>
      </c>
      <c r="J64" s="287">
        <f t="shared" si="59"/>
        <v>18.424013879387211</v>
      </c>
      <c r="K64" s="230">
        <f t="shared" si="64"/>
        <v>8.0784612484256808</v>
      </c>
      <c r="L64" s="230">
        <f t="shared" si="61"/>
        <v>8.3438879242300033</v>
      </c>
      <c r="M64" s="577">
        <f t="shared" ref="M64:M72" si="68">M63*(1+$R$62)</f>
        <v>6.998756530733333</v>
      </c>
      <c r="N64" s="590">
        <f t="shared" si="41"/>
        <v>10.090566666666668</v>
      </c>
      <c r="O64" s="226"/>
      <c r="P64" s="485"/>
      <c r="Q64" s="574">
        <v>2.1999999999999999E-2</v>
      </c>
      <c r="R64" s="574">
        <v>2.1999999999999999E-2</v>
      </c>
      <c r="S64" s="169">
        <v>2.1999999999999999E-2</v>
      </c>
      <c r="T64" s="169">
        <v>2.1999999999999999E-2</v>
      </c>
      <c r="U64" s="169">
        <v>1.7999999999999999E-2</v>
      </c>
      <c r="V64" s="169">
        <f t="shared" ref="V64" si="69">V63</f>
        <v>2.1000000000000001E-2</v>
      </c>
      <c r="W64" s="169"/>
      <c r="X64" s="487"/>
      <c r="Y64" s="287"/>
      <c r="Z64" s="287">
        <f t="shared" si="30"/>
        <v>6.2235586654072739</v>
      </c>
      <c r="AA64" s="287">
        <f t="shared" si="31"/>
        <v>1.5660588798573853</v>
      </c>
      <c r="AB64" s="287">
        <f t="shared" si="58"/>
        <v>1.4955108702068283</v>
      </c>
      <c r="AC64" s="287">
        <v>2.1823355241100773</v>
      </c>
      <c r="AD64" s="287">
        <v>1.6711578337779878</v>
      </c>
      <c r="AE64" s="287">
        <v>1.6711578337779878</v>
      </c>
      <c r="AF64" s="577">
        <f t="shared" si="42"/>
        <v>2.3823798002209529</v>
      </c>
      <c r="AG64" s="577">
        <f t="shared" si="43"/>
        <v>1.9975338324929526</v>
      </c>
      <c r="AH64" s="577">
        <f t="shared" si="45"/>
        <v>2.6999791770342636</v>
      </c>
      <c r="AI64" s="577">
        <f t="shared" si="46"/>
        <v>2.2556788061298905</v>
      </c>
      <c r="AK64" s="472">
        <f t="shared" si="27"/>
        <v>2050</v>
      </c>
      <c r="AR64">
        <f t="shared" si="19"/>
        <v>2009</v>
      </c>
      <c r="AS64" s="307">
        <f t="shared" si="47"/>
        <v>40057</v>
      </c>
      <c r="AT64" s="115">
        <v>79.16</v>
      </c>
      <c r="AU64" s="115">
        <v>61.73</v>
      </c>
      <c r="AV64" s="287">
        <f t="shared" si="33"/>
        <v>71.665099999999995</v>
      </c>
      <c r="AW64" s="271">
        <v>400</v>
      </c>
      <c r="AX64" s="271">
        <v>320</v>
      </c>
      <c r="AY64" s="271">
        <f t="shared" si="21"/>
        <v>0.55555555555555558</v>
      </c>
      <c r="AZ64" s="271">
        <f t="shared" si="22"/>
        <v>0.44444444444444442</v>
      </c>
      <c r="BD64">
        <f t="shared" si="36"/>
        <v>2009</v>
      </c>
      <c r="BE64" s="306">
        <f t="shared" si="38"/>
        <v>40057</v>
      </c>
      <c r="BF64" s="114">
        <f t="shared" si="23"/>
        <v>7.0283686786296897</v>
      </c>
      <c r="BG64" s="115">
        <v>7.0283686786296897</v>
      </c>
      <c r="BI64">
        <f t="shared" si="9"/>
        <v>2008</v>
      </c>
      <c r="BJ64" s="306">
        <v>39660</v>
      </c>
      <c r="BK64">
        <f t="shared" si="10"/>
        <v>4.0952517359999998</v>
      </c>
      <c r="BL64">
        <v>4.1703303219999999</v>
      </c>
      <c r="BM64">
        <v>4.0201731499999998</v>
      </c>
      <c r="BO64">
        <f t="shared" si="11"/>
        <v>2012</v>
      </c>
      <c r="BP64" s="286">
        <v>41061</v>
      </c>
      <c r="BQ64">
        <f t="shared" si="12"/>
        <v>9.7542026049999997</v>
      </c>
      <c r="BR64">
        <v>9.8334052100000005</v>
      </c>
      <c r="BS64">
        <v>9.6750000000000007</v>
      </c>
      <c r="BT64">
        <f t="shared" si="1"/>
        <v>2018</v>
      </c>
      <c r="BU64" s="286">
        <v>43435</v>
      </c>
      <c r="BV64">
        <f t="shared" si="2"/>
        <v>3.19095</v>
      </c>
      <c r="BW64" s="580">
        <v>3.0173999999999999</v>
      </c>
      <c r="BX64" s="580">
        <v>3.3645</v>
      </c>
      <c r="BY64">
        <f t="shared" si="3"/>
        <v>2021</v>
      </c>
      <c r="BZ64" s="286">
        <v>44531</v>
      </c>
      <c r="CA64">
        <f t="shared" si="4"/>
        <v>2.6388499999999997</v>
      </c>
      <c r="CB64" s="580">
        <v>2.6084000000000001</v>
      </c>
      <c r="CC64" s="580">
        <v>2.6692999999999998</v>
      </c>
      <c r="CD64" s="364">
        <f t="shared" si="5"/>
        <v>2022</v>
      </c>
      <c r="CE64" s="381">
        <v>44896</v>
      </c>
      <c r="CF64" s="364">
        <f t="shared" si="13"/>
        <v>3.2290000000000001</v>
      </c>
      <c r="CG64" s="411">
        <v>2.7865000000000002</v>
      </c>
      <c r="CH64" s="411">
        <v>3.6715</v>
      </c>
      <c r="CI64" s="364">
        <f t="shared" si="6"/>
        <v>2024</v>
      </c>
      <c r="CJ64" s="381">
        <v>45627</v>
      </c>
      <c r="CK64" s="364">
        <f t="shared" si="7"/>
        <v>4.9512499999999999</v>
      </c>
      <c r="CL64" s="411">
        <v>4.8352000000000004</v>
      </c>
      <c r="CM64" s="411">
        <v>5.0673000000000004</v>
      </c>
    </row>
    <row r="65" spans="3:91">
      <c r="C65">
        <f t="shared" si="29"/>
        <v>2047</v>
      </c>
      <c r="D65" s="28">
        <f t="shared" si="51"/>
        <v>137.12591237254708</v>
      </c>
      <c r="E65" s="28">
        <f t="shared" si="52"/>
        <v>126.55335228230787</v>
      </c>
      <c r="F65" s="28">
        <f t="shared" si="53"/>
        <v>132.57254351157169</v>
      </c>
      <c r="G65" s="230">
        <f t="shared" si="44"/>
        <v>10.581046805058133</v>
      </c>
      <c r="H65" s="230">
        <f t="shared" si="49"/>
        <v>14.370121805503445</v>
      </c>
      <c r="I65" s="287">
        <f t="shared" si="54"/>
        <v>17.184400755145635</v>
      </c>
      <c r="J65" s="287">
        <f t="shared" si="59"/>
        <v>18.755646129216181</v>
      </c>
      <c r="K65" s="230">
        <f t="shared" si="64"/>
        <v>8.2561873958910468</v>
      </c>
      <c r="L65" s="230">
        <f t="shared" si="61"/>
        <v>8.5274534585630644</v>
      </c>
      <c r="M65" s="577">
        <f t="shared" si="68"/>
        <v>7.1527291744094663</v>
      </c>
      <c r="N65" s="590">
        <f t="shared" si="41"/>
        <v>10.571341666666667</v>
      </c>
      <c r="O65" s="226"/>
      <c r="P65" s="485"/>
      <c r="Q65" s="574">
        <v>2.1999999999999999E-2</v>
      </c>
      <c r="R65" s="574">
        <v>2.1999999999999999E-2</v>
      </c>
      <c r="S65" s="169">
        <v>2.1999999999999999E-2</v>
      </c>
      <c r="T65" s="169">
        <v>2.1999999999999999E-2</v>
      </c>
      <c r="U65" s="169">
        <v>1.7999999999999999E-2</v>
      </c>
      <c r="V65" s="169">
        <f t="shared" ref="V65:V73" si="70">V64</f>
        <v>2.1000000000000001E-2</v>
      </c>
      <c r="W65" s="169"/>
      <c r="X65" s="487"/>
      <c r="Y65" s="287"/>
      <c r="Z65" s="287"/>
      <c r="AA65" s="287"/>
      <c r="AB65" s="287"/>
      <c r="AC65" s="287"/>
      <c r="AD65" s="287"/>
      <c r="AE65" s="287"/>
      <c r="AF65" s="577">
        <f t="shared" si="42"/>
        <v>2.4347921558258139</v>
      </c>
      <c r="AG65" s="577">
        <f t="shared" si="43"/>
        <v>2.0414795768077978</v>
      </c>
      <c r="AH65" s="577">
        <f t="shared" si="45"/>
        <v>2.7593787189290175</v>
      </c>
      <c r="AI65" s="577">
        <f t="shared" si="46"/>
        <v>2.305303739864748</v>
      </c>
      <c r="AK65" s="472">
        <f t="shared" si="27"/>
        <v>2051</v>
      </c>
      <c r="AR65">
        <f t="shared" si="19"/>
        <v>2009</v>
      </c>
      <c r="AS65" s="307">
        <f t="shared" si="47"/>
        <v>40087</v>
      </c>
      <c r="AT65" s="115">
        <v>54.914999999999999</v>
      </c>
      <c r="AU65" s="115">
        <v>48.502499999999998</v>
      </c>
      <c r="AV65" s="287">
        <f t="shared" si="33"/>
        <v>52.157624999999996</v>
      </c>
      <c r="AW65" s="271">
        <v>432</v>
      </c>
      <c r="AX65" s="271">
        <v>312</v>
      </c>
      <c r="AY65" s="271">
        <f t="shared" si="21"/>
        <v>0.58064516129032262</v>
      </c>
      <c r="AZ65" s="271">
        <f t="shared" si="22"/>
        <v>0.41935483870967744</v>
      </c>
      <c r="BD65">
        <f t="shared" si="36"/>
        <v>2009</v>
      </c>
      <c r="BE65" s="306">
        <f t="shared" si="38"/>
        <v>40087</v>
      </c>
      <c r="BF65" s="114">
        <f t="shared" si="23"/>
        <v>7.1802854812398049</v>
      </c>
      <c r="BG65" s="115">
        <v>7.1802854812398049</v>
      </c>
      <c r="BI65">
        <f t="shared" si="9"/>
        <v>2008</v>
      </c>
      <c r="BJ65" s="306">
        <v>39691</v>
      </c>
      <c r="BK65">
        <f t="shared" si="10"/>
        <v>4.1132553359999999</v>
      </c>
      <c r="BL65">
        <v>4.1887716309999998</v>
      </c>
      <c r="BM65">
        <v>4.037739041</v>
      </c>
      <c r="BO65">
        <f t="shared" si="11"/>
        <v>2012</v>
      </c>
      <c r="BP65" s="286">
        <v>41091</v>
      </c>
      <c r="BQ65">
        <f t="shared" si="12"/>
        <v>9.8542026050000011</v>
      </c>
      <c r="BR65">
        <v>9.9334052100000001</v>
      </c>
      <c r="BS65">
        <v>9.7750000000000004</v>
      </c>
      <c r="BT65">
        <f t="shared" si="1"/>
        <v>2019</v>
      </c>
      <c r="BU65" s="286">
        <v>43466</v>
      </c>
      <c r="BV65">
        <f t="shared" si="2"/>
        <v>3.1271500000000003</v>
      </c>
      <c r="BW65" s="580">
        <v>3.1008</v>
      </c>
      <c r="BX65" s="580">
        <v>3.1535000000000002</v>
      </c>
      <c r="BY65">
        <f t="shared" si="3"/>
        <v>2022</v>
      </c>
      <c r="BZ65" s="286">
        <v>44562</v>
      </c>
      <c r="CA65">
        <f t="shared" si="4"/>
        <v>2.6552499999999997</v>
      </c>
      <c r="CB65" s="580">
        <v>2.6781999999999999</v>
      </c>
      <c r="CC65" s="580">
        <v>2.6322999999999999</v>
      </c>
      <c r="CD65" s="364">
        <f t="shared" si="5"/>
        <v>2023</v>
      </c>
      <c r="CE65" s="381">
        <v>44927</v>
      </c>
      <c r="CF65" s="364">
        <f t="shared" si="13"/>
        <v>3.2792500000000002</v>
      </c>
      <c r="CG65" s="411">
        <v>2.9655</v>
      </c>
      <c r="CH65" s="411">
        <v>3.593</v>
      </c>
      <c r="CI65" s="364">
        <f t="shared" si="6"/>
        <v>2025</v>
      </c>
      <c r="CJ65" s="381">
        <v>45658</v>
      </c>
      <c r="CK65" s="364">
        <f t="shared" si="7"/>
        <v>4.4400000000000004</v>
      </c>
      <c r="CL65" s="411">
        <v>3.7985000000000002</v>
      </c>
      <c r="CM65" s="411">
        <v>5.0815000000000001</v>
      </c>
    </row>
    <row r="66" spans="3:91">
      <c r="C66">
        <f t="shared" si="29"/>
        <v>2048</v>
      </c>
      <c r="D66" s="28">
        <f t="shared" si="51"/>
        <v>140.00555653237055</v>
      </c>
      <c r="E66" s="28">
        <f t="shared" si="52"/>
        <v>129.21097268023632</v>
      </c>
      <c r="F66" s="28">
        <f t="shared" si="53"/>
        <v>135.3565669253147</v>
      </c>
      <c r="G66" s="230">
        <f t="shared" si="44"/>
        <v>10.845572975184584</v>
      </c>
      <c r="H66" s="230">
        <f t="shared" si="49"/>
        <v>14.870202044334963</v>
      </c>
      <c r="I66" s="287">
        <f t="shared" si="54"/>
        <v>17.545273171003693</v>
      </c>
      <c r="J66" s="287">
        <f t="shared" si="59"/>
        <v>19.093247759542074</v>
      </c>
      <c r="K66" s="230">
        <f t="shared" si="64"/>
        <v>8.4378235186006503</v>
      </c>
      <c r="L66" s="230">
        <f t="shared" si="61"/>
        <v>8.7150574346514524</v>
      </c>
      <c r="M66" s="577">
        <f t="shared" si="68"/>
        <v>7.3100892162464746</v>
      </c>
      <c r="N66" s="590">
        <f t="shared" si="41"/>
        <v>11.044304166666668</v>
      </c>
      <c r="O66" s="226"/>
      <c r="Q66" s="574">
        <v>2.1999999999999999E-2</v>
      </c>
      <c r="R66" s="574">
        <v>2.1999999999999999E-2</v>
      </c>
      <c r="S66" s="169">
        <v>2.1999999999999999E-2</v>
      </c>
      <c r="T66" s="169">
        <v>2.1999999999999999E-2</v>
      </c>
      <c r="U66" s="169">
        <v>1.7999999999999999E-2</v>
      </c>
      <c r="V66" s="169">
        <f t="shared" si="70"/>
        <v>2.1000000000000001E-2</v>
      </c>
      <c r="AF66" s="577">
        <f t="shared" si="42"/>
        <v>2.4883575832539817</v>
      </c>
      <c r="AG66" s="577">
        <f t="shared" si="43"/>
        <v>2.0863921274975694</v>
      </c>
      <c r="AH66" s="577">
        <f t="shared" si="45"/>
        <v>2.820085050745456</v>
      </c>
      <c r="AI66" s="577">
        <f t="shared" si="46"/>
        <v>2.3560204221417727</v>
      </c>
      <c r="AR66">
        <f t="shared" si="19"/>
        <v>2009</v>
      </c>
      <c r="AS66" s="307">
        <f>EOMONTH(AS65,0)+1</f>
        <v>40118</v>
      </c>
      <c r="AT66" s="115">
        <v>67.784999999999997</v>
      </c>
      <c r="AU66" s="115">
        <v>57.765000000000001</v>
      </c>
      <c r="AV66" s="287">
        <f t="shared" si="33"/>
        <v>63.476399999999998</v>
      </c>
      <c r="AW66" s="271">
        <v>384</v>
      </c>
      <c r="AX66" s="271">
        <v>336</v>
      </c>
      <c r="AY66" s="271">
        <f t="shared" si="21"/>
        <v>0.53333333333333333</v>
      </c>
      <c r="AZ66" s="271">
        <f t="shared" si="22"/>
        <v>0.46666666666666667</v>
      </c>
      <c r="BD66">
        <f t="shared" si="36"/>
        <v>2009</v>
      </c>
      <c r="BE66" s="306">
        <f t="shared" si="38"/>
        <v>40118</v>
      </c>
      <c r="BF66" s="114">
        <f t="shared" si="23"/>
        <v>8.0129051114736267</v>
      </c>
      <c r="BG66" s="115">
        <v>8.0129051114736267</v>
      </c>
      <c r="BI66">
        <f t="shared" si="9"/>
        <v>2008</v>
      </c>
      <c r="BJ66" s="306">
        <v>39721</v>
      </c>
      <c r="BK66">
        <f t="shared" si="10"/>
        <v>4.1018589360000002</v>
      </c>
      <c r="BL66">
        <v>4.177812941</v>
      </c>
      <c r="BM66">
        <v>4.0259049310000004</v>
      </c>
      <c r="BO66">
        <f t="shared" si="11"/>
        <v>2012</v>
      </c>
      <c r="BP66" s="286">
        <v>41122</v>
      </c>
      <c r="BQ66">
        <f t="shared" si="12"/>
        <v>9.9292026050000004</v>
      </c>
      <c r="BR66">
        <v>10.008405209999999</v>
      </c>
      <c r="BS66">
        <v>9.85</v>
      </c>
      <c r="BT66">
        <f t="shared" si="1"/>
        <v>2019</v>
      </c>
      <c r="BU66" s="286">
        <v>43497</v>
      </c>
      <c r="BV66">
        <f t="shared" si="2"/>
        <v>3.0002500000000003</v>
      </c>
      <c r="BW66" s="580">
        <v>3.0665</v>
      </c>
      <c r="BX66" s="580">
        <v>2.9340000000000002</v>
      </c>
      <c r="BY66">
        <f t="shared" si="3"/>
        <v>2022</v>
      </c>
      <c r="BZ66" s="286">
        <v>44593</v>
      </c>
      <c r="CA66">
        <f t="shared" si="4"/>
        <v>2.6064499999999997</v>
      </c>
      <c r="CB66" s="580">
        <v>2.6631</v>
      </c>
      <c r="CC66" s="580">
        <v>2.5497999999999998</v>
      </c>
      <c r="CD66" s="364">
        <f t="shared" si="5"/>
        <v>2023</v>
      </c>
      <c r="CE66" s="381">
        <v>44958</v>
      </c>
      <c r="CF66" s="364">
        <f t="shared" si="13"/>
        <v>3.1252499999999999</v>
      </c>
      <c r="CG66" s="411">
        <v>2.8864999999999998</v>
      </c>
      <c r="CH66" s="411">
        <v>3.3639999999999999</v>
      </c>
      <c r="CI66" s="364">
        <f t="shared" si="6"/>
        <v>2025</v>
      </c>
      <c r="CJ66" s="381">
        <v>45689</v>
      </c>
      <c r="CK66" s="364">
        <f t="shared" si="7"/>
        <v>4.3125999999999998</v>
      </c>
      <c r="CL66" s="411">
        <v>3.7147000000000001</v>
      </c>
      <c r="CM66" s="411">
        <v>4.9104999999999999</v>
      </c>
    </row>
    <row r="67" spans="3:91">
      <c r="C67">
        <f t="shared" si="29"/>
        <v>2049</v>
      </c>
      <c r="D67" s="28">
        <f t="shared" si="51"/>
        <v>142.94567321955032</v>
      </c>
      <c r="E67" s="28">
        <f t="shared" si="52"/>
        <v>131.92440310652128</v>
      </c>
      <c r="F67" s="28">
        <f t="shared" si="53"/>
        <v>138.19905483074629</v>
      </c>
      <c r="G67" s="230">
        <f t="shared" si="44"/>
        <v>11.116712299564199</v>
      </c>
      <c r="H67" s="230">
        <f t="shared" si="49"/>
        <v>15.387685075477819</v>
      </c>
      <c r="I67" s="287">
        <f t="shared" si="54"/>
        <v>17.913723907594768</v>
      </c>
      <c r="J67" s="287">
        <f t="shared" si="59"/>
        <v>19.436926219213831</v>
      </c>
      <c r="K67" s="230">
        <f t="shared" si="64"/>
        <v>8.6234556360098651</v>
      </c>
      <c r="L67" s="230">
        <f t="shared" si="61"/>
        <v>8.9067886982137843</v>
      </c>
      <c r="M67" s="577">
        <f t="shared" si="68"/>
        <v>7.4709111790038971</v>
      </c>
      <c r="N67" s="590">
        <f t="shared" si="41"/>
        <v>11.556220833333333</v>
      </c>
      <c r="O67" s="226"/>
      <c r="Q67" s="574">
        <v>2.1999999999999999E-2</v>
      </c>
      <c r="R67" s="574">
        <v>2.1999999999999999E-2</v>
      </c>
      <c r="S67" s="169">
        <v>2.1999999999999999E-2</v>
      </c>
      <c r="T67" s="169">
        <v>2.1999999999999999E-2</v>
      </c>
      <c r="U67" s="169">
        <v>1.7999999999999999E-2</v>
      </c>
      <c r="V67" s="169">
        <f t="shared" si="70"/>
        <v>2.1000000000000001E-2</v>
      </c>
      <c r="AF67" s="577">
        <f t="shared" si="42"/>
        <v>2.5431014500855693</v>
      </c>
      <c r="AG67" s="577">
        <f t="shared" si="43"/>
        <v>2.1322927543025161</v>
      </c>
      <c r="AH67" s="577">
        <f t="shared" si="45"/>
        <v>2.8821269218618562</v>
      </c>
      <c r="AI67" s="577">
        <f t="shared" si="46"/>
        <v>2.4078528714288918</v>
      </c>
      <c r="AR67">
        <f t="shared" si="19"/>
        <v>2009</v>
      </c>
      <c r="AS67" s="307">
        <f t="shared" si="47"/>
        <v>40148</v>
      </c>
      <c r="AT67" s="115">
        <v>82.8</v>
      </c>
      <c r="AU67" s="115">
        <v>70.732500000000002</v>
      </c>
      <c r="AV67" s="287">
        <f t="shared" si="33"/>
        <v>77.610974999999996</v>
      </c>
      <c r="AW67" s="271">
        <v>416</v>
      </c>
      <c r="AX67" s="271">
        <v>328</v>
      </c>
      <c r="AY67" s="271">
        <f t="shared" si="21"/>
        <v>0.55913978494623651</v>
      </c>
      <c r="AZ67" s="271">
        <f t="shared" si="22"/>
        <v>0.44086021505376344</v>
      </c>
      <c r="BD67">
        <f t="shared" si="36"/>
        <v>2009</v>
      </c>
      <c r="BE67" s="306">
        <f t="shared" si="38"/>
        <v>40148</v>
      </c>
      <c r="BF67" s="114">
        <f t="shared" si="23"/>
        <v>8.7900938009787932</v>
      </c>
      <c r="BG67" s="115">
        <v>8.7900938009787932</v>
      </c>
      <c r="BI67">
        <f t="shared" si="9"/>
        <v>2008</v>
      </c>
      <c r="BJ67" s="306">
        <v>39752</v>
      </c>
      <c r="BK67">
        <f t="shared" si="10"/>
        <v>4.1679125360000002</v>
      </c>
      <c r="BL67">
        <v>4.2320042500000001</v>
      </c>
      <c r="BM67">
        <v>4.1038208220000003</v>
      </c>
      <c r="BO67">
        <f t="shared" si="11"/>
        <v>2012</v>
      </c>
      <c r="BP67" s="286">
        <v>41153</v>
      </c>
      <c r="BQ67">
        <f t="shared" si="12"/>
        <v>9.949202605</v>
      </c>
      <c r="BR67">
        <v>10.028405210000001</v>
      </c>
      <c r="BS67">
        <v>9.8699999999999992</v>
      </c>
      <c r="BT67">
        <f t="shared" si="1"/>
        <v>2019</v>
      </c>
      <c r="BU67" s="286">
        <v>43525</v>
      </c>
      <c r="BV67">
        <f t="shared" si="2"/>
        <v>2.9384999999999999</v>
      </c>
      <c r="BW67" s="580">
        <v>3</v>
      </c>
      <c r="BX67" s="580">
        <v>2.8769999999999998</v>
      </c>
      <c r="BY67">
        <f t="shared" si="3"/>
        <v>2022</v>
      </c>
      <c r="BZ67" s="286">
        <v>44621</v>
      </c>
      <c r="CA67">
        <f t="shared" si="4"/>
        <v>2.4379499999999998</v>
      </c>
      <c r="CB67" s="580">
        <v>2.5613000000000001</v>
      </c>
      <c r="CC67" s="580">
        <v>2.3146</v>
      </c>
      <c r="CD67" s="364">
        <f t="shared" si="5"/>
        <v>2023</v>
      </c>
      <c r="CE67" s="381">
        <v>44986</v>
      </c>
      <c r="CF67" s="364">
        <f t="shared" si="13"/>
        <v>2.7171500000000002</v>
      </c>
      <c r="CG67" s="411">
        <v>2.5853000000000002</v>
      </c>
      <c r="CH67" s="411">
        <v>2.8490000000000002</v>
      </c>
      <c r="CI67" s="364">
        <f t="shared" si="6"/>
        <v>2025</v>
      </c>
      <c r="CJ67" s="381">
        <v>45717</v>
      </c>
      <c r="CK67" s="364">
        <f t="shared" si="7"/>
        <v>4.0030999999999999</v>
      </c>
      <c r="CL67" s="411">
        <v>3.7665999999999999</v>
      </c>
      <c r="CM67" s="411">
        <v>4.2396000000000003</v>
      </c>
    </row>
    <row r="68" spans="3:91">
      <c r="C68">
        <f t="shared" si="29"/>
        <v>2050</v>
      </c>
      <c r="D68" s="28">
        <f t="shared" si="51"/>
        <v>145.94753235716087</v>
      </c>
      <c r="E68" s="28">
        <f t="shared" si="52"/>
        <v>134.69481557175823</v>
      </c>
      <c r="F68" s="28">
        <f t="shared" si="53"/>
        <v>141.10123498219195</v>
      </c>
      <c r="G68" s="230">
        <f t="shared" si="44"/>
        <v>11.394630107053302</v>
      </c>
      <c r="H68" s="230">
        <f t="shared" si="49"/>
        <v>15.923176516104446</v>
      </c>
      <c r="I68" s="287">
        <f t="shared" si="54"/>
        <v>18.289912109654257</v>
      </c>
      <c r="J68" s="287">
        <f t="shared" si="59"/>
        <v>19.786790891159679</v>
      </c>
      <c r="K68" s="230">
        <f t="shared" si="64"/>
        <v>8.813171660002082</v>
      </c>
      <c r="L68" s="230">
        <f t="shared" si="61"/>
        <v>9.1027380495744872</v>
      </c>
      <c r="M68" s="577">
        <f t="shared" si="68"/>
        <v>7.6352712249419827</v>
      </c>
      <c r="N68" s="590">
        <f t="shared" si="41"/>
        <v>12.089525</v>
      </c>
      <c r="O68" s="226"/>
      <c r="Q68" s="574">
        <v>2.1999999999999999E-2</v>
      </c>
      <c r="R68" s="574">
        <v>2.1999999999999999E-2</v>
      </c>
      <c r="S68" s="169">
        <v>2.1999999999999999E-2</v>
      </c>
      <c r="T68" s="169">
        <v>2.1999999999999999E-2</v>
      </c>
      <c r="U68" s="169">
        <v>1.7999999999999999E-2</v>
      </c>
      <c r="V68" s="169">
        <f t="shared" si="70"/>
        <v>2.1000000000000001E-2</v>
      </c>
      <c r="AF68" s="577">
        <f t="shared" si="42"/>
        <v>2.5990496819874518</v>
      </c>
      <c r="AG68" s="577">
        <f t="shared" si="43"/>
        <v>2.1792031948971715</v>
      </c>
      <c r="AH68" s="577">
        <f t="shared" si="45"/>
        <v>2.9455337141428171</v>
      </c>
      <c r="AI68" s="577">
        <f t="shared" si="46"/>
        <v>2.4608256346003277</v>
      </c>
      <c r="AR68">
        <f t="shared" si="19"/>
        <v>2010</v>
      </c>
      <c r="AS68" s="307">
        <f t="shared" si="47"/>
        <v>40179</v>
      </c>
      <c r="AT68" s="115">
        <v>78.900000000000006</v>
      </c>
      <c r="AU68" s="115">
        <v>70.004999999999995</v>
      </c>
      <c r="AV68" s="287">
        <f t="shared" si="33"/>
        <v>75.075149999999994</v>
      </c>
      <c r="AW68" s="271">
        <v>400</v>
      </c>
      <c r="AX68" s="271">
        <v>344</v>
      </c>
      <c r="AY68" s="271">
        <f t="shared" si="21"/>
        <v>0.5376344086021505</v>
      </c>
      <c r="AZ68" s="271">
        <f t="shared" si="22"/>
        <v>0.46236559139784944</v>
      </c>
      <c r="BD68">
        <f t="shared" si="36"/>
        <v>2010</v>
      </c>
      <c r="BE68" s="306">
        <f t="shared" si="38"/>
        <v>40179</v>
      </c>
      <c r="BF68" s="114">
        <f t="shared" si="23"/>
        <v>9.3525598151169103</v>
      </c>
      <c r="BG68" s="115">
        <v>9.3525598151169103</v>
      </c>
      <c r="BI68">
        <f t="shared" si="9"/>
        <v>2008</v>
      </c>
      <c r="BJ68" s="306">
        <v>39782</v>
      </c>
      <c r="BK68">
        <f t="shared" si="10"/>
        <v>4.2817435604999998</v>
      </c>
      <c r="BL68">
        <v>4.3469390389999996</v>
      </c>
      <c r="BM68">
        <v>4.2165480820000001</v>
      </c>
      <c r="BO68">
        <f t="shared" si="11"/>
        <v>2012</v>
      </c>
      <c r="BP68" s="286">
        <v>41183</v>
      </c>
      <c r="BQ68">
        <f t="shared" si="12"/>
        <v>10.039202605</v>
      </c>
      <c r="BR68">
        <v>10.118405210000001</v>
      </c>
      <c r="BS68">
        <v>9.9600000000000009</v>
      </c>
      <c r="BT68">
        <f t="shared" si="1"/>
        <v>2019</v>
      </c>
      <c r="BU68" s="286">
        <v>43556</v>
      </c>
      <c r="BV68">
        <f t="shared" ref="BV68:BV132" si="71">AVERAGE(BW68:BX68)</f>
        <v>2.2579000000000002</v>
      </c>
      <c r="BW68" s="580">
        <v>2.4077999999999999</v>
      </c>
      <c r="BX68" s="580">
        <v>2.1080000000000001</v>
      </c>
      <c r="BY68">
        <f t="shared" si="3"/>
        <v>2022</v>
      </c>
      <c r="BZ68" s="286">
        <v>44652</v>
      </c>
      <c r="CA68">
        <f t="shared" si="4"/>
        <v>2.1803499999999998</v>
      </c>
      <c r="CB68" s="580">
        <v>2.3506</v>
      </c>
      <c r="CC68" s="580">
        <v>2.0101</v>
      </c>
      <c r="CD68" s="364">
        <f t="shared" si="5"/>
        <v>2023</v>
      </c>
      <c r="CE68" s="381">
        <v>45017</v>
      </c>
      <c r="CF68" s="364">
        <f t="shared" si="13"/>
        <v>2.0286499999999998</v>
      </c>
      <c r="CG68" s="411">
        <v>2.1543000000000001</v>
      </c>
      <c r="CH68" s="411">
        <v>1.903</v>
      </c>
      <c r="CI68" s="364">
        <f t="shared" si="6"/>
        <v>2025</v>
      </c>
      <c r="CJ68" s="381">
        <v>45748</v>
      </c>
      <c r="CK68" s="364">
        <f t="shared" si="7"/>
        <v>3.0954999999999999</v>
      </c>
      <c r="CL68" s="411">
        <v>2.9321999999999999</v>
      </c>
      <c r="CM68" s="411">
        <v>3.2587999999999999</v>
      </c>
    </row>
    <row r="69" spans="3:91">
      <c r="C69">
        <f t="shared" si="29"/>
        <v>2051</v>
      </c>
      <c r="D69" s="28">
        <f t="shared" si="51"/>
        <v>149.01243053666124</v>
      </c>
      <c r="E69" s="28">
        <f t="shared" si="52"/>
        <v>137.52340669876514</v>
      </c>
      <c r="F69" s="28">
        <f t="shared" si="53"/>
        <v>144.06436091681798</v>
      </c>
      <c r="G69" s="230">
        <f t="shared" si="44"/>
        <v>11.679495859729634</v>
      </c>
      <c r="H69" s="230">
        <f t="shared" si="49"/>
        <v>16.47730305886488</v>
      </c>
      <c r="I69" s="287">
        <f t="shared" si="54"/>
        <v>18.674000263956994</v>
      </c>
      <c r="J69" s="287">
        <f t="shared" si="59"/>
        <v>20.142953127200553</v>
      </c>
      <c r="K69" s="230">
        <f t="shared" si="64"/>
        <v>9.0070614365221271</v>
      </c>
      <c r="L69" s="230">
        <f t="shared" si="61"/>
        <v>9.302998286665126</v>
      </c>
      <c r="M69" s="577">
        <f t="shared" si="68"/>
        <v>7.8032471918907067</v>
      </c>
      <c r="N69" s="590">
        <f t="shared" si="41"/>
        <v>12.355479166666667</v>
      </c>
      <c r="O69" s="226"/>
      <c r="Q69" s="574">
        <v>2.1999999999999999E-2</v>
      </c>
      <c r="R69" s="574">
        <v>2.1999999999999999E-2</v>
      </c>
      <c r="S69" s="169">
        <v>2.1999999999999999E-2</v>
      </c>
      <c r="T69" s="169">
        <v>2.1999999999999999E-2</v>
      </c>
      <c r="U69" s="169">
        <v>1.7999999999999999E-2</v>
      </c>
      <c r="V69" s="169">
        <f t="shared" si="70"/>
        <v>2.1000000000000001E-2</v>
      </c>
      <c r="AF69" s="577">
        <f t="shared" si="42"/>
        <v>2.6562287749911757</v>
      </c>
      <c r="AG69" s="577">
        <f t="shared" si="43"/>
        <v>2.2271456651849095</v>
      </c>
      <c r="AH69" s="577">
        <f t="shared" si="45"/>
        <v>3.010335455853959</v>
      </c>
      <c r="AI69" s="577">
        <f t="shared" si="46"/>
        <v>2.514963798561535</v>
      </c>
      <c r="AR69">
        <f t="shared" si="19"/>
        <v>2010</v>
      </c>
      <c r="AS69" s="307">
        <f t="shared" si="47"/>
        <v>40210</v>
      </c>
      <c r="AT69" s="115">
        <v>74.099999999999994</v>
      </c>
      <c r="AU69" s="115">
        <v>67.144999999999996</v>
      </c>
      <c r="AV69" s="287">
        <f t="shared" si="33"/>
        <v>71.109349999999992</v>
      </c>
      <c r="AW69" s="271">
        <v>384</v>
      </c>
      <c r="AX69" s="271">
        <v>288</v>
      </c>
      <c r="AY69" s="271">
        <f t="shared" si="21"/>
        <v>0.5714285714285714</v>
      </c>
      <c r="AZ69" s="271">
        <f t="shared" si="22"/>
        <v>0.42857142857142855</v>
      </c>
      <c r="BD69">
        <f t="shared" si="36"/>
        <v>2010</v>
      </c>
      <c r="BE69" s="306">
        <f t="shared" si="38"/>
        <v>40210</v>
      </c>
      <c r="BF69" s="114">
        <f t="shared" si="23"/>
        <v>9.3474619358346906</v>
      </c>
      <c r="BG69" s="115">
        <v>9.3474619358346906</v>
      </c>
      <c r="BI69">
        <f t="shared" si="9"/>
        <v>2008</v>
      </c>
      <c r="BJ69" s="306">
        <v>39813</v>
      </c>
      <c r="BK69">
        <f t="shared" si="10"/>
        <v>4.4699728465000002</v>
      </c>
      <c r="BL69">
        <v>4.5208317210000004</v>
      </c>
      <c r="BM69">
        <v>4.4191139719999999</v>
      </c>
      <c r="BO69">
        <f t="shared" si="11"/>
        <v>2012</v>
      </c>
      <c r="BP69" s="286">
        <v>41214</v>
      </c>
      <c r="BQ69">
        <f t="shared" si="12"/>
        <v>10.859202605</v>
      </c>
      <c r="BR69">
        <v>10.438405210000001</v>
      </c>
      <c r="BS69">
        <v>11.28</v>
      </c>
      <c r="BT69">
        <f t="shared" si="1"/>
        <v>2019</v>
      </c>
      <c r="BU69" s="286">
        <v>43586</v>
      </c>
      <c r="BV69">
        <f t="shared" si="71"/>
        <v>2.2261500000000001</v>
      </c>
      <c r="BW69" s="580">
        <v>2.3948</v>
      </c>
      <c r="BX69" s="580">
        <v>2.0575000000000001</v>
      </c>
      <c r="BY69">
        <f t="shared" si="3"/>
        <v>2022</v>
      </c>
      <c r="BZ69" s="286">
        <v>44682</v>
      </c>
      <c r="CA69">
        <f t="shared" si="4"/>
        <v>2.1608999999999998</v>
      </c>
      <c r="CB69" s="580">
        <v>2.3266</v>
      </c>
      <c r="CC69" s="580">
        <v>1.9952000000000001</v>
      </c>
      <c r="CD69" s="364">
        <f t="shared" si="5"/>
        <v>2023</v>
      </c>
      <c r="CE69" s="381">
        <v>45047</v>
      </c>
      <c r="CF69" s="364">
        <f t="shared" si="13"/>
        <v>1.9766500000000002</v>
      </c>
      <c r="CG69" s="411">
        <v>2.0948000000000002</v>
      </c>
      <c r="CH69" s="411">
        <v>1.8585</v>
      </c>
      <c r="CI69" s="364">
        <f t="shared" si="6"/>
        <v>2025</v>
      </c>
      <c r="CJ69" s="381">
        <v>45778</v>
      </c>
      <c r="CK69" s="364">
        <f t="shared" si="7"/>
        <v>3.0153499999999998</v>
      </c>
      <c r="CL69" s="411">
        <v>2.9074</v>
      </c>
      <c r="CM69" s="411">
        <v>3.1233</v>
      </c>
    </row>
    <row r="70" spans="3:91">
      <c r="C70">
        <f t="shared" si="29"/>
        <v>2052</v>
      </c>
      <c r="G70" s="230">
        <f t="shared" si="44"/>
        <v>11.971483256222875</v>
      </c>
      <c r="H70" s="230">
        <f t="shared" ref="H70:H71" si="72">H69*(1+$DA$50)</f>
        <v>17.050713205313379</v>
      </c>
      <c r="I70" s="287">
        <f t="shared" ref="I70:I71" si="73">I69*(1+$V66)</f>
        <v>19.066154269500089</v>
      </c>
      <c r="J70" s="287">
        <f t="shared" si="59"/>
        <v>20.505526283490163</v>
      </c>
      <c r="K70" s="230">
        <f t="shared" ref="K70:K71" si="74">K69*(1+$S$56)</f>
        <v>9.2052167881256146</v>
      </c>
      <c r="L70" s="230">
        <f t="shared" ref="L70:L71" si="75">L69*(1+$T$56)</f>
        <v>9.5076642489717589</v>
      </c>
      <c r="M70" s="577">
        <f t="shared" si="68"/>
        <v>7.9749186301123025</v>
      </c>
      <c r="N70" s="590">
        <f t="shared" si="41"/>
        <v>13.50605</v>
      </c>
      <c r="Q70" s="574">
        <v>2.1999999999999999E-2</v>
      </c>
      <c r="R70" s="574">
        <v>2.1999999999999999E-2</v>
      </c>
      <c r="S70" s="169">
        <v>2.1999999999999999E-2</v>
      </c>
      <c r="T70" s="169">
        <v>2.1999999999999999E-2</v>
      </c>
      <c r="U70" s="169">
        <v>1.7999999999999999E-2</v>
      </c>
      <c r="V70" s="169">
        <f t="shared" si="70"/>
        <v>2.1000000000000001E-2</v>
      </c>
      <c r="AF70" s="577">
        <f t="shared" si="42"/>
        <v>2.7146658080409818</v>
      </c>
      <c r="AG70" s="577">
        <f t="shared" si="43"/>
        <v>2.2761428698189774</v>
      </c>
      <c r="AH70" s="577">
        <f t="shared" si="45"/>
        <v>3.0765628358827461</v>
      </c>
      <c r="AI70" s="577">
        <f t="shared" si="46"/>
        <v>2.5702930021298886</v>
      </c>
      <c r="AR70">
        <f t="shared" si="19"/>
        <v>2010</v>
      </c>
      <c r="AS70" s="307">
        <f t="shared" si="47"/>
        <v>40238</v>
      </c>
      <c r="AT70" s="115">
        <v>65.3</v>
      </c>
      <c r="AU70" s="115">
        <v>57.85</v>
      </c>
      <c r="AV70" s="287">
        <f t="shared" si="33"/>
        <v>62.096499999999992</v>
      </c>
      <c r="AW70" s="271">
        <v>432</v>
      </c>
      <c r="AX70" s="271">
        <v>312</v>
      </c>
      <c r="AY70" s="271">
        <f t="shared" si="21"/>
        <v>0.58064516129032262</v>
      </c>
      <c r="AZ70" s="271">
        <f t="shared" si="22"/>
        <v>0.41935483870967744</v>
      </c>
      <c r="BD70">
        <f t="shared" si="36"/>
        <v>2010</v>
      </c>
      <c r="BE70" s="306">
        <f t="shared" si="38"/>
        <v>40238</v>
      </c>
      <c r="BF70" s="114">
        <f t="shared" si="23"/>
        <v>9.0868923327895601</v>
      </c>
      <c r="BG70" s="115">
        <v>9.0868923327895601</v>
      </c>
      <c r="BI70">
        <f t="shared" si="9"/>
        <v>2009</v>
      </c>
      <c r="BJ70" s="306">
        <v>39844</v>
      </c>
      <c r="BK70">
        <f t="shared" si="10"/>
        <v>4.6798249885000001</v>
      </c>
      <c r="BL70">
        <v>4.7038701139999999</v>
      </c>
      <c r="BM70">
        <v>4.6557798630000002</v>
      </c>
      <c r="BO70">
        <f t="shared" si="11"/>
        <v>2012</v>
      </c>
      <c r="BP70" s="286">
        <v>41244</v>
      </c>
      <c r="BQ70">
        <f t="shared" si="12"/>
        <v>11.279202605</v>
      </c>
      <c r="BR70">
        <v>10.858405210000001</v>
      </c>
      <c r="BS70">
        <v>11.7</v>
      </c>
      <c r="BT70">
        <f t="shared" si="1"/>
        <v>2019</v>
      </c>
      <c r="BU70" s="286">
        <v>43617</v>
      </c>
      <c r="BV70">
        <f t="shared" si="71"/>
        <v>2.2423000000000002</v>
      </c>
      <c r="BW70" s="580">
        <v>2.4296000000000002</v>
      </c>
      <c r="BX70" s="580">
        <v>2.0550000000000002</v>
      </c>
      <c r="BY70">
        <f t="shared" si="3"/>
        <v>2022</v>
      </c>
      <c r="BZ70" s="286">
        <v>44713</v>
      </c>
      <c r="CA70">
        <f t="shared" si="4"/>
        <v>2.1897000000000002</v>
      </c>
      <c r="CB70" s="580">
        <v>2.3489</v>
      </c>
      <c r="CC70" s="580">
        <v>2.0305</v>
      </c>
      <c r="CD70" s="364">
        <f t="shared" si="5"/>
        <v>2023</v>
      </c>
      <c r="CE70" s="381">
        <v>45078</v>
      </c>
      <c r="CF70" s="364">
        <f t="shared" si="13"/>
        <v>2.02</v>
      </c>
      <c r="CG70" s="411">
        <v>2.1349999999999998</v>
      </c>
      <c r="CH70" s="411">
        <v>1.905</v>
      </c>
      <c r="CI70" s="364">
        <f t="shared" si="6"/>
        <v>2025</v>
      </c>
      <c r="CJ70" s="381">
        <v>45809</v>
      </c>
      <c r="CK70" s="364">
        <f t="shared" si="7"/>
        <v>3.1599499999999998</v>
      </c>
      <c r="CL70" s="411">
        <v>3.1467999999999998</v>
      </c>
      <c r="CM70" s="411">
        <v>3.1730999999999998</v>
      </c>
    </row>
    <row r="71" spans="3:91">
      <c r="C71">
        <f t="shared" si="29"/>
        <v>2053</v>
      </c>
      <c r="G71" s="230">
        <f t="shared" si="44"/>
        <v>12.270770337628447</v>
      </c>
      <c r="H71" s="230">
        <f t="shared" si="72"/>
        <v>17.644078024858285</v>
      </c>
      <c r="I71" s="287">
        <f t="shared" si="73"/>
        <v>19.466543509159589</v>
      </c>
      <c r="J71" s="287">
        <f t="shared" si="59"/>
        <v>20.874625756592987</v>
      </c>
      <c r="K71" s="230">
        <f t="shared" si="74"/>
        <v>9.4077315574643787</v>
      </c>
      <c r="L71" s="230">
        <f t="shared" si="75"/>
        <v>9.716832862449138</v>
      </c>
      <c r="M71" s="577">
        <f t="shared" si="68"/>
        <v>8.1503668399747742</v>
      </c>
      <c r="N71" s="577">
        <f>N70*(1+$Q$62)</f>
        <v>13.8031831</v>
      </c>
      <c r="Q71" s="574">
        <v>2.1999999999999999E-2</v>
      </c>
      <c r="R71" s="574">
        <v>2.1999999999999999E-2</v>
      </c>
      <c r="S71" s="169">
        <v>2.1999999999999999E-2</v>
      </c>
      <c r="T71" s="169">
        <v>2.1999999999999999E-2</v>
      </c>
      <c r="U71" s="169">
        <v>1.7999999999999999E-2</v>
      </c>
      <c r="V71" s="169">
        <f t="shared" si="70"/>
        <v>2.1000000000000001E-2</v>
      </c>
      <c r="AF71" s="577">
        <f t="shared" si="42"/>
        <v>2.7743884558178835</v>
      </c>
      <c r="AG71" s="577">
        <f t="shared" si="43"/>
        <v>2.3262180129549948</v>
      </c>
      <c r="AH71" s="577">
        <f t="shared" si="45"/>
        <v>3.1442472182721666</v>
      </c>
      <c r="AI71" s="577">
        <f t="shared" si="46"/>
        <v>2.6268394481767463</v>
      </c>
      <c r="AS71" s="307"/>
      <c r="AT71" s="115"/>
      <c r="AU71" s="115"/>
      <c r="AV71" s="287"/>
      <c r="AW71" s="271"/>
      <c r="AX71" s="271"/>
      <c r="AY71" s="271"/>
      <c r="AZ71" s="271"/>
      <c r="BE71" s="306"/>
      <c r="BF71" s="114"/>
      <c r="BG71" s="115"/>
      <c r="BJ71" s="306"/>
      <c r="BP71" s="286"/>
      <c r="BU71" s="286"/>
      <c r="BW71" s="580"/>
      <c r="BX71" s="580"/>
      <c r="BZ71" s="286"/>
      <c r="CB71" s="580"/>
      <c r="CC71" s="580"/>
      <c r="CD71" s="364"/>
      <c r="CE71" s="381">
        <v>45108</v>
      </c>
      <c r="CG71" s="411">
        <v>2.2642000000000002</v>
      </c>
      <c r="CH71" s="411">
        <v>2.1955</v>
      </c>
      <c r="CI71" s="364">
        <f t="shared" si="6"/>
        <v>2025</v>
      </c>
      <c r="CJ71" s="381">
        <v>45839</v>
      </c>
      <c r="CK71" s="364">
        <f t="shared" si="7"/>
        <v>3.1615000000000002</v>
      </c>
      <c r="CL71" s="411">
        <v>2.9661</v>
      </c>
      <c r="CM71" s="411">
        <v>3.3569</v>
      </c>
    </row>
    <row r="72" spans="3:91">
      <c r="C72">
        <f t="shared" si="29"/>
        <v>2054</v>
      </c>
      <c r="M72" s="577">
        <f t="shared" si="68"/>
        <v>8.3296749104542194</v>
      </c>
      <c r="N72" s="577">
        <f>N71*(1+$Q$62)</f>
        <v>14.106853128200001</v>
      </c>
      <c r="Q72" s="574">
        <v>2.1999999999999999E-2</v>
      </c>
      <c r="R72" s="574">
        <v>2.1999999999999999E-2</v>
      </c>
      <c r="S72" s="169">
        <v>2.1999999999999999E-2</v>
      </c>
      <c r="T72" s="169">
        <v>2.1999999999999999E-2</v>
      </c>
      <c r="U72" s="169">
        <v>1.7999999999999999E-2</v>
      </c>
      <c r="V72" s="169">
        <f t="shared" si="70"/>
        <v>2.1000000000000001E-2</v>
      </c>
      <c r="AF72" s="577">
        <f t="shared" si="42"/>
        <v>2.8354250018458771</v>
      </c>
      <c r="AG72" s="577">
        <f t="shared" si="43"/>
        <v>2.3773948092400046</v>
      </c>
      <c r="AH72" s="577">
        <f t="shared" si="45"/>
        <v>3.2134206570741544</v>
      </c>
      <c r="AI72" s="577">
        <f t="shared" si="46"/>
        <v>2.6846299160366347</v>
      </c>
      <c r="AR72">
        <f t="shared" si="19"/>
        <v>2010</v>
      </c>
      <c r="AS72" s="307">
        <f>EOMONTH(AS70,0)+1</f>
        <v>40269</v>
      </c>
      <c r="AT72" s="115">
        <v>47.79</v>
      </c>
      <c r="AU72" s="115">
        <v>35.200000000000003</v>
      </c>
      <c r="AV72" s="287">
        <f t="shared" si="33"/>
        <v>42.376300000000001</v>
      </c>
      <c r="AW72" s="271">
        <v>416</v>
      </c>
      <c r="AX72" s="271">
        <v>304</v>
      </c>
      <c r="AY72" s="271">
        <f t="shared" si="21"/>
        <v>0.57777777777777772</v>
      </c>
      <c r="AZ72" s="271">
        <f t="shared" si="22"/>
        <v>0.42222222222222222</v>
      </c>
      <c r="BD72">
        <f t="shared" si="36"/>
        <v>2010</v>
      </c>
      <c r="BE72" s="306">
        <f>EOMONTH(BE70,0)+1</f>
        <v>40269</v>
      </c>
      <c r="BF72" s="114">
        <f t="shared" si="23"/>
        <v>6.5046465470364323</v>
      </c>
      <c r="BG72" s="115">
        <v>6.5046465470364323</v>
      </c>
      <c r="BI72">
        <f t="shared" si="9"/>
        <v>2009</v>
      </c>
      <c r="BJ72" s="306">
        <v>39872</v>
      </c>
      <c r="BK72">
        <f t="shared" si="10"/>
        <v>4.492517146</v>
      </c>
      <c r="BL72">
        <v>4.5330771690000002</v>
      </c>
      <c r="BM72">
        <v>4.4519571229999997</v>
      </c>
      <c r="BO72">
        <f t="shared" si="11"/>
        <v>2013</v>
      </c>
      <c r="BP72" s="286">
        <v>41275</v>
      </c>
      <c r="BQ72">
        <f t="shared" si="12"/>
        <v>11.530452605000001</v>
      </c>
      <c r="BR72">
        <v>11.11090521</v>
      </c>
      <c r="BS72">
        <v>11.95</v>
      </c>
      <c r="BT72">
        <f t="shared" si="1"/>
        <v>2019</v>
      </c>
      <c r="BU72" s="286">
        <v>43647</v>
      </c>
      <c r="BV72">
        <f t="shared" si="71"/>
        <v>2.3722000000000003</v>
      </c>
      <c r="BW72" s="580">
        <v>2.5204</v>
      </c>
      <c r="BX72" s="580">
        <v>2.2240000000000002</v>
      </c>
      <c r="BY72">
        <f t="shared" si="3"/>
        <v>2022</v>
      </c>
      <c r="BZ72" s="286">
        <v>44743</v>
      </c>
      <c r="CA72">
        <f t="shared" si="4"/>
        <v>2.2890999999999999</v>
      </c>
      <c r="CB72" s="580">
        <v>2.4018999999999999</v>
      </c>
      <c r="CC72" s="580">
        <v>2.1762999999999999</v>
      </c>
      <c r="CD72" s="364">
        <f t="shared" ref="CD72:CD96" si="76">YEAR(CE72)</f>
        <v>2023</v>
      </c>
      <c r="CE72" s="381">
        <v>45139</v>
      </c>
      <c r="CF72" s="364">
        <f t="shared" ref="CF72:CF136" si="77">AVERAGE(CG72:CH72)</f>
        <v>2.25685</v>
      </c>
      <c r="CG72" s="411">
        <v>2.2862</v>
      </c>
      <c r="CH72" s="411">
        <v>2.2275</v>
      </c>
      <c r="CI72" s="364">
        <f t="shared" ref="CI72:CI96" si="78">YEAR(CJ72)</f>
        <v>2025</v>
      </c>
      <c r="CJ72" s="381">
        <v>45870</v>
      </c>
      <c r="CK72" s="364">
        <f t="shared" si="7"/>
        <v>3.1553</v>
      </c>
      <c r="CL72" s="411">
        <v>2.9251999999999998</v>
      </c>
      <c r="CM72" s="411">
        <v>3.3854000000000002</v>
      </c>
    </row>
    <row r="73" spans="3:91">
      <c r="C73">
        <f t="shared" si="29"/>
        <v>2055</v>
      </c>
      <c r="Q73" s="574">
        <v>2.1999999999999999E-2</v>
      </c>
      <c r="R73" s="574">
        <v>2.1999999999999999E-2</v>
      </c>
      <c r="S73" s="169">
        <v>2.1999999999999999E-2</v>
      </c>
      <c r="T73" s="169">
        <v>2.1999999999999999E-2</v>
      </c>
      <c r="U73" s="169">
        <v>1.7999999999999999E-2</v>
      </c>
      <c r="V73" s="169">
        <f t="shared" si="70"/>
        <v>2.1000000000000001E-2</v>
      </c>
      <c r="AF73" s="577"/>
      <c r="AG73" s="577"/>
      <c r="AH73" s="577"/>
      <c r="AI73" s="577"/>
      <c r="AR73">
        <f t="shared" si="19"/>
        <v>2010</v>
      </c>
      <c r="AS73" s="307">
        <f t="shared" si="47"/>
        <v>40299</v>
      </c>
      <c r="AT73" s="115">
        <v>39.06</v>
      </c>
      <c r="AU73" s="115">
        <v>25.47</v>
      </c>
      <c r="AV73" s="287">
        <f t="shared" si="33"/>
        <v>33.216299999999997</v>
      </c>
      <c r="AW73" s="271">
        <v>400</v>
      </c>
      <c r="AX73" s="271">
        <v>344</v>
      </c>
      <c r="AY73" s="271">
        <f t="shared" si="21"/>
        <v>0.5376344086021505</v>
      </c>
      <c r="AZ73" s="271">
        <f t="shared" si="22"/>
        <v>0.46236559139784944</v>
      </c>
      <c r="BD73">
        <f t="shared" si="36"/>
        <v>2010</v>
      </c>
      <c r="BE73" s="306">
        <f t="shared" si="38"/>
        <v>40299</v>
      </c>
      <c r="BF73" s="114">
        <f t="shared" si="23"/>
        <v>6.3007313757476888</v>
      </c>
      <c r="BG73" s="115">
        <v>6.3007313757476888</v>
      </c>
      <c r="BI73">
        <f t="shared" si="9"/>
        <v>2009</v>
      </c>
      <c r="BJ73" s="306">
        <v>39903</v>
      </c>
      <c r="BK73">
        <f t="shared" si="10"/>
        <v>4.2755303820000004</v>
      </c>
      <c r="BL73">
        <v>4.3313377500000003</v>
      </c>
      <c r="BM73">
        <v>4.2197230140000004</v>
      </c>
      <c r="BO73">
        <f t="shared" si="11"/>
        <v>2013</v>
      </c>
      <c r="BP73" s="286">
        <v>41306</v>
      </c>
      <c r="BQ73">
        <f t="shared" si="12"/>
        <v>11.520452604999999</v>
      </c>
      <c r="BR73">
        <v>11.100905210000001</v>
      </c>
      <c r="BS73">
        <v>11.94</v>
      </c>
      <c r="BT73">
        <f t="shared" si="1"/>
        <v>2019</v>
      </c>
      <c r="BU73" s="286">
        <v>43678</v>
      </c>
      <c r="BV73">
        <f t="shared" si="71"/>
        <v>2.3959000000000001</v>
      </c>
      <c r="BW73" s="580">
        <v>2.5453000000000001</v>
      </c>
      <c r="BX73" s="580">
        <v>2.2465000000000002</v>
      </c>
      <c r="BY73">
        <f t="shared" si="3"/>
        <v>2022</v>
      </c>
      <c r="BZ73" s="286">
        <v>44774</v>
      </c>
      <c r="CA73">
        <f t="shared" si="4"/>
        <v>2.3220000000000001</v>
      </c>
      <c r="CB73" s="580">
        <v>2.4363000000000001</v>
      </c>
      <c r="CC73" s="580">
        <v>2.2077</v>
      </c>
      <c r="CD73" s="364">
        <f t="shared" si="76"/>
        <v>2023</v>
      </c>
      <c r="CE73" s="381">
        <v>45170</v>
      </c>
      <c r="CF73" s="364">
        <f t="shared" si="77"/>
        <v>2.2476500000000001</v>
      </c>
      <c r="CG73" s="411">
        <v>2.2707999999999999</v>
      </c>
      <c r="CH73" s="411">
        <v>2.2244999999999999</v>
      </c>
      <c r="CI73" s="364">
        <f t="shared" si="78"/>
        <v>2025</v>
      </c>
      <c r="CJ73" s="381">
        <v>45901</v>
      </c>
      <c r="CK73" s="364">
        <f t="shared" si="7"/>
        <v>3.4675000000000002</v>
      </c>
      <c r="CL73" s="411">
        <v>3.5649999999999999</v>
      </c>
      <c r="CM73" s="411">
        <v>3.37</v>
      </c>
    </row>
    <row r="74" spans="3:91">
      <c r="C74">
        <f t="shared" si="29"/>
        <v>2056</v>
      </c>
      <c r="AF74" s="577"/>
      <c r="AG74" s="577"/>
      <c r="AH74" s="577"/>
      <c r="AI74" s="577"/>
      <c r="AR74">
        <f t="shared" si="19"/>
        <v>2010</v>
      </c>
      <c r="AS74" s="307">
        <f t="shared" si="47"/>
        <v>40330</v>
      </c>
      <c r="AT74" s="115">
        <v>36.15</v>
      </c>
      <c r="AU74" s="115">
        <v>24.08</v>
      </c>
      <c r="AV74" s="287">
        <f t="shared" si="33"/>
        <v>30.959899999999994</v>
      </c>
      <c r="AW74" s="271">
        <v>416</v>
      </c>
      <c r="AX74" s="271">
        <v>304</v>
      </c>
      <c r="AY74" s="271">
        <f t="shared" si="21"/>
        <v>0.57777777777777772</v>
      </c>
      <c r="AZ74" s="271">
        <f t="shared" si="22"/>
        <v>0.42222222222222222</v>
      </c>
      <c r="BD74">
        <f t="shared" si="36"/>
        <v>2010</v>
      </c>
      <c r="BE74" s="306">
        <f t="shared" si="38"/>
        <v>40330</v>
      </c>
      <c r="BF74" s="114">
        <f t="shared" si="23"/>
        <v>6.4026889613920606</v>
      </c>
      <c r="BG74" s="115">
        <v>6.4026889613920606</v>
      </c>
      <c r="BI74">
        <f t="shared" si="9"/>
        <v>2009</v>
      </c>
      <c r="BJ74" s="306">
        <v>39933</v>
      </c>
      <c r="BK74">
        <f t="shared" si="10"/>
        <v>3.9749150684999996</v>
      </c>
      <c r="BL74">
        <v>4.0536412329999996</v>
      </c>
      <c r="BM74">
        <v>3.8961889040000002</v>
      </c>
      <c r="BO74">
        <f t="shared" si="11"/>
        <v>2013</v>
      </c>
      <c r="BP74" s="286">
        <v>41334</v>
      </c>
      <c r="BQ74">
        <f t="shared" si="12"/>
        <v>11.290452605</v>
      </c>
      <c r="BR74">
        <v>10.87090521</v>
      </c>
      <c r="BS74">
        <v>11.71</v>
      </c>
      <c r="BT74">
        <f t="shared" si="1"/>
        <v>2019</v>
      </c>
      <c r="BU74" s="286">
        <v>43709</v>
      </c>
      <c r="BV74">
        <f t="shared" si="71"/>
        <v>2.4176500000000001</v>
      </c>
      <c r="BW74" s="580">
        <v>2.5432999999999999</v>
      </c>
      <c r="BX74" s="580">
        <v>2.2919999999999998</v>
      </c>
      <c r="BY74">
        <f t="shared" si="3"/>
        <v>2022</v>
      </c>
      <c r="BZ74" s="286">
        <v>44805</v>
      </c>
      <c r="CA74">
        <f t="shared" si="4"/>
        <v>2.3235999999999999</v>
      </c>
      <c r="CB74" s="580">
        <v>2.4558</v>
      </c>
      <c r="CC74" s="580">
        <v>2.1913999999999998</v>
      </c>
      <c r="CD74" s="364">
        <f t="shared" si="76"/>
        <v>2023</v>
      </c>
      <c r="CE74" s="381">
        <v>45200</v>
      </c>
      <c r="CF74" s="364">
        <f t="shared" si="77"/>
        <v>2.2083500000000003</v>
      </c>
      <c r="CG74" s="411">
        <v>2.2402000000000002</v>
      </c>
      <c r="CH74" s="411">
        <v>2.1764999999999999</v>
      </c>
      <c r="CI74" s="364">
        <f t="shared" si="78"/>
        <v>2025</v>
      </c>
      <c r="CJ74" s="381">
        <v>45931</v>
      </c>
      <c r="CK74" s="364">
        <f t="shared" si="7"/>
        <v>3.5415000000000001</v>
      </c>
      <c r="CL74" s="411">
        <v>3.6539999999999999</v>
      </c>
      <c r="CM74" s="411">
        <v>3.4289999999999998</v>
      </c>
    </row>
    <row r="75" spans="3:91">
      <c r="C75">
        <f t="shared" si="29"/>
        <v>2057</v>
      </c>
      <c r="AF75" s="577"/>
      <c r="AG75" s="577"/>
      <c r="AH75" s="577"/>
      <c r="AI75" s="577"/>
      <c r="AR75">
        <f t="shared" si="19"/>
        <v>2010</v>
      </c>
      <c r="AS75" s="307">
        <f t="shared" si="47"/>
        <v>40360</v>
      </c>
      <c r="AT75" s="115">
        <v>63.6</v>
      </c>
      <c r="AU75" s="115">
        <v>49.3</v>
      </c>
      <c r="AV75" s="287">
        <f t="shared" si="33"/>
        <v>57.450999999999993</v>
      </c>
      <c r="AW75" s="271">
        <v>416</v>
      </c>
      <c r="AX75" s="271">
        <v>328</v>
      </c>
      <c r="AY75" s="271">
        <f t="shared" si="21"/>
        <v>0.55913978494623651</v>
      </c>
      <c r="AZ75" s="271">
        <f t="shared" si="22"/>
        <v>0.44086021505376344</v>
      </c>
      <c r="BD75">
        <f t="shared" si="36"/>
        <v>2010</v>
      </c>
      <c r="BE75" s="306">
        <f t="shared" si="38"/>
        <v>40360</v>
      </c>
      <c r="BF75" s="114">
        <f t="shared" si="23"/>
        <v>6.5270772158781947</v>
      </c>
      <c r="BG75" s="115">
        <v>6.5270772158781947</v>
      </c>
      <c r="BI75">
        <f t="shared" si="9"/>
        <v>2009</v>
      </c>
      <c r="BJ75" s="306">
        <v>39964</v>
      </c>
      <c r="BK75">
        <f t="shared" si="10"/>
        <v>3.956934135</v>
      </c>
      <c r="BL75">
        <v>4.0359521059999999</v>
      </c>
      <c r="BM75">
        <v>3.8779161640000002</v>
      </c>
      <c r="BO75">
        <f t="shared" si="11"/>
        <v>2013</v>
      </c>
      <c r="BP75" s="286">
        <v>41365</v>
      </c>
      <c r="BQ75">
        <f t="shared" si="12"/>
        <v>9.954202604999999</v>
      </c>
      <c r="BR75">
        <v>10.03340521</v>
      </c>
      <c r="BS75">
        <v>9.875</v>
      </c>
      <c r="BT75">
        <f t="shared" si="1"/>
        <v>2019</v>
      </c>
      <c r="BU75" s="286">
        <v>43739</v>
      </c>
      <c r="BV75">
        <f t="shared" si="71"/>
        <v>2.4350499999999999</v>
      </c>
      <c r="BW75" s="580">
        <v>2.5680999999999998</v>
      </c>
      <c r="BX75" s="580">
        <v>2.302</v>
      </c>
      <c r="BY75">
        <f t="shared" si="3"/>
        <v>2022</v>
      </c>
      <c r="BZ75" s="286">
        <v>44835</v>
      </c>
      <c r="CA75">
        <f t="shared" si="4"/>
        <v>2.3323999999999998</v>
      </c>
      <c r="CB75" s="580">
        <v>2.4731999999999998</v>
      </c>
      <c r="CC75" s="580">
        <v>2.1916000000000002</v>
      </c>
      <c r="CD75" s="364">
        <f t="shared" si="76"/>
        <v>2023</v>
      </c>
      <c r="CE75" s="381">
        <v>45231</v>
      </c>
      <c r="CF75" s="364">
        <f t="shared" si="77"/>
        <v>2.7959000000000001</v>
      </c>
      <c r="CG75" s="411">
        <v>2.5228000000000002</v>
      </c>
      <c r="CH75" s="411">
        <v>3.069</v>
      </c>
      <c r="CI75" s="364">
        <f t="shared" si="78"/>
        <v>2025</v>
      </c>
      <c r="CJ75" s="381">
        <v>45962</v>
      </c>
      <c r="CK75" s="364">
        <f t="shared" si="7"/>
        <v>4.8826999999999998</v>
      </c>
      <c r="CL75" s="411">
        <v>4.7686999999999999</v>
      </c>
      <c r="CM75" s="411">
        <v>4.9966999999999997</v>
      </c>
    </row>
    <row r="76" spans="3:91">
      <c r="C76">
        <f t="shared" si="29"/>
        <v>2058</v>
      </c>
      <c r="AF76" s="577"/>
      <c r="AG76" s="577"/>
      <c r="AH76" s="577"/>
      <c r="AI76" s="577"/>
      <c r="AR76">
        <f t="shared" si="19"/>
        <v>2010</v>
      </c>
      <c r="AS76" s="307">
        <f t="shared" si="47"/>
        <v>40391</v>
      </c>
      <c r="AT76" s="115">
        <v>76.239999999999995</v>
      </c>
      <c r="AU76" s="115">
        <v>59.22</v>
      </c>
      <c r="AV76" s="287">
        <f t="shared" si="33"/>
        <v>68.921399999999991</v>
      </c>
      <c r="AW76" s="271">
        <v>416</v>
      </c>
      <c r="AX76" s="271">
        <v>328</v>
      </c>
      <c r="AY76" s="271">
        <f t="shared" si="21"/>
        <v>0.55913978494623651</v>
      </c>
      <c r="AZ76" s="271">
        <f t="shared" si="22"/>
        <v>0.44086021505376344</v>
      </c>
      <c r="BD76">
        <f t="shared" si="36"/>
        <v>2010</v>
      </c>
      <c r="BE76" s="306">
        <f t="shared" si="38"/>
        <v>40391</v>
      </c>
      <c r="BF76" s="114">
        <f t="shared" si="23"/>
        <v>6.6188390429581299</v>
      </c>
      <c r="BG76" s="115">
        <v>6.6188390429581299</v>
      </c>
      <c r="BI76">
        <f t="shared" si="9"/>
        <v>2009</v>
      </c>
      <c r="BJ76" s="306">
        <v>39994</v>
      </c>
      <c r="BK76">
        <f t="shared" si="10"/>
        <v>4.0061877350000001</v>
      </c>
      <c r="BL76">
        <v>4.0856434149999998</v>
      </c>
      <c r="BM76">
        <v>3.926732055</v>
      </c>
      <c r="BO76">
        <f t="shared" si="11"/>
        <v>2013</v>
      </c>
      <c r="BP76" s="286">
        <v>41395</v>
      </c>
      <c r="BQ76">
        <f t="shared" si="12"/>
        <v>9.9242026050000014</v>
      </c>
      <c r="BR76">
        <v>10.00340521</v>
      </c>
      <c r="BS76">
        <v>9.8450000000000006</v>
      </c>
      <c r="BT76">
        <f t="shared" si="1"/>
        <v>2019</v>
      </c>
      <c r="BU76" s="286">
        <v>43770</v>
      </c>
      <c r="BV76">
        <f t="shared" si="71"/>
        <v>2.8553999999999999</v>
      </c>
      <c r="BW76" s="580">
        <v>2.8212999999999999</v>
      </c>
      <c r="BX76" s="580">
        <v>2.8895</v>
      </c>
      <c r="BY76">
        <f t="shared" si="3"/>
        <v>2022</v>
      </c>
      <c r="BZ76" s="286">
        <v>44866</v>
      </c>
      <c r="CA76">
        <f t="shared" si="4"/>
        <v>2.7121000000000004</v>
      </c>
      <c r="CB76" s="580">
        <v>2.9477000000000002</v>
      </c>
      <c r="CC76" s="580">
        <v>2.4765000000000001</v>
      </c>
      <c r="CD76" s="364">
        <f t="shared" si="76"/>
        <v>2023</v>
      </c>
      <c r="CE76" s="381">
        <v>45261</v>
      </c>
      <c r="CF76" s="364">
        <f t="shared" si="77"/>
        <v>3.1234000000000002</v>
      </c>
      <c r="CG76" s="411">
        <v>2.7427999999999999</v>
      </c>
      <c r="CH76" s="411">
        <v>3.504</v>
      </c>
      <c r="CI76" s="364">
        <f t="shared" si="78"/>
        <v>2025</v>
      </c>
      <c r="CJ76" s="381">
        <v>45992</v>
      </c>
      <c r="CK76" s="364">
        <f t="shared" si="7"/>
        <v>5.3805999999999994</v>
      </c>
      <c r="CL76" s="411">
        <v>5.3205</v>
      </c>
      <c r="CM76" s="411">
        <v>5.4406999999999996</v>
      </c>
    </row>
    <row r="77" spans="3:91">
      <c r="C77">
        <f t="shared" si="29"/>
        <v>2059</v>
      </c>
      <c r="AF77" s="577"/>
      <c r="AG77" s="577"/>
      <c r="AH77" s="577"/>
      <c r="AI77" s="577"/>
      <c r="AR77">
        <f t="shared" si="19"/>
        <v>2010</v>
      </c>
      <c r="AS77" s="307">
        <f t="shared" si="47"/>
        <v>40422</v>
      </c>
      <c r="AT77" s="115">
        <v>74.66</v>
      </c>
      <c r="AU77" s="115">
        <v>57.98</v>
      </c>
      <c r="AV77" s="287">
        <f t="shared" si="33"/>
        <v>67.4876</v>
      </c>
      <c r="AW77" s="271">
        <v>400</v>
      </c>
      <c r="AX77" s="271">
        <v>320</v>
      </c>
      <c r="AY77" s="271">
        <f t="shared" si="21"/>
        <v>0.55555555555555558</v>
      </c>
      <c r="AZ77" s="271">
        <f t="shared" si="22"/>
        <v>0.44444444444444442</v>
      </c>
      <c r="BD77">
        <f t="shared" si="36"/>
        <v>2010</v>
      </c>
      <c r="BE77" s="306">
        <f t="shared" si="38"/>
        <v>40422</v>
      </c>
      <c r="BF77" s="114">
        <f t="shared" si="23"/>
        <v>6.7106008700380642</v>
      </c>
      <c r="BG77" s="115">
        <v>6.7106008700380642</v>
      </c>
      <c r="BI77">
        <f t="shared" si="9"/>
        <v>2009</v>
      </c>
      <c r="BJ77" s="306">
        <v>40025</v>
      </c>
      <c r="BK77">
        <f t="shared" si="10"/>
        <v>4.0525413349999999</v>
      </c>
      <c r="BL77">
        <v>4.1324347250000004</v>
      </c>
      <c r="BM77">
        <v>3.9726479449999998</v>
      </c>
      <c r="BO77">
        <f t="shared" si="11"/>
        <v>2013</v>
      </c>
      <c r="BP77" s="286">
        <v>41426</v>
      </c>
      <c r="BQ77">
        <f t="shared" si="12"/>
        <v>10.004202605</v>
      </c>
      <c r="BR77">
        <v>10.08340521</v>
      </c>
      <c r="BS77">
        <v>9.9250000000000007</v>
      </c>
      <c r="BT77">
        <f t="shared" si="1"/>
        <v>2019</v>
      </c>
      <c r="BU77" s="286">
        <v>43800</v>
      </c>
      <c r="BV77">
        <f t="shared" si="71"/>
        <v>3.1273</v>
      </c>
      <c r="BW77" s="580">
        <v>2.9775999999999998</v>
      </c>
      <c r="BX77" s="580">
        <v>3.2770000000000001</v>
      </c>
      <c r="BY77">
        <f t="shared" si="3"/>
        <v>2022</v>
      </c>
      <c r="BZ77" s="286">
        <v>44896</v>
      </c>
      <c r="CA77">
        <f t="shared" si="4"/>
        <v>2.9657499999999999</v>
      </c>
      <c r="CB77" s="580">
        <v>3.153</v>
      </c>
      <c r="CC77" s="580">
        <v>2.7785000000000002</v>
      </c>
      <c r="CD77" s="364">
        <f t="shared" si="76"/>
        <v>2024</v>
      </c>
      <c r="CE77" s="381">
        <v>45292</v>
      </c>
      <c r="CF77" s="364">
        <f t="shared" si="77"/>
        <v>3.1937499999999996</v>
      </c>
      <c r="CG77" s="411">
        <v>2.9874999999999998</v>
      </c>
      <c r="CH77" s="411">
        <v>3.4</v>
      </c>
      <c r="CI77" s="364">
        <f t="shared" si="78"/>
        <v>2026</v>
      </c>
      <c r="CJ77" s="381">
        <v>46023</v>
      </c>
      <c r="CK77" s="364">
        <f t="shared" si="7"/>
        <v>5.2252000000000001</v>
      </c>
      <c r="CL77" s="411">
        <v>4.9023000000000003</v>
      </c>
      <c r="CM77" s="411">
        <v>5.5480999999999998</v>
      </c>
    </row>
    <row r="78" spans="3:91">
      <c r="C78">
        <f t="shared" si="29"/>
        <v>2060</v>
      </c>
      <c r="AF78" s="577"/>
      <c r="AG78" s="577"/>
      <c r="AH78" s="577"/>
      <c r="AI78" s="577"/>
      <c r="AR78">
        <f t="shared" si="19"/>
        <v>2010</v>
      </c>
      <c r="AS78" s="307">
        <f t="shared" si="47"/>
        <v>40452</v>
      </c>
      <c r="AT78" s="115">
        <v>50.414999999999999</v>
      </c>
      <c r="AU78" s="115">
        <v>44.752499999999998</v>
      </c>
      <c r="AV78" s="287">
        <f t="shared" si="33"/>
        <v>47.980125000000001</v>
      </c>
      <c r="AW78" s="271">
        <v>416</v>
      </c>
      <c r="AX78" s="271">
        <v>328</v>
      </c>
      <c r="AY78" s="271">
        <f t="shared" si="21"/>
        <v>0.55913978494623651</v>
      </c>
      <c r="AZ78" s="271">
        <f t="shared" si="22"/>
        <v>0.44086021505376344</v>
      </c>
      <c r="BD78">
        <f t="shared" si="36"/>
        <v>2010</v>
      </c>
      <c r="BE78" s="306">
        <f t="shared" si="38"/>
        <v>40452</v>
      </c>
      <c r="BF78" s="114">
        <f t="shared" si="23"/>
        <v>6.8574197933659589</v>
      </c>
      <c r="BG78" s="115">
        <v>6.8574197933659589</v>
      </c>
      <c r="BI78">
        <f t="shared" si="9"/>
        <v>2009</v>
      </c>
      <c r="BJ78" s="306">
        <v>40056</v>
      </c>
      <c r="BK78">
        <f t="shared" si="10"/>
        <v>4.0610949349999999</v>
      </c>
      <c r="BL78">
        <v>4.1414260340000002</v>
      </c>
      <c r="BM78">
        <v>3.9807638359999999</v>
      </c>
      <c r="BO78">
        <f t="shared" si="11"/>
        <v>2013</v>
      </c>
      <c r="BP78" s="286">
        <v>41456</v>
      </c>
      <c r="BQ78">
        <f t="shared" si="12"/>
        <v>10.104202605000001</v>
      </c>
      <c r="BR78">
        <v>10.18340521</v>
      </c>
      <c r="BS78">
        <v>10.025</v>
      </c>
      <c r="BT78">
        <f t="shared" si="1"/>
        <v>2020</v>
      </c>
      <c r="BU78" s="286">
        <v>43831</v>
      </c>
      <c r="BV78">
        <f t="shared" si="71"/>
        <v>3.1695000000000002</v>
      </c>
      <c r="BW78" s="580">
        <v>3.0720000000000001</v>
      </c>
      <c r="BX78" s="580">
        <v>3.2669999999999999</v>
      </c>
      <c r="BY78">
        <f t="shared" si="3"/>
        <v>2023</v>
      </c>
      <c r="BZ78" s="286">
        <v>44927</v>
      </c>
      <c r="CA78">
        <f t="shared" si="4"/>
        <v>2.9783999999999997</v>
      </c>
      <c r="CB78" s="580">
        <v>3.1760999999999999</v>
      </c>
      <c r="CC78" s="580">
        <v>2.7806999999999999</v>
      </c>
      <c r="CD78" s="364">
        <f t="shared" si="76"/>
        <v>2024</v>
      </c>
      <c r="CE78" s="381">
        <v>45323</v>
      </c>
      <c r="CF78" s="364">
        <f t="shared" si="77"/>
        <v>3.1422499999999998</v>
      </c>
      <c r="CG78" s="411">
        <v>2.9135</v>
      </c>
      <c r="CH78" s="411">
        <v>3.371</v>
      </c>
      <c r="CI78" s="364">
        <f t="shared" si="78"/>
        <v>2026</v>
      </c>
      <c r="CJ78" s="381">
        <v>46054</v>
      </c>
      <c r="CK78" s="364">
        <f t="shared" si="7"/>
        <v>5.1084499999999995</v>
      </c>
      <c r="CL78" s="411">
        <v>4.8075000000000001</v>
      </c>
      <c r="CM78" s="411">
        <v>5.4093999999999998</v>
      </c>
    </row>
    <row r="79" spans="3:91">
      <c r="C79">
        <f t="shared" si="29"/>
        <v>2061</v>
      </c>
      <c r="AF79" s="364"/>
      <c r="AG79" s="364"/>
      <c r="AH79" s="364"/>
      <c r="AI79" s="364"/>
      <c r="AR79">
        <f t="shared" si="19"/>
        <v>2010</v>
      </c>
      <c r="AS79" s="307">
        <f t="shared" si="47"/>
        <v>40483</v>
      </c>
      <c r="AT79" s="115">
        <v>63.284999999999997</v>
      </c>
      <c r="AU79" s="115">
        <v>54.015000000000001</v>
      </c>
      <c r="AV79" s="287">
        <f t="shared" si="33"/>
        <v>59.298899999999996</v>
      </c>
      <c r="AW79" s="271">
        <v>400</v>
      </c>
      <c r="AX79" s="271">
        <v>320</v>
      </c>
      <c r="AY79" s="271">
        <f t="shared" si="21"/>
        <v>0.55555555555555558</v>
      </c>
      <c r="AZ79" s="271">
        <f t="shared" si="22"/>
        <v>0.44444444444444442</v>
      </c>
      <c r="BD79">
        <f t="shared" si="36"/>
        <v>2010</v>
      </c>
      <c r="BE79" s="306">
        <f t="shared" si="38"/>
        <v>40483</v>
      </c>
      <c r="BF79" s="114">
        <f t="shared" si="23"/>
        <v>7.6594521479064719</v>
      </c>
      <c r="BG79" s="115">
        <v>7.6594521479064719</v>
      </c>
      <c r="BI79">
        <f t="shared" si="9"/>
        <v>2009</v>
      </c>
      <c r="BJ79" s="306">
        <v>40086</v>
      </c>
      <c r="BK79">
        <f t="shared" si="10"/>
        <v>4.0644640014999993</v>
      </c>
      <c r="BL79">
        <v>4.1450869069999996</v>
      </c>
      <c r="BM79">
        <v>3.9838410959999999</v>
      </c>
      <c r="BO79">
        <f t="shared" si="11"/>
        <v>2013</v>
      </c>
      <c r="BP79" s="286">
        <v>41487</v>
      </c>
      <c r="BQ79">
        <f t="shared" si="12"/>
        <v>10.179202605</v>
      </c>
      <c r="BR79">
        <v>10.258405209999999</v>
      </c>
      <c r="BS79">
        <v>10.1</v>
      </c>
      <c r="BT79">
        <f t="shared" si="1"/>
        <v>2020</v>
      </c>
      <c r="BU79" s="286">
        <v>43862</v>
      </c>
      <c r="BV79">
        <f t="shared" si="71"/>
        <v>3.0281000000000002</v>
      </c>
      <c r="BW79" s="580">
        <v>3.0407000000000002</v>
      </c>
      <c r="BX79" s="580">
        <v>3.0154999999999998</v>
      </c>
      <c r="BY79">
        <f t="shared" si="3"/>
        <v>2023</v>
      </c>
      <c r="BZ79" s="286">
        <v>44958</v>
      </c>
      <c r="CA79">
        <f t="shared" si="4"/>
        <v>2.9845999999999999</v>
      </c>
      <c r="CB79" s="580">
        <v>3.1884999999999999</v>
      </c>
      <c r="CC79" s="580">
        <v>2.7806999999999999</v>
      </c>
      <c r="CD79" s="364">
        <f t="shared" si="76"/>
        <v>2024</v>
      </c>
      <c r="CE79" s="381">
        <v>45352</v>
      </c>
      <c r="CF79" s="364">
        <f t="shared" si="77"/>
        <v>2.7441500000000003</v>
      </c>
      <c r="CG79" s="411">
        <v>2.6223000000000001</v>
      </c>
      <c r="CH79" s="411">
        <v>2.8660000000000001</v>
      </c>
      <c r="CI79" s="364">
        <f t="shared" si="78"/>
        <v>2026</v>
      </c>
      <c r="CJ79" s="381">
        <v>46082</v>
      </c>
      <c r="CK79" s="364">
        <f t="shared" si="7"/>
        <v>4.2901500000000006</v>
      </c>
      <c r="CL79" s="411">
        <v>4.1718000000000002</v>
      </c>
      <c r="CM79" s="411">
        <v>4.4085000000000001</v>
      </c>
    </row>
    <row r="80" spans="3:91">
      <c r="C80">
        <f t="shared" si="29"/>
        <v>2062</v>
      </c>
      <c r="AF80" s="364"/>
      <c r="AG80" s="364"/>
      <c r="AH80" s="364"/>
      <c r="AI80" s="364"/>
      <c r="AR80">
        <f t="shared" si="19"/>
        <v>2010</v>
      </c>
      <c r="AS80" s="307">
        <f>EOMONTH(AS79,0)+1</f>
        <v>40513</v>
      </c>
      <c r="AT80" s="115">
        <v>78.3</v>
      </c>
      <c r="AU80" s="115">
        <v>66.982500000000002</v>
      </c>
      <c r="AV80" s="287">
        <f t="shared" si="33"/>
        <v>73.433474999999987</v>
      </c>
      <c r="AW80" s="271">
        <v>416</v>
      </c>
      <c r="AX80" s="271">
        <v>328</v>
      </c>
      <c r="AY80" s="271">
        <f t="shared" si="21"/>
        <v>0.55913978494623651</v>
      </c>
      <c r="AZ80" s="271">
        <f t="shared" si="22"/>
        <v>0.44086021505376344</v>
      </c>
      <c r="BD80">
        <f t="shared" si="36"/>
        <v>2010</v>
      </c>
      <c r="BE80" s="306">
        <f>EOMONTH(BE79,0)+1</f>
        <v>40513</v>
      </c>
      <c r="BF80" s="114">
        <f t="shared" si="23"/>
        <v>8.4570323545405106</v>
      </c>
      <c r="BG80" s="115">
        <v>8.4570323545405106</v>
      </c>
      <c r="BI80">
        <f t="shared" si="9"/>
        <v>2009</v>
      </c>
      <c r="BJ80" s="306">
        <v>40117</v>
      </c>
      <c r="BK80">
        <f t="shared" si="10"/>
        <v>4.1817176009999999</v>
      </c>
      <c r="BL80">
        <v>4.2408782159999996</v>
      </c>
      <c r="BM80">
        <v>4.1225569860000002</v>
      </c>
      <c r="BO80">
        <f t="shared" si="11"/>
        <v>2013</v>
      </c>
      <c r="BP80" s="286">
        <v>41518</v>
      </c>
      <c r="BQ80">
        <f t="shared" si="12"/>
        <v>10.199202605</v>
      </c>
      <c r="BR80">
        <v>10.278405210000001</v>
      </c>
      <c r="BS80">
        <v>10.119999999999999</v>
      </c>
      <c r="BT80">
        <f t="shared" si="1"/>
        <v>2020</v>
      </c>
      <c r="BU80" s="286">
        <v>43891</v>
      </c>
      <c r="BV80">
        <f t="shared" si="71"/>
        <v>2.9733499999999999</v>
      </c>
      <c r="BW80" s="580">
        <v>2.9762</v>
      </c>
      <c r="BX80" s="580">
        <v>2.9704999999999999</v>
      </c>
      <c r="BY80">
        <f t="shared" si="3"/>
        <v>2023</v>
      </c>
      <c r="BZ80" s="286">
        <v>44986</v>
      </c>
      <c r="CA80">
        <f t="shared" si="4"/>
        <v>2.8363</v>
      </c>
      <c r="CB80" s="580">
        <v>3.0773000000000001</v>
      </c>
      <c r="CC80" s="580">
        <v>2.5952999999999999</v>
      </c>
      <c r="CD80" s="364">
        <f t="shared" si="76"/>
        <v>2024</v>
      </c>
      <c r="CE80" s="381">
        <v>45383</v>
      </c>
      <c r="CF80" s="364">
        <f t="shared" si="77"/>
        <v>2.0566</v>
      </c>
      <c r="CG80" s="411">
        <v>2.1922000000000001</v>
      </c>
      <c r="CH80" s="411">
        <v>1.921</v>
      </c>
      <c r="CI80" s="364">
        <f t="shared" si="78"/>
        <v>2026</v>
      </c>
      <c r="CJ80" s="381">
        <v>46113</v>
      </c>
      <c r="CK80" s="364">
        <f t="shared" si="7"/>
        <v>3.6234500000000001</v>
      </c>
      <c r="CL80" s="411">
        <v>3.5333000000000001</v>
      </c>
      <c r="CM80" s="411">
        <v>3.7136</v>
      </c>
    </row>
    <row r="81" spans="3:91">
      <c r="C81">
        <f t="shared" si="29"/>
        <v>2063</v>
      </c>
      <c r="AF81" s="364"/>
      <c r="AG81" s="364"/>
      <c r="AH81" s="364"/>
      <c r="AI81" s="364"/>
      <c r="AR81">
        <f t="shared" si="19"/>
        <v>2011</v>
      </c>
      <c r="AS81" s="307">
        <f t="shared" si="47"/>
        <v>40544</v>
      </c>
      <c r="AT81" s="115">
        <v>74.900000000000006</v>
      </c>
      <c r="AU81" s="115">
        <v>66.504999999999995</v>
      </c>
      <c r="AV81" s="287">
        <f t="shared" si="33"/>
        <v>71.290149999999997</v>
      </c>
      <c r="AW81" s="271">
        <v>400</v>
      </c>
      <c r="AX81" s="271">
        <v>344</v>
      </c>
      <c r="AY81" s="271">
        <f t="shared" si="21"/>
        <v>0.5376344086021505</v>
      </c>
      <c r="AZ81" s="271">
        <f t="shared" si="22"/>
        <v>0.46236559139784944</v>
      </c>
      <c r="BD81">
        <f t="shared" si="36"/>
        <v>2011</v>
      </c>
      <c r="BE81" s="306">
        <f t="shared" si="38"/>
        <v>40544</v>
      </c>
      <c r="BF81" s="114">
        <f t="shared" si="23"/>
        <v>8.9090443175638931</v>
      </c>
      <c r="BG81" s="115">
        <v>8.9090443175638931</v>
      </c>
      <c r="BI81">
        <f t="shared" si="9"/>
        <v>2009</v>
      </c>
      <c r="BJ81" s="306">
        <v>40147</v>
      </c>
      <c r="BK81">
        <f t="shared" si="10"/>
        <v>4.26736571</v>
      </c>
      <c r="BL81">
        <v>4.3228585429999997</v>
      </c>
      <c r="BM81">
        <v>4.2118728770000002</v>
      </c>
      <c r="BO81">
        <f t="shared" si="11"/>
        <v>2013</v>
      </c>
      <c r="BP81" s="286">
        <v>41548</v>
      </c>
      <c r="BQ81">
        <f t="shared" si="12"/>
        <v>10.279202605</v>
      </c>
      <c r="BR81">
        <v>10.358405210000001</v>
      </c>
      <c r="BS81">
        <v>10.199999999999999</v>
      </c>
      <c r="BT81">
        <f t="shared" si="1"/>
        <v>2020</v>
      </c>
      <c r="BU81" s="286">
        <v>43922</v>
      </c>
      <c r="BV81">
        <f t="shared" si="71"/>
        <v>2.3262499999999999</v>
      </c>
      <c r="BW81" s="580">
        <v>2.5070000000000001</v>
      </c>
      <c r="BX81" s="580">
        <v>2.1455000000000002</v>
      </c>
      <c r="BY81">
        <f t="shared" si="3"/>
        <v>2023</v>
      </c>
      <c r="BZ81" s="286">
        <v>45017</v>
      </c>
      <c r="CA81">
        <f t="shared" si="4"/>
        <v>2.7435499999999999</v>
      </c>
      <c r="CB81" s="580">
        <v>2.9660000000000002</v>
      </c>
      <c r="CC81" s="580">
        <v>2.5211000000000001</v>
      </c>
      <c r="CD81" s="364">
        <f t="shared" si="76"/>
        <v>2024</v>
      </c>
      <c r="CE81" s="381">
        <v>45413</v>
      </c>
      <c r="CF81" s="364">
        <f t="shared" si="77"/>
        <v>2.4277000000000002</v>
      </c>
      <c r="CG81" s="411">
        <v>2.5245000000000002</v>
      </c>
      <c r="CH81" s="411">
        <v>2.3309000000000002</v>
      </c>
      <c r="CI81" s="364">
        <f t="shared" si="78"/>
        <v>2026</v>
      </c>
      <c r="CJ81" s="381">
        <v>46143</v>
      </c>
      <c r="CK81" s="364">
        <f t="shared" ref="CK81:CK144" si="79">AVERAGE(CL81:CM81)</f>
        <v>3.5488</v>
      </c>
      <c r="CL81" s="411">
        <v>3.5186000000000002</v>
      </c>
      <c r="CM81" s="411">
        <v>3.5790000000000002</v>
      </c>
    </row>
    <row r="82" spans="3:91">
      <c r="C82">
        <f t="shared" si="29"/>
        <v>2064</v>
      </c>
      <c r="AR82">
        <f t="shared" si="19"/>
        <v>2011</v>
      </c>
      <c r="AS82" s="307">
        <f t="shared" si="47"/>
        <v>40575</v>
      </c>
      <c r="AT82" s="115">
        <v>70.099999999999994</v>
      </c>
      <c r="AU82" s="115">
        <v>63.645000000000003</v>
      </c>
      <c r="AV82" s="287">
        <f t="shared" si="33"/>
        <v>67.324349999999995</v>
      </c>
      <c r="AW82" s="271">
        <v>384</v>
      </c>
      <c r="AX82" s="271">
        <v>288</v>
      </c>
      <c r="AY82" s="271">
        <f t="shared" si="21"/>
        <v>0.5714285714285714</v>
      </c>
      <c r="AZ82" s="271">
        <f t="shared" si="22"/>
        <v>0.42857142857142855</v>
      </c>
      <c r="BD82">
        <f t="shared" si="36"/>
        <v>2011</v>
      </c>
      <c r="BE82" s="306">
        <f t="shared" si="38"/>
        <v>40575</v>
      </c>
      <c r="BF82" s="114">
        <f t="shared" si="23"/>
        <v>8.9090443175638931</v>
      </c>
      <c r="BG82" s="115">
        <v>8.9090443175638931</v>
      </c>
      <c r="BI82">
        <f t="shared" si="9"/>
        <v>2009</v>
      </c>
      <c r="BJ82" s="306">
        <v>40178</v>
      </c>
      <c r="BK82">
        <f t="shared" si="10"/>
        <v>4.4666852339999998</v>
      </c>
      <c r="BL82">
        <v>4.5022203310000002</v>
      </c>
      <c r="BM82">
        <v>4.4311501370000004</v>
      </c>
      <c r="BO82">
        <f t="shared" si="11"/>
        <v>2013</v>
      </c>
      <c r="BP82" s="286">
        <v>41579</v>
      </c>
      <c r="BQ82">
        <f t="shared" si="12"/>
        <v>11.094202605</v>
      </c>
      <c r="BR82">
        <v>10.67340521</v>
      </c>
      <c r="BS82">
        <v>11.515000000000001</v>
      </c>
      <c r="BT82">
        <f t="shared" ref="BT82:BT96" si="80">YEAR(BU82)</f>
        <v>2020</v>
      </c>
      <c r="BU82" s="286">
        <v>43952</v>
      </c>
      <c r="BV82">
        <f t="shared" si="71"/>
        <v>2.2905499999999996</v>
      </c>
      <c r="BW82" s="580">
        <v>2.4950999999999999</v>
      </c>
      <c r="BX82" s="580">
        <v>2.0859999999999999</v>
      </c>
      <c r="BY82">
        <f t="shared" ref="BY82:BY96" si="81">YEAR(BZ82)</f>
        <v>2023</v>
      </c>
      <c r="BZ82" s="286">
        <v>45047</v>
      </c>
      <c r="CA82">
        <f t="shared" ref="CA82:CA145" si="82">AVERAGE(CB82:CC82)</f>
        <v>2.7497499999999997</v>
      </c>
      <c r="CB82" s="580">
        <v>2.9537</v>
      </c>
      <c r="CC82" s="580">
        <v>2.5457999999999998</v>
      </c>
      <c r="CD82" s="364">
        <f t="shared" si="76"/>
        <v>2024</v>
      </c>
      <c r="CE82" s="381">
        <v>45444</v>
      </c>
      <c r="CF82" s="364">
        <f t="shared" si="77"/>
        <v>2.4808000000000003</v>
      </c>
      <c r="CG82" s="411">
        <v>2.5760000000000001</v>
      </c>
      <c r="CH82" s="411">
        <v>2.3856000000000002</v>
      </c>
      <c r="CI82" s="364">
        <f t="shared" si="78"/>
        <v>2026</v>
      </c>
      <c r="CJ82" s="381">
        <v>46174</v>
      </c>
      <c r="CK82" s="364">
        <f t="shared" si="79"/>
        <v>3.63035</v>
      </c>
      <c r="CL82" s="411">
        <v>3.6738</v>
      </c>
      <c r="CM82" s="411">
        <v>3.5869</v>
      </c>
    </row>
    <row r="83" spans="3:91">
      <c r="C83">
        <f t="shared" si="29"/>
        <v>2065</v>
      </c>
      <c r="AR83">
        <f t="shared" si="19"/>
        <v>2011</v>
      </c>
      <c r="AS83" s="307">
        <f t="shared" si="47"/>
        <v>40603</v>
      </c>
      <c r="AT83" s="115">
        <v>61.3</v>
      </c>
      <c r="AU83" s="115">
        <v>54.35</v>
      </c>
      <c r="AV83" s="287">
        <f t="shared" si="33"/>
        <v>58.311499999999995</v>
      </c>
      <c r="AW83" s="271">
        <v>432</v>
      </c>
      <c r="AX83" s="271">
        <v>312</v>
      </c>
      <c r="AY83" s="271">
        <f t="shared" si="21"/>
        <v>0.58064516129032262</v>
      </c>
      <c r="AZ83" s="271">
        <f t="shared" si="22"/>
        <v>0.41935483870967744</v>
      </c>
      <c r="BD83">
        <f t="shared" si="36"/>
        <v>2011</v>
      </c>
      <c r="BE83" s="306">
        <f t="shared" si="38"/>
        <v>40603</v>
      </c>
      <c r="BF83" s="114">
        <f t="shared" si="23"/>
        <v>8.6586704730831965</v>
      </c>
      <c r="BG83" s="115">
        <v>8.6586704730831965</v>
      </c>
      <c r="BI83">
        <f t="shared" ref="BI83:BI146" si="83">YEAR(BJ83)</f>
        <v>2010</v>
      </c>
      <c r="BJ83" s="306">
        <v>40209</v>
      </c>
      <c r="BK83">
        <f t="shared" ref="BK83:BK146" si="84">AVERAGE(BL83:BM83)</f>
        <v>4.8608995054999999</v>
      </c>
      <c r="BL83">
        <v>4.8311829839999998</v>
      </c>
      <c r="BM83">
        <v>4.8906160270000001</v>
      </c>
      <c r="BO83">
        <f t="shared" ref="BO83:BO146" si="85">YEAR(BP83)</f>
        <v>2013</v>
      </c>
      <c r="BP83" s="286">
        <v>41609</v>
      </c>
      <c r="BQ83">
        <f t="shared" ref="BQ83:BQ146" si="86">AVERAGE(BR83:BS83)</f>
        <v>11.514202605000001</v>
      </c>
      <c r="BR83">
        <v>11.09340521</v>
      </c>
      <c r="BS83">
        <v>11.935</v>
      </c>
      <c r="BT83">
        <f t="shared" si="80"/>
        <v>2020</v>
      </c>
      <c r="BU83" s="286">
        <v>43983</v>
      </c>
      <c r="BV83">
        <f t="shared" si="71"/>
        <v>2.3186999999999998</v>
      </c>
      <c r="BW83" s="580">
        <v>2.5318999999999998</v>
      </c>
      <c r="BX83" s="580">
        <v>2.1055000000000001</v>
      </c>
      <c r="BY83">
        <f t="shared" si="81"/>
        <v>2023</v>
      </c>
      <c r="BZ83" s="286">
        <v>45078</v>
      </c>
      <c r="CA83">
        <f t="shared" si="82"/>
        <v>2.7744499999999999</v>
      </c>
      <c r="CB83" s="580">
        <v>2.9660000000000002</v>
      </c>
      <c r="CC83" s="580">
        <v>2.5829</v>
      </c>
      <c r="CD83" s="364">
        <f t="shared" si="76"/>
        <v>2024</v>
      </c>
      <c r="CE83" s="381">
        <v>45474</v>
      </c>
      <c r="CF83" s="364">
        <f t="shared" si="77"/>
        <v>2.5983000000000001</v>
      </c>
      <c r="CG83" s="411">
        <v>2.6532</v>
      </c>
      <c r="CH83" s="411">
        <v>2.5434000000000001</v>
      </c>
      <c r="CI83" s="364">
        <f t="shared" si="78"/>
        <v>2026</v>
      </c>
      <c r="CJ83" s="381">
        <v>46204</v>
      </c>
      <c r="CK83" s="364">
        <f t="shared" si="79"/>
        <v>3.6721000000000004</v>
      </c>
      <c r="CL83" s="411">
        <v>3.6465000000000001</v>
      </c>
      <c r="CM83" s="411">
        <v>3.6977000000000002</v>
      </c>
    </row>
    <row r="84" spans="3:91">
      <c r="C84">
        <f t="shared" si="29"/>
        <v>2066</v>
      </c>
      <c r="AR84">
        <f t="shared" si="19"/>
        <v>2011</v>
      </c>
      <c r="AS84" s="307">
        <f t="shared" si="47"/>
        <v>40634</v>
      </c>
      <c r="AT84" s="115">
        <v>43.79</v>
      </c>
      <c r="AU84" s="115">
        <v>31.7</v>
      </c>
      <c r="AV84" s="287">
        <f t="shared" si="33"/>
        <v>38.591299999999997</v>
      </c>
      <c r="AW84" s="271">
        <v>416</v>
      </c>
      <c r="AX84" s="271">
        <v>304</v>
      </c>
      <c r="AY84" s="271">
        <f t="shared" si="21"/>
        <v>0.57777777777777772</v>
      </c>
      <c r="AZ84" s="271">
        <f t="shared" si="22"/>
        <v>0.42222222222222222</v>
      </c>
      <c r="BD84">
        <f t="shared" si="36"/>
        <v>2011</v>
      </c>
      <c r="BE84" s="306">
        <f t="shared" si="38"/>
        <v>40634</v>
      </c>
      <c r="BF84" s="114">
        <f t="shared" si="23"/>
        <v>6.1274034801522568</v>
      </c>
      <c r="BG84" s="115">
        <v>6.1274034801522568</v>
      </c>
      <c r="BI84">
        <f t="shared" si="83"/>
        <v>2010</v>
      </c>
      <c r="BJ84" s="306">
        <v>40237</v>
      </c>
      <c r="BK84">
        <f t="shared" si="84"/>
        <v>4.5782627414999997</v>
      </c>
      <c r="BL84">
        <v>4.5747435650000003</v>
      </c>
      <c r="BM84">
        <v>4.5817819179999999</v>
      </c>
      <c r="BO84">
        <f t="shared" si="85"/>
        <v>2014</v>
      </c>
      <c r="BP84" s="286">
        <v>41640</v>
      </c>
      <c r="BQ84">
        <f t="shared" si="86"/>
        <v>11.760452605000001</v>
      </c>
      <c r="BR84">
        <v>11.340905210000001</v>
      </c>
      <c r="BS84">
        <v>12.18</v>
      </c>
      <c r="BT84">
        <f t="shared" si="80"/>
        <v>2020</v>
      </c>
      <c r="BU84" s="286">
        <v>44013</v>
      </c>
      <c r="BV84">
        <f t="shared" si="71"/>
        <v>2.4540999999999999</v>
      </c>
      <c r="BW84" s="580">
        <v>2.6181999999999999</v>
      </c>
      <c r="BX84" s="580">
        <v>2.29</v>
      </c>
      <c r="BY84">
        <f t="shared" si="81"/>
        <v>2023</v>
      </c>
      <c r="BZ84" s="286">
        <v>45108</v>
      </c>
      <c r="CA84">
        <f t="shared" si="82"/>
        <v>2.8609499999999999</v>
      </c>
      <c r="CB84" s="580">
        <v>3.0278</v>
      </c>
      <c r="CC84" s="580">
        <v>2.6941000000000002</v>
      </c>
      <c r="CD84" s="364">
        <f t="shared" si="76"/>
        <v>2024</v>
      </c>
      <c r="CE84" s="381">
        <v>45505</v>
      </c>
      <c r="CF84" s="364">
        <f t="shared" si="77"/>
        <v>2.6337999999999999</v>
      </c>
      <c r="CG84" s="411">
        <v>2.6956000000000002</v>
      </c>
      <c r="CH84" s="411">
        <v>2.5720000000000001</v>
      </c>
      <c r="CI84" s="364">
        <f t="shared" si="78"/>
        <v>2026</v>
      </c>
      <c r="CJ84" s="381">
        <v>46235</v>
      </c>
      <c r="CK84" s="364">
        <f t="shared" si="79"/>
        <v>3.9478</v>
      </c>
      <c r="CL84" s="411">
        <v>3.8946000000000001</v>
      </c>
      <c r="CM84" s="411">
        <v>4.0010000000000003</v>
      </c>
    </row>
    <row r="85" spans="3:91">
      <c r="C85">
        <f t="shared" si="29"/>
        <v>2067</v>
      </c>
      <c r="AR85">
        <f t="shared" si="19"/>
        <v>2011</v>
      </c>
      <c r="AS85" s="307">
        <f t="shared" si="47"/>
        <v>40664</v>
      </c>
      <c r="AT85" s="115">
        <v>35.06</v>
      </c>
      <c r="AU85" s="115">
        <v>21.97</v>
      </c>
      <c r="AV85" s="287">
        <f t="shared" si="33"/>
        <v>29.4313</v>
      </c>
      <c r="AW85" s="271">
        <v>400</v>
      </c>
      <c r="AX85" s="271">
        <v>344</v>
      </c>
      <c r="AY85" s="271">
        <f t="shared" si="21"/>
        <v>0.5376344086021505</v>
      </c>
      <c r="AZ85" s="271">
        <f t="shared" si="22"/>
        <v>0.46236559139784944</v>
      </c>
      <c r="BD85">
        <f t="shared" si="36"/>
        <v>2011</v>
      </c>
      <c r="BE85" s="306">
        <f t="shared" si="38"/>
        <v>40664</v>
      </c>
      <c r="BF85" s="114">
        <f t="shared" si="23"/>
        <v>5.9234883088635133</v>
      </c>
      <c r="BG85" s="115">
        <v>5.9234883088635133</v>
      </c>
      <c r="BI85">
        <f t="shared" si="83"/>
        <v>2010</v>
      </c>
      <c r="BJ85" s="306">
        <v>40268</v>
      </c>
      <c r="BK85">
        <f t="shared" si="84"/>
        <v>4.3303048989999997</v>
      </c>
      <c r="BL85">
        <v>4.3554506200000001</v>
      </c>
      <c r="BM85">
        <v>4.3051591780000003</v>
      </c>
      <c r="BO85">
        <f t="shared" si="85"/>
        <v>2014</v>
      </c>
      <c r="BP85" s="286">
        <v>41671</v>
      </c>
      <c r="BQ85">
        <f t="shared" si="86"/>
        <v>11.755452605</v>
      </c>
      <c r="BR85">
        <v>11.33590521</v>
      </c>
      <c r="BS85">
        <v>12.175000000000001</v>
      </c>
      <c r="BT85">
        <f t="shared" si="80"/>
        <v>2020</v>
      </c>
      <c r="BU85" s="286">
        <v>44044</v>
      </c>
      <c r="BV85">
        <f t="shared" si="71"/>
        <v>2.4794499999999999</v>
      </c>
      <c r="BW85" s="580">
        <v>2.6659000000000002</v>
      </c>
      <c r="BX85" s="580">
        <v>2.2930000000000001</v>
      </c>
      <c r="BY85">
        <f t="shared" si="81"/>
        <v>2023</v>
      </c>
      <c r="BZ85" s="286">
        <v>45139</v>
      </c>
      <c r="CA85">
        <f t="shared" si="82"/>
        <v>2.8981000000000003</v>
      </c>
      <c r="CB85" s="580">
        <v>3.0773000000000001</v>
      </c>
      <c r="CC85" s="580">
        <v>2.7189000000000001</v>
      </c>
      <c r="CD85" s="364">
        <f t="shared" si="76"/>
        <v>2024</v>
      </c>
      <c r="CE85" s="381">
        <v>45536</v>
      </c>
      <c r="CF85" s="364">
        <f t="shared" si="77"/>
        <v>2.5663499999999999</v>
      </c>
      <c r="CG85" s="411">
        <v>2.6501999999999999</v>
      </c>
      <c r="CH85" s="411">
        <v>2.4824999999999999</v>
      </c>
      <c r="CI85" s="364">
        <f t="shared" si="78"/>
        <v>2026</v>
      </c>
      <c r="CJ85" s="381">
        <v>46266</v>
      </c>
      <c r="CK85" s="364">
        <f t="shared" si="79"/>
        <v>4.1559499999999998</v>
      </c>
      <c r="CL85" s="411">
        <v>4.2576000000000001</v>
      </c>
      <c r="CM85" s="411">
        <v>4.0542999999999996</v>
      </c>
    </row>
    <row r="86" spans="3:91">
      <c r="C86">
        <f t="shared" si="29"/>
        <v>2068</v>
      </c>
      <c r="AR86">
        <f t="shared" ref="AR86:AR149" si="87">+YEAR(AS86)</f>
        <v>2011</v>
      </c>
      <c r="AS86" s="307">
        <f t="shared" si="47"/>
        <v>40695</v>
      </c>
      <c r="AT86" s="115">
        <v>32.15</v>
      </c>
      <c r="AU86" s="115">
        <v>20.58</v>
      </c>
      <c r="AV86" s="287">
        <f t="shared" si="33"/>
        <v>27.174899999999997</v>
      </c>
      <c r="AW86" s="271">
        <v>416</v>
      </c>
      <c r="AX86" s="271">
        <v>304</v>
      </c>
      <c r="AY86" s="271">
        <f t="shared" ref="AY86:AY149" si="88">AW86/(AW86+AX86)</f>
        <v>0.57777777777777772</v>
      </c>
      <c r="AZ86" s="271">
        <f t="shared" ref="AZ86:AZ149" si="89">AX86/(AW86+AX86)</f>
        <v>0.42222222222222222</v>
      </c>
      <c r="BD86">
        <f t="shared" si="36"/>
        <v>2011</v>
      </c>
      <c r="BE86" s="306">
        <f t="shared" si="38"/>
        <v>40695</v>
      </c>
      <c r="BF86" s="114">
        <f t="shared" ref="BF86:BF149" si="90">BG86</f>
        <v>6.0203480152256654</v>
      </c>
      <c r="BG86" s="115">
        <v>6.0203480152256654</v>
      </c>
      <c r="BI86">
        <f t="shared" si="83"/>
        <v>2010</v>
      </c>
      <c r="BJ86" s="306">
        <v>40298</v>
      </c>
      <c r="BK86">
        <f t="shared" si="84"/>
        <v>4.0460201334999999</v>
      </c>
      <c r="BL86">
        <v>4.1027151990000004</v>
      </c>
      <c r="BM86">
        <v>3.9893250679999999</v>
      </c>
      <c r="BO86">
        <f t="shared" si="85"/>
        <v>2014</v>
      </c>
      <c r="BP86" s="286">
        <v>41699</v>
      </c>
      <c r="BQ86">
        <f t="shared" si="86"/>
        <v>11.530452605000001</v>
      </c>
      <c r="BR86">
        <v>11.11090521</v>
      </c>
      <c r="BS86">
        <v>11.95</v>
      </c>
      <c r="BT86">
        <f t="shared" si="80"/>
        <v>2020</v>
      </c>
      <c r="BU86" s="286">
        <v>44075</v>
      </c>
      <c r="BV86">
        <f t="shared" si="71"/>
        <v>2.5268999999999999</v>
      </c>
      <c r="BW86" s="580">
        <v>2.6732999999999998</v>
      </c>
      <c r="BX86" s="580">
        <v>2.3805000000000001</v>
      </c>
      <c r="BY86">
        <f t="shared" si="81"/>
        <v>2023</v>
      </c>
      <c r="BZ86" s="286">
        <v>45170</v>
      </c>
      <c r="CA86">
        <f t="shared" si="82"/>
        <v>2.89805</v>
      </c>
      <c r="CB86" s="580">
        <v>3.1143000000000001</v>
      </c>
      <c r="CC86" s="580">
        <v>2.6818</v>
      </c>
      <c r="CD86" s="364">
        <f t="shared" si="76"/>
        <v>2024</v>
      </c>
      <c r="CE86" s="381">
        <v>45566</v>
      </c>
      <c r="CF86" s="364">
        <f t="shared" si="77"/>
        <v>2.5561499999999997</v>
      </c>
      <c r="CG86" s="411">
        <v>2.6537999999999999</v>
      </c>
      <c r="CH86" s="411">
        <v>2.4584999999999999</v>
      </c>
      <c r="CI86" s="364">
        <f t="shared" si="78"/>
        <v>2026</v>
      </c>
      <c r="CJ86" s="381">
        <v>46296</v>
      </c>
      <c r="CK86" s="364">
        <f t="shared" si="79"/>
        <v>4.2478999999999996</v>
      </c>
      <c r="CL86" s="411">
        <v>4.3326000000000002</v>
      </c>
      <c r="CM86" s="411">
        <v>4.1631999999999998</v>
      </c>
    </row>
    <row r="87" spans="3:91">
      <c r="C87">
        <f t="shared" si="29"/>
        <v>2069</v>
      </c>
      <c r="AR87">
        <f t="shared" si="87"/>
        <v>2011</v>
      </c>
      <c r="AS87" s="307">
        <f t="shared" si="47"/>
        <v>40725</v>
      </c>
      <c r="AT87" s="115">
        <v>59.6</v>
      </c>
      <c r="AU87" s="115">
        <v>45.8</v>
      </c>
      <c r="AV87" s="287">
        <f t="shared" si="33"/>
        <v>53.665999999999997</v>
      </c>
      <c r="AW87" s="271">
        <v>400</v>
      </c>
      <c r="AX87" s="271">
        <v>344</v>
      </c>
      <c r="AY87" s="271">
        <f t="shared" si="88"/>
        <v>0.5376344086021505</v>
      </c>
      <c r="AZ87" s="271">
        <f t="shared" si="89"/>
        <v>0.46236559139784944</v>
      </c>
      <c r="BD87">
        <f t="shared" si="36"/>
        <v>2011</v>
      </c>
      <c r="BE87" s="306">
        <f t="shared" si="38"/>
        <v>40725</v>
      </c>
      <c r="BF87" s="114">
        <f t="shared" si="90"/>
        <v>6.1600299075584557</v>
      </c>
      <c r="BG87" s="115">
        <v>6.1600299075584557</v>
      </c>
      <c r="BI87">
        <f t="shared" si="83"/>
        <v>2010</v>
      </c>
      <c r="BJ87" s="306">
        <v>40329</v>
      </c>
      <c r="BK87">
        <f t="shared" si="84"/>
        <v>4.0507237334999999</v>
      </c>
      <c r="BL87">
        <v>4.1069565079999997</v>
      </c>
      <c r="BM87">
        <v>3.9944909590000002</v>
      </c>
      <c r="BO87">
        <f t="shared" si="85"/>
        <v>2014</v>
      </c>
      <c r="BP87" s="286">
        <v>41730</v>
      </c>
      <c r="BQ87">
        <f t="shared" si="86"/>
        <v>10.259202604999999</v>
      </c>
      <c r="BR87">
        <v>10.338405209999999</v>
      </c>
      <c r="BS87">
        <v>10.18</v>
      </c>
      <c r="BT87">
        <f t="shared" si="80"/>
        <v>2020</v>
      </c>
      <c r="BU87" s="286">
        <v>44105</v>
      </c>
      <c r="BV87">
        <f t="shared" si="71"/>
        <v>2.5445500000000001</v>
      </c>
      <c r="BW87" s="580">
        <v>2.7021000000000002</v>
      </c>
      <c r="BX87" s="580">
        <v>2.387</v>
      </c>
      <c r="BY87">
        <f t="shared" si="81"/>
        <v>2023</v>
      </c>
      <c r="BZ87" s="286">
        <v>45200</v>
      </c>
      <c r="CA87">
        <f t="shared" si="82"/>
        <v>2.8918999999999997</v>
      </c>
      <c r="CB87" s="580">
        <v>3.1391</v>
      </c>
      <c r="CC87" s="580">
        <v>2.6446999999999998</v>
      </c>
      <c r="CD87" s="364">
        <f t="shared" si="76"/>
        <v>2024</v>
      </c>
      <c r="CE87" s="381">
        <v>45597</v>
      </c>
      <c r="CF87" s="364">
        <f t="shared" si="77"/>
        <v>3.1295999999999999</v>
      </c>
      <c r="CG87" s="411">
        <v>3.0653000000000001</v>
      </c>
      <c r="CH87" s="411">
        <v>3.1939000000000002</v>
      </c>
      <c r="CI87" s="364">
        <f t="shared" si="78"/>
        <v>2026</v>
      </c>
      <c r="CJ87" s="381">
        <v>46327</v>
      </c>
      <c r="CK87" s="364">
        <f t="shared" si="79"/>
        <v>5.6548499999999997</v>
      </c>
      <c r="CL87" s="411">
        <v>5.6509</v>
      </c>
      <c r="CM87" s="411">
        <v>5.6588000000000003</v>
      </c>
    </row>
    <row r="88" spans="3:91">
      <c r="C88">
        <f t="shared" si="29"/>
        <v>2070</v>
      </c>
      <c r="AR88">
        <f t="shared" si="87"/>
        <v>2011</v>
      </c>
      <c r="AS88" s="307">
        <f>EOMONTH(AS87,0)+1</f>
        <v>40756</v>
      </c>
      <c r="AT88" s="115">
        <v>72.239999999999995</v>
      </c>
      <c r="AU88" s="115">
        <v>55.72</v>
      </c>
      <c r="AV88" s="287">
        <f t="shared" si="33"/>
        <v>65.136399999999995</v>
      </c>
      <c r="AW88" s="271">
        <v>432</v>
      </c>
      <c r="AX88" s="271">
        <v>312</v>
      </c>
      <c r="AY88" s="271">
        <f t="shared" si="88"/>
        <v>0.58064516129032262</v>
      </c>
      <c r="AZ88" s="271">
        <f t="shared" si="89"/>
        <v>0.41935483870967744</v>
      </c>
      <c r="BD88">
        <f t="shared" si="36"/>
        <v>2011</v>
      </c>
      <c r="BE88" s="306">
        <f>EOMONTH(BE87,0)+1</f>
        <v>40756</v>
      </c>
      <c r="BF88" s="114">
        <f t="shared" si="90"/>
        <v>6.2619874932028274</v>
      </c>
      <c r="BG88" s="115">
        <v>6.2619874932028274</v>
      </c>
      <c r="BI88">
        <f t="shared" si="83"/>
        <v>2010</v>
      </c>
      <c r="BJ88" s="306">
        <v>40359</v>
      </c>
      <c r="BK88">
        <f t="shared" si="84"/>
        <v>4.1263273334999999</v>
      </c>
      <c r="BL88">
        <v>4.1820978179999999</v>
      </c>
      <c r="BM88">
        <v>4.0705568489999999</v>
      </c>
      <c r="BO88">
        <f t="shared" si="85"/>
        <v>2014</v>
      </c>
      <c r="BP88" s="286">
        <v>41760</v>
      </c>
      <c r="BQ88">
        <f t="shared" si="86"/>
        <v>10.239202604999999</v>
      </c>
      <c r="BR88">
        <v>10.31840521</v>
      </c>
      <c r="BS88">
        <v>10.16</v>
      </c>
      <c r="BT88">
        <f t="shared" si="80"/>
        <v>2020</v>
      </c>
      <c r="BU88" s="286">
        <v>44136</v>
      </c>
      <c r="BV88">
        <f t="shared" si="71"/>
        <v>2.9608499999999998</v>
      </c>
      <c r="BW88" s="580">
        <v>2.9001999999999999</v>
      </c>
      <c r="BX88" s="580">
        <v>3.0215000000000001</v>
      </c>
      <c r="BY88">
        <f t="shared" si="81"/>
        <v>2023</v>
      </c>
      <c r="BZ88" s="286">
        <v>45231</v>
      </c>
      <c r="CA88">
        <f t="shared" si="82"/>
        <v>3.1761499999999998</v>
      </c>
      <c r="CB88" s="580">
        <v>3.4357000000000002</v>
      </c>
      <c r="CC88" s="580">
        <v>2.9165999999999999</v>
      </c>
      <c r="CD88" s="364">
        <f t="shared" si="76"/>
        <v>2024</v>
      </c>
      <c r="CE88" s="381">
        <v>45627</v>
      </c>
      <c r="CF88" s="364">
        <f t="shared" si="77"/>
        <v>3.4001999999999999</v>
      </c>
      <c r="CG88" s="411">
        <v>3.2696000000000001</v>
      </c>
      <c r="CH88" s="411">
        <v>3.5308000000000002</v>
      </c>
      <c r="CI88" s="364">
        <f t="shared" si="78"/>
        <v>2026</v>
      </c>
      <c r="CJ88" s="381">
        <v>46357</v>
      </c>
      <c r="CK88" s="364">
        <f t="shared" si="79"/>
        <v>5.81</v>
      </c>
      <c r="CL88" s="411">
        <v>5.8057999999999996</v>
      </c>
      <c r="CM88" s="411">
        <v>5.8141999999999996</v>
      </c>
    </row>
    <row r="89" spans="3:91">
      <c r="AR89">
        <f t="shared" si="87"/>
        <v>2011</v>
      </c>
      <c r="AS89" s="307">
        <f t="shared" si="47"/>
        <v>40787</v>
      </c>
      <c r="AT89" s="115">
        <v>70.66</v>
      </c>
      <c r="AU89" s="115">
        <v>54.48</v>
      </c>
      <c r="AV89" s="287">
        <f t="shared" si="33"/>
        <v>63.70259999999999</v>
      </c>
      <c r="AW89" s="271">
        <v>400</v>
      </c>
      <c r="AX89" s="271">
        <v>320</v>
      </c>
      <c r="AY89" s="271">
        <f t="shared" si="88"/>
        <v>0.55555555555555558</v>
      </c>
      <c r="AZ89" s="271">
        <f t="shared" si="89"/>
        <v>0.44444444444444442</v>
      </c>
      <c r="BD89">
        <f t="shared" si="36"/>
        <v>2011</v>
      </c>
      <c r="BE89" s="306">
        <f t="shared" si="38"/>
        <v>40787</v>
      </c>
      <c r="BF89" s="114">
        <f t="shared" si="90"/>
        <v>6.3435535617183252</v>
      </c>
      <c r="BG89" s="115">
        <v>6.3435535617183252</v>
      </c>
      <c r="BI89">
        <f t="shared" si="83"/>
        <v>2010</v>
      </c>
      <c r="BJ89" s="306">
        <v>40390</v>
      </c>
      <c r="BK89">
        <f t="shared" si="84"/>
        <v>4.1919664005000001</v>
      </c>
      <c r="BL89">
        <v>4.2474286909999996</v>
      </c>
      <c r="BM89">
        <v>4.1365041099999997</v>
      </c>
      <c r="BO89">
        <f t="shared" si="85"/>
        <v>2014</v>
      </c>
      <c r="BP89" s="286">
        <v>41791</v>
      </c>
      <c r="BQ89">
        <f t="shared" si="86"/>
        <v>10.309202604999999</v>
      </c>
      <c r="BR89">
        <v>10.38840521</v>
      </c>
      <c r="BS89">
        <v>10.23</v>
      </c>
      <c r="BT89">
        <f t="shared" si="80"/>
        <v>2020</v>
      </c>
      <c r="BU89" s="286">
        <v>44166</v>
      </c>
      <c r="BV89">
        <f t="shared" si="71"/>
        <v>3.2607499999999998</v>
      </c>
      <c r="BW89" s="580">
        <v>3.0695000000000001</v>
      </c>
      <c r="BX89" s="580">
        <v>3.452</v>
      </c>
      <c r="BY89">
        <f t="shared" si="81"/>
        <v>2023</v>
      </c>
      <c r="BZ89" s="286">
        <v>45261</v>
      </c>
      <c r="CA89">
        <f t="shared" si="82"/>
        <v>3.4542000000000002</v>
      </c>
      <c r="CB89" s="580">
        <v>3.6086999999999998</v>
      </c>
      <c r="CC89" s="580">
        <v>3.2997000000000001</v>
      </c>
      <c r="CD89" s="364">
        <f t="shared" si="76"/>
        <v>2025</v>
      </c>
      <c r="CE89" s="381">
        <v>45658</v>
      </c>
      <c r="CF89" s="364">
        <f t="shared" si="77"/>
        <v>3.4979</v>
      </c>
      <c r="CG89" s="411">
        <v>3.3106</v>
      </c>
      <c r="CH89" s="411">
        <v>3.6852</v>
      </c>
      <c r="CI89" s="364">
        <f t="shared" si="78"/>
        <v>2027</v>
      </c>
      <c r="CJ89" s="381">
        <v>46388</v>
      </c>
      <c r="CK89" s="364">
        <f t="shared" si="79"/>
        <v>6.0104000000000006</v>
      </c>
      <c r="CL89" s="411">
        <v>6.0060000000000002</v>
      </c>
      <c r="CM89" s="411">
        <v>6.0148000000000001</v>
      </c>
    </row>
    <row r="90" spans="3:91">
      <c r="AR90">
        <f t="shared" si="87"/>
        <v>2011</v>
      </c>
      <c r="AS90" s="307">
        <f t="shared" si="47"/>
        <v>40817</v>
      </c>
      <c r="AT90" s="115">
        <v>46.414999999999999</v>
      </c>
      <c r="AU90" s="115">
        <v>41.252499999999998</v>
      </c>
      <c r="AV90" s="287">
        <f t="shared" si="33"/>
        <v>44.19512499999999</v>
      </c>
      <c r="AW90" s="271">
        <v>416</v>
      </c>
      <c r="AX90" s="271">
        <v>328</v>
      </c>
      <c r="AY90" s="271">
        <f t="shared" si="88"/>
        <v>0.55913978494623651</v>
      </c>
      <c r="AZ90" s="271">
        <f t="shared" si="89"/>
        <v>0.44086021505376344</v>
      </c>
      <c r="BD90">
        <f t="shared" si="36"/>
        <v>2011</v>
      </c>
      <c r="BE90" s="306">
        <f t="shared" si="38"/>
        <v>40817</v>
      </c>
      <c r="BF90" s="114">
        <f t="shared" si="90"/>
        <v>6.4699809679173459</v>
      </c>
      <c r="BG90" s="115">
        <v>6.4699809679173459</v>
      </c>
      <c r="BI90">
        <f t="shared" si="83"/>
        <v>2010</v>
      </c>
      <c r="BJ90" s="306">
        <v>40421</v>
      </c>
      <c r="BK90">
        <f t="shared" si="84"/>
        <v>4.2050000000000001</v>
      </c>
      <c r="BL90">
        <v>4.26</v>
      </c>
      <c r="BM90">
        <v>4.1500000000000004</v>
      </c>
      <c r="BO90">
        <f t="shared" si="85"/>
        <v>2014</v>
      </c>
      <c r="BP90" s="286">
        <v>41821</v>
      </c>
      <c r="BQ90">
        <f t="shared" si="86"/>
        <v>10.389202605000001</v>
      </c>
      <c r="BR90">
        <v>10.46840521</v>
      </c>
      <c r="BS90">
        <v>10.31</v>
      </c>
      <c r="BT90">
        <f t="shared" si="80"/>
        <v>2021</v>
      </c>
      <c r="BU90" s="286">
        <v>44197</v>
      </c>
      <c r="BV90">
        <f t="shared" si="71"/>
        <v>3.28735</v>
      </c>
      <c r="BW90" s="580">
        <v>3.1857000000000002</v>
      </c>
      <c r="BX90" s="580">
        <v>3.3889999999999998</v>
      </c>
      <c r="BY90">
        <f t="shared" si="81"/>
        <v>2024</v>
      </c>
      <c r="BZ90" s="286">
        <v>45292</v>
      </c>
      <c r="CA90">
        <f t="shared" si="82"/>
        <v>3.4733499999999999</v>
      </c>
      <c r="CB90" s="580">
        <v>3.6375000000000002</v>
      </c>
      <c r="CC90" s="580">
        <v>3.3092000000000001</v>
      </c>
      <c r="CD90" s="364">
        <f t="shared" si="76"/>
        <v>2025</v>
      </c>
      <c r="CE90" s="381">
        <v>45689</v>
      </c>
      <c r="CF90" s="364">
        <f t="shared" si="77"/>
        <v>3.3170500000000001</v>
      </c>
      <c r="CG90" s="411">
        <v>3.1898</v>
      </c>
      <c r="CH90" s="411">
        <v>3.4443000000000001</v>
      </c>
      <c r="CI90" s="364">
        <f t="shared" si="78"/>
        <v>2027</v>
      </c>
      <c r="CJ90" s="381">
        <v>46419</v>
      </c>
      <c r="CK90" s="364">
        <f t="shared" si="79"/>
        <v>5.90435</v>
      </c>
      <c r="CL90" s="411">
        <v>5.9002999999999997</v>
      </c>
      <c r="CM90" s="411">
        <v>5.9084000000000003</v>
      </c>
    </row>
    <row r="91" spans="3:91">
      <c r="AR91">
        <f t="shared" si="87"/>
        <v>2011</v>
      </c>
      <c r="AS91" s="307">
        <f t="shared" si="47"/>
        <v>40848</v>
      </c>
      <c r="AT91" s="115">
        <v>59.284999999999997</v>
      </c>
      <c r="AU91" s="115">
        <v>50.515000000000001</v>
      </c>
      <c r="AV91" s="287">
        <f t="shared" si="33"/>
        <v>55.513899999999992</v>
      </c>
      <c r="AW91" s="271">
        <v>400</v>
      </c>
      <c r="AX91" s="271">
        <v>320</v>
      </c>
      <c r="AY91" s="271">
        <f t="shared" si="88"/>
        <v>0.55555555555555558</v>
      </c>
      <c r="AZ91" s="271">
        <f t="shared" si="89"/>
        <v>0.44444444444444442</v>
      </c>
      <c r="BD91">
        <f t="shared" si="36"/>
        <v>2011</v>
      </c>
      <c r="BE91" s="306">
        <f t="shared" si="38"/>
        <v>40848</v>
      </c>
      <c r="BF91" s="114">
        <f t="shared" si="90"/>
        <v>7.2567196846112019</v>
      </c>
      <c r="BG91" s="115">
        <v>7.2567196846112019</v>
      </c>
      <c r="BI91">
        <f t="shared" si="83"/>
        <v>2010</v>
      </c>
      <c r="BJ91" s="306">
        <v>40451</v>
      </c>
      <c r="BK91">
        <f t="shared" si="84"/>
        <v>4.2050000000000001</v>
      </c>
      <c r="BL91">
        <v>4.26</v>
      </c>
      <c r="BM91">
        <v>4.1500000000000004</v>
      </c>
      <c r="BO91">
        <f t="shared" si="85"/>
        <v>2014</v>
      </c>
      <c r="BP91" s="286">
        <v>41852</v>
      </c>
      <c r="BQ91">
        <f t="shared" si="86"/>
        <v>9.18658164</v>
      </c>
      <c r="BR91">
        <v>9.2760078400000001</v>
      </c>
      <c r="BS91">
        <v>9.0971554399999999</v>
      </c>
      <c r="BT91">
        <f t="shared" si="80"/>
        <v>2021</v>
      </c>
      <c r="BU91" s="286">
        <v>44228</v>
      </c>
      <c r="BV91">
        <f t="shared" si="71"/>
        <v>3.1587000000000001</v>
      </c>
      <c r="BW91" s="580">
        <v>3.1534</v>
      </c>
      <c r="BX91" s="580">
        <v>3.1640000000000001</v>
      </c>
      <c r="BY91">
        <f t="shared" si="81"/>
        <v>2024</v>
      </c>
      <c r="BZ91" s="286">
        <v>45323</v>
      </c>
      <c r="CA91">
        <f t="shared" si="82"/>
        <v>3.4291</v>
      </c>
      <c r="CB91" s="580">
        <v>3.6375000000000002</v>
      </c>
      <c r="CC91" s="580">
        <v>3.2206999999999999</v>
      </c>
      <c r="CD91" s="364">
        <f t="shared" si="76"/>
        <v>2025</v>
      </c>
      <c r="CE91" s="381">
        <v>45717</v>
      </c>
      <c r="CF91" s="364">
        <f t="shared" si="77"/>
        <v>2.9375999999999998</v>
      </c>
      <c r="CG91" s="411">
        <v>2.9474999999999998</v>
      </c>
      <c r="CH91" s="411">
        <v>2.9277000000000002</v>
      </c>
      <c r="CI91" s="364">
        <f t="shared" si="78"/>
        <v>2027</v>
      </c>
      <c r="CJ91" s="381">
        <v>46447</v>
      </c>
      <c r="CK91" s="364">
        <f t="shared" si="79"/>
        <v>4.5771999999999995</v>
      </c>
      <c r="CL91" s="411">
        <v>4.577</v>
      </c>
      <c r="CM91" s="411">
        <v>4.5773999999999999</v>
      </c>
    </row>
    <row r="92" spans="3:91">
      <c r="AR92">
        <f t="shared" si="87"/>
        <v>2011</v>
      </c>
      <c r="AS92" s="307">
        <f t="shared" si="47"/>
        <v>40878</v>
      </c>
      <c r="AT92" s="115">
        <v>74.3</v>
      </c>
      <c r="AU92" s="115">
        <v>63.482500000000002</v>
      </c>
      <c r="AV92" s="287">
        <f t="shared" si="33"/>
        <v>69.648474999999991</v>
      </c>
      <c r="AW92" s="271">
        <v>416</v>
      </c>
      <c r="AX92" s="271">
        <v>328</v>
      </c>
      <c r="AY92" s="271">
        <f t="shared" si="88"/>
        <v>0.55913978494623651</v>
      </c>
      <c r="AZ92" s="271">
        <f t="shared" si="89"/>
        <v>0.44086021505376344</v>
      </c>
      <c r="BD92">
        <f t="shared" si="36"/>
        <v>2011</v>
      </c>
      <c r="BE92" s="306">
        <f t="shared" si="38"/>
        <v>40878</v>
      </c>
      <c r="BF92" s="114">
        <f t="shared" si="90"/>
        <v>8.0390062533985862</v>
      </c>
      <c r="BG92" s="115">
        <v>8.0390062533985862</v>
      </c>
      <c r="BI92">
        <f t="shared" si="83"/>
        <v>2010</v>
      </c>
      <c r="BJ92" s="306">
        <v>40482</v>
      </c>
      <c r="BK92">
        <f t="shared" si="84"/>
        <v>4.3599999999999994</v>
      </c>
      <c r="BL92">
        <v>4.38</v>
      </c>
      <c r="BM92">
        <v>4.34</v>
      </c>
      <c r="BO92">
        <f t="shared" si="85"/>
        <v>2014</v>
      </c>
      <c r="BP92" s="286">
        <v>41883</v>
      </c>
      <c r="BQ92">
        <f t="shared" si="86"/>
        <v>9.1965816399999998</v>
      </c>
      <c r="BR92">
        <v>9.2860078399999999</v>
      </c>
      <c r="BS92">
        <v>9.1071554399999997</v>
      </c>
      <c r="BT92">
        <f t="shared" si="80"/>
        <v>2021</v>
      </c>
      <c r="BU92" s="286">
        <v>44256</v>
      </c>
      <c r="BV92">
        <f t="shared" si="71"/>
        <v>3.11015</v>
      </c>
      <c r="BW92" s="580">
        <v>3.0888</v>
      </c>
      <c r="BX92" s="580">
        <v>3.1315</v>
      </c>
      <c r="BY92">
        <f t="shared" si="81"/>
        <v>2024</v>
      </c>
      <c r="BZ92" s="286">
        <v>45352</v>
      </c>
      <c r="CA92">
        <f t="shared" si="82"/>
        <v>3.3091499999999998</v>
      </c>
      <c r="CB92" s="580">
        <v>3.5238999999999998</v>
      </c>
      <c r="CC92" s="580">
        <v>3.0943999999999998</v>
      </c>
      <c r="CD92" s="364">
        <f t="shared" si="76"/>
        <v>2025</v>
      </c>
      <c r="CE92" s="381">
        <v>45748</v>
      </c>
      <c r="CF92" s="364">
        <f t="shared" si="77"/>
        <v>2.4392499999999999</v>
      </c>
      <c r="CG92" s="411">
        <v>2.5392999999999999</v>
      </c>
      <c r="CH92" s="411">
        <v>2.3391999999999999</v>
      </c>
      <c r="CI92" s="364">
        <f t="shared" si="78"/>
        <v>2027</v>
      </c>
      <c r="CJ92" s="381">
        <v>46478</v>
      </c>
      <c r="CK92" s="364">
        <f t="shared" si="79"/>
        <v>4.1513500000000008</v>
      </c>
      <c r="CL92" s="411">
        <v>4.1344000000000003</v>
      </c>
      <c r="CM92" s="411">
        <v>4.1683000000000003</v>
      </c>
    </row>
    <row r="93" spans="3:91">
      <c r="C93" s="310" t="s">
        <v>93</v>
      </c>
      <c r="G93" s="230">
        <f>G71*(1+$CZ$42)</f>
        <v>12.577539596069157</v>
      </c>
      <c r="AR93">
        <f t="shared" si="87"/>
        <v>2012</v>
      </c>
      <c r="AS93" s="307">
        <f t="shared" si="47"/>
        <v>40909</v>
      </c>
      <c r="AT93" s="115">
        <v>71.400000000000006</v>
      </c>
      <c r="AU93" s="115">
        <v>65.004999999999995</v>
      </c>
      <c r="AV93" s="287">
        <f t="shared" si="33"/>
        <v>68.650149999999996</v>
      </c>
      <c r="AW93" s="271">
        <v>400</v>
      </c>
      <c r="AX93" s="271">
        <v>344</v>
      </c>
      <c r="AY93" s="271">
        <f t="shared" si="88"/>
        <v>0.5376344086021505</v>
      </c>
      <c r="AZ93" s="271">
        <f t="shared" si="89"/>
        <v>0.46236559139784944</v>
      </c>
      <c r="BD93">
        <f t="shared" si="36"/>
        <v>2012</v>
      </c>
      <c r="BE93" s="306">
        <f t="shared" si="38"/>
        <v>40909</v>
      </c>
      <c r="BF93" s="114">
        <f t="shared" si="90"/>
        <v>8.4025393114464375</v>
      </c>
      <c r="BG93" s="115">
        <v>8.4025393114464375</v>
      </c>
      <c r="BI93">
        <f t="shared" si="83"/>
        <v>2010</v>
      </c>
      <c r="BJ93" s="306">
        <v>40512</v>
      </c>
      <c r="BK93">
        <f t="shared" si="84"/>
        <v>4.43</v>
      </c>
      <c r="BL93">
        <v>4.45</v>
      </c>
      <c r="BM93">
        <v>4.41</v>
      </c>
      <c r="BO93">
        <f t="shared" si="85"/>
        <v>2014</v>
      </c>
      <c r="BP93" s="286">
        <v>41913</v>
      </c>
      <c r="BQ93">
        <f t="shared" si="86"/>
        <v>9.3909599650000004</v>
      </c>
      <c r="BR93">
        <v>9.4479726999999993</v>
      </c>
      <c r="BS93">
        <v>9.3339472299999997</v>
      </c>
      <c r="BT93">
        <f t="shared" si="80"/>
        <v>2021</v>
      </c>
      <c r="BU93" s="286">
        <v>44287</v>
      </c>
      <c r="BV93">
        <f t="shared" si="71"/>
        <v>2.5393999999999997</v>
      </c>
      <c r="BW93" s="580">
        <v>2.6122999999999998</v>
      </c>
      <c r="BX93" s="580">
        <v>2.4664999999999999</v>
      </c>
      <c r="BY93">
        <f t="shared" si="81"/>
        <v>2024</v>
      </c>
      <c r="BZ93" s="286">
        <v>45383</v>
      </c>
      <c r="CA93">
        <f t="shared" si="82"/>
        <v>3.2712500000000002</v>
      </c>
      <c r="CB93" s="580">
        <v>3.4102000000000001</v>
      </c>
      <c r="CC93" s="580">
        <v>3.1322999999999999</v>
      </c>
      <c r="CD93" s="364">
        <f t="shared" si="76"/>
        <v>2025</v>
      </c>
      <c r="CE93" s="381">
        <v>45778</v>
      </c>
      <c r="CF93" s="364">
        <f t="shared" si="77"/>
        <v>2.8787500000000001</v>
      </c>
      <c r="CG93" s="411">
        <v>2.9542000000000002</v>
      </c>
      <c r="CH93" s="411">
        <v>2.8033000000000001</v>
      </c>
      <c r="CI93" s="364">
        <f t="shared" si="78"/>
        <v>2027</v>
      </c>
      <c r="CJ93" s="381">
        <v>46508</v>
      </c>
      <c r="CK93" s="364">
        <f t="shared" si="79"/>
        <v>4.0822500000000002</v>
      </c>
      <c r="CL93" s="411">
        <v>4.1298000000000004</v>
      </c>
      <c r="CM93" s="411">
        <v>4.0347</v>
      </c>
    </row>
    <row r="94" spans="3:91">
      <c r="C94" t="s">
        <v>94</v>
      </c>
      <c r="G94" s="230">
        <f>G93*(1+$CZ$42)</f>
        <v>12.891978085970884</v>
      </c>
      <c r="AR94">
        <f t="shared" si="87"/>
        <v>2012</v>
      </c>
      <c r="AS94" s="307">
        <f t="shared" si="47"/>
        <v>40940</v>
      </c>
      <c r="AT94" s="115">
        <v>66.599999999999994</v>
      </c>
      <c r="AU94" s="115">
        <v>62.145000000000003</v>
      </c>
      <c r="AV94" s="287">
        <f t="shared" ref="AV94:AV157" si="91">AT94*0.57+AU94*0.43</f>
        <v>64.684349999999995</v>
      </c>
      <c r="AW94" s="271">
        <v>400</v>
      </c>
      <c r="AX94" s="271">
        <v>296</v>
      </c>
      <c r="AY94" s="271">
        <f t="shared" si="88"/>
        <v>0.57471264367816088</v>
      </c>
      <c r="AZ94" s="271">
        <f t="shared" si="89"/>
        <v>0.42528735632183906</v>
      </c>
      <c r="BD94">
        <f t="shared" si="36"/>
        <v>2012</v>
      </c>
      <c r="BE94" s="306">
        <f t="shared" si="38"/>
        <v>40940</v>
      </c>
      <c r="BF94" s="114">
        <f t="shared" si="90"/>
        <v>8.4025393114464375</v>
      </c>
      <c r="BG94" s="115">
        <v>8.4025393114464375</v>
      </c>
      <c r="BI94">
        <f t="shared" si="83"/>
        <v>2010</v>
      </c>
      <c r="BJ94" s="306">
        <v>40543</v>
      </c>
      <c r="BK94">
        <f t="shared" si="84"/>
        <v>4.6449999999999996</v>
      </c>
      <c r="BL94">
        <v>4.63</v>
      </c>
      <c r="BM94">
        <v>4.66</v>
      </c>
      <c r="BO94">
        <f t="shared" si="85"/>
        <v>2014</v>
      </c>
      <c r="BP94" s="286">
        <v>41944</v>
      </c>
      <c r="BQ94">
        <f t="shared" si="86"/>
        <v>9.8600831450000008</v>
      </c>
      <c r="BR94">
        <v>9.6664551299999992</v>
      </c>
      <c r="BS94">
        <v>10.053711160000001</v>
      </c>
      <c r="BT94">
        <f t="shared" si="80"/>
        <v>2021</v>
      </c>
      <c r="BU94" s="286">
        <v>44317</v>
      </c>
      <c r="BV94">
        <f t="shared" si="71"/>
        <v>2.5087000000000002</v>
      </c>
      <c r="BW94" s="580">
        <v>2.6004</v>
      </c>
      <c r="BX94" s="580">
        <v>2.4169999999999998</v>
      </c>
      <c r="BY94">
        <f t="shared" si="81"/>
        <v>2024</v>
      </c>
      <c r="BZ94" s="286">
        <v>45413</v>
      </c>
      <c r="CA94">
        <f t="shared" si="82"/>
        <v>3.2839</v>
      </c>
      <c r="CB94" s="580">
        <v>3.4102000000000001</v>
      </c>
      <c r="CC94" s="580">
        <v>3.1576</v>
      </c>
      <c r="CD94" s="364">
        <f t="shared" si="76"/>
        <v>2025</v>
      </c>
      <c r="CE94" s="381">
        <v>45809</v>
      </c>
      <c r="CF94" s="364">
        <f t="shared" si="77"/>
        <v>2.9416000000000002</v>
      </c>
      <c r="CG94" s="411">
        <v>3.0169999999999999</v>
      </c>
      <c r="CH94" s="411">
        <v>2.8662000000000001</v>
      </c>
      <c r="CI94" s="364">
        <f t="shared" si="78"/>
        <v>2027</v>
      </c>
      <c r="CJ94" s="381">
        <v>46539</v>
      </c>
      <c r="CK94" s="364">
        <f t="shared" si="79"/>
        <v>4.1006499999999999</v>
      </c>
      <c r="CL94" s="411">
        <v>4.2007000000000003</v>
      </c>
      <c r="CM94" s="411">
        <v>4.0006000000000004</v>
      </c>
    </row>
    <row r="95" spans="3:91">
      <c r="G95" s="230">
        <f>G94*(1+$CZ$42)</f>
        <v>13.214277538120154</v>
      </c>
      <c r="AR95">
        <f t="shared" si="87"/>
        <v>2012</v>
      </c>
      <c r="AS95" s="307">
        <f t="shared" si="47"/>
        <v>40969</v>
      </c>
      <c r="AT95" s="115">
        <v>57.8</v>
      </c>
      <c r="AU95" s="115">
        <v>52.85</v>
      </c>
      <c r="AV95" s="287">
        <f t="shared" si="91"/>
        <v>55.671499999999995</v>
      </c>
      <c r="AW95" s="271">
        <v>432</v>
      </c>
      <c r="AX95" s="271">
        <v>312</v>
      </c>
      <c r="AY95" s="271">
        <f t="shared" si="88"/>
        <v>0.58064516129032262</v>
      </c>
      <c r="AZ95" s="271">
        <f t="shared" si="89"/>
        <v>0.41935483870967744</v>
      </c>
      <c r="BD95">
        <f t="shared" si="36"/>
        <v>2012</v>
      </c>
      <c r="BE95" s="306">
        <f t="shared" si="38"/>
        <v>40969</v>
      </c>
      <c r="BF95" s="114">
        <f t="shared" si="90"/>
        <v>8.1656679445350733</v>
      </c>
      <c r="BG95" s="115">
        <v>8.1656679445350733</v>
      </c>
      <c r="BI95">
        <f t="shared" si="83"/>
        <v>2011</v>
      </c>
      <c r="BJ95" s="306">
        <v>40574</v>
      </c>
      <c r="BK95">
        <f t="shared" si="84"/>
        <v>5.03</v>
      </c>
      <c r="BL95">
        <v>4.9800000000000004</v>
      </c>
      <c r="BM95">
        <v>5.08</v>
      </c>
      <c r="BO95">
        <f t="shared" si="85"/>
        <v>2014</v>
      </c>
      <c r="BP95" s="286">
        <v>41974</v>
      </c>
      <c r="BQ95">
        <f t="shared" si="86"/>
        <v>10.286084649999999</v>
      </c>
      <c r="BR95">
        <v>10.05940242</v>
      </c>
      <c r="BS95">
        <v>10.512766879999999</v>
      </c>
      <c r="BT95">
        <f t="shared" si="80"/>
        <v>2021</v>
      </c>
      <c r="BU95" s="286">
        <v>44348</v>
      </c>
      <c r="BV95">
        <f t="shared" si="71"/>
        <v>2.5305499999999999</v>
      </c>
      <c r="BW95" s="580">
        <v>2.6371000000000002</v>
      </c>
      <c r="BX95" s="580">
        <v>2.4239999999999999</v>
      </c>
      <c r="BY95">
        <f t="shared" si="81"/>
        <v>2024</v>
      </c>
      <c r="BZ95" s="286">
        <v>45444</v>
      </c>
      <c r="CA95">
        <f t="shared" si="82"/>
        <v>3.2902500000000003</v>
      </c>
      <c r="CB95" s="580">
        <v>3.4355000000000002</v>
      </c>
      <c r="CC95" s="580">
        <v>3.145</v>
      </c>
      <c r="CD95" s="364">
        <f t="shared" si="76"/>
        <v>2025</v>
      </c>
      <c r="CE95" s="381">
        <v>45839</v>
      </c>
      <c r="CF95" s="364">
        <f t="shared" si="77"/>
        <v>2.9667500000000002</v>
      </c>
      <c r="CG95" s="411">
        <v>3.0421999999999998</v>
      </c>
      <c r="CH95" s="411">
        <v>2.8913000000000002</v>
      </c>
      <c r="CI95" s="364">
        <f t="shared" si="78"/>
        <v>2027</v>
      </c>
      <c r="CJ95" s="381">
        <v>46569</v>
      </c>
      <c r="CK95" s="364">
        <f t="shared" si="79"/>
        <v>4.1827000000000005</v>
      </c>
      <c r="CL95" s="411">
        <v>4.3269000000000002</v>
      </c>
      <c r="CM95" s="411">
        <v>4.0385</v>
      </c>
    </row>
    <row r="96" spans="3:91">
      <c r="C96" t="s">
        <v>297</v>
      </c>
      <c r="G96" s="230">
        <f>G95*(1+$CZ$42)</f>
        <v>13.544634476573156</v>
      </c>
      <c r="AR96">
        <f t="shared" si="87"/>
        <v>2012</v>
      </c>
      <c r="AS96" s="307">
        <f t="shared" si="47"/>
        <v>41000</v>
      </c>
      <c r="AT96" s="115">
        <v>40.29</v>
      </c>
      <c r="AU96" s="115">
        <v>30.2</v>
      </c>
      <c r="AV96" s="287">
        <f t="shared" si="91"/>
        <v>35.951299999999996</v>
      </c>
      <c r="AW96" s="271">
        <v>400</v>
      </c>
      <c r="AX96" s="271">
        <v>320</v>
      </c>
      <c r="AY96" s="271">
        <f t="shared" si="88"/>
        <v>0.55555555555555558</v>
      </c>
      <c r="AZ96" s="271">
        <f t="shared" si="89"/>
        <v>0.44444444444444442</v>
      </c>
      <c r="BD96">
        <f t="shared" si="36"/>
        <v>2012</v>
      </c>
      <c r="BE96" s="306">
        <f t="shared" si="38"/>
        <v>41000</v>
      </c>
      <c r="BF96" s="114">
        <f t="shared" si="90"/>
        <v>5.7764470364328444</v>
      </c>
      <c r="BG96" s="115">
        <v>5.7764470364328444</v>
      </c>
      <c r="BI96">
        <f t="shared" si="83"/>
        <v>2011</v>
      </c>
      <c r="BJ96" s="306">
        <v>40602</v>
      </c>
      <c r="BK96">
        <f t="shared" si="84"/>
        <v>4.6850000000000005</v>
      </c>
      <c r="BL96">
        <v>4.67</v>
      </c>
      <c r="BM96">
        <v>4.7</v>
      </c>
      <c r="BO96">
        <f t="shared" si="85"/>
        <v>2015</v>
      </c>
      <c r="BP96" s="286">
        <v>42005</v>
      </c>
      <c r="BQ96">
        <f t="shared" si="86"/>
        <v>11.006556585</v>
      </c>
      <c r="BR96">
        <v>10.74499533</v>
      </c>
      <c r="BS96">
        <v>11.26811784</v>
      </c>
      <c r="BT96">
        <f t="shared" si="80"/>
        <v>2021</v>
      </c>
      <c r="BU96" s="286">
        <v>44378</v>
      </c>
      <c r="BV96">
        <f t="shared" si="71"/>
        <v>2.6737500000000001</v>
      </c>
      <c r="BW96" s="580">
        <v>2.7225000000000001</v>
      </c>
      <c r="BX96" s="580">
        <v>2.625</v>
      </c>
      <c r="BY96">
        <f t="shared" si="81"/>
        <v>2024</v>
      </c>
      <c r="BZ96" s="286">
        <v>45474</v>
      </c>
      <c r="CA96">
        <f t="shared" si="82"/>
        <v>3.4291499999999999</v>
      </c>
      <c r="CB96" s="580">
        <v>3.5491000000000001</v>
      </c>
      <c r="CC96" s="580">
        <v>3.3092000000000001</v>
      </c>
      <c r="CD96" s="364">
        <f t="shared" si="76"/>
        <v>2025</v>
      </c>
      <c r="CE96" s="381">
        <v>45870</v>
      </c>
      <c r="CF96" s="364">
        <f t="shared" si="77"/>
        <v>3.0106999999999999</v>
      </c>
      <c r="CG96" s="411">
        <v>3.105</v>
      </c>
      <c r="CH96" s="411">
        <v>2.9163999999999999</v>
      </c>
      <c r="CI96" s="364">
        <f t="shared" si="78"/>
        <v>2027</v>
      </c>
      <c r="CJ96" s="381">
        <v>46600</v>
      </c>
      <c r="CK96" s="364">
        <f t="shared" si="79"/>
        <v>4.7403499999999994</v>
      </c>
      <c r="CL96" s="411">
        <v>4.8640999999999996</v>
      </c>
      <c r="CM96" s="411">
        <v>4.6166</v>
      </c>
    </row>
    <row r="97" spans="1:91">
      <c r="AR97">
        <f t="shared" si="87"/>
        <v>2012</v>
      </c>
      <c r="AS97" s="307">
        <f t="shared" si="47"/>
        <v>41030</v>
      </c>
      <c r="AT97" s="115">
        <v>31.56</v>
      </c>
      <c r="AU97" s="115">
        <v>20.47</v>
      </c>
      <c r="AV97" s="287">
        <f t="shared" si="91"/>
        <v>26.791299999999996</v>
      </c>
      <c r="AW97" s="271">
        <v>416</v>
      </c>
      <c r="AX97" s="271">
        <v>328</v>
      </c>
      <c r="AY97" s="271">
        <f t="shared" si="88"/>
        <v>0.55913978494623651</v>
      </c>
      <c r="AZ97" s="271">
        <f t="shared" si="89"/>
        <v>0.44086021505376344</v>
      </c>
      <c r="BD97">
        <f t="shared" si="36"/>
        <v>2012</v>
      </c>
      <c r="BE97" s="306">
        <f t="shared" si="38"/>
        <v>41030</v>
      </c>
      <c r="BF97" s="114">
        <f t="shared" si="90"/>
        <v>5.5833338431212614</v>
      </c>
      <c r="BG97" s="115">
        <v>5.5833338431212614</v>
      </c>
      <c r="BI97">
        <f t="shared" si="83"/>
        <v>2011</v>
      </c>
      <c r="BJ97" s="306">
        <v>40633</v>
      </c>
      <c r="BK97">
        <f t="shared" si="84"/>
        <v>4.4000000000000004</v>
      </c>
      <c r="BL97">
        <v>4.42</v>
      </c>
      <c r="BM97">
        <v>4.38</v>
      </c>
      <c r="BO97">
        <f t="shared" si="85"/>
        <v>2015</v>
      </c>
      <c r="BP97" s="286">
        <v>42036</v>
      </c>
      <c r="BQ97">
        <f t="shared" si="86"/>
        <v>10.646832405</v>
      </c>
      <c r="BR97">
        <v>10.42132174</v>
      </c>
      <c r="BS97">
        <v>10.872343069999999</v>
      </c>
      <c r="BT97">
        <f>YEAR(BU97)</f>
        <v>2021</v>
      </c>
      <c r="BU97" s="286">
        <v>44409</v>
      </c>
      <c r="BV97">
        <f t="shared" si="71"/>
        <v>2.6960500000000001</v>
      </c>
      <c r="BW97" s="580">
        <v>2.7721</v>
      </c>
      <c r="BX97" s="580">
        <v>2.62</v>
      </c>
      <c r="BY97">
        <f>YEAR(BZ97)</f>
        <v>2024</v>
      </c>
      <c r="BZ97" s="286">
        <v>45505</v>
      </c>
      <c r="CA97">
        <f t="shared" si="82"/>
        <v>3.46075</v>
      </c>
      <c r="CB97" s="580">
        <v>3.5617999999999999</v>
      </c>
      <c r="CC97" s="580">
        <v>3.3597000000000001</v>
      </c>
      <c r="CD97" s="364">
        <f>YEAR(CE97)</f>
        <v>2025</v>
      </c>
      <c r="CE97" s="381">
        <v>45901</v>
      </c>
      <c r="CF97" s="364">
        <f t="shared" si="77"/>
        <v>2.8850499999999997</v>
      </c>
      <c r="CG97" s="411">
        <v>3.0295999999999998</v>
      </c>
      <c r="CH97" s="411">
        <v>2.7404999999999999</v>
      </c>
      <c r="CI97" s="364">
        <f>YEAR(CJ97)</f>
        <v>2027</v>
      </c>
      <c r="CJ97" s="381">
        <v>46631</v>
      </c>
      <c r="CK97" s="364">
        <f t="shared" si="79"/>
        <v>4.8444000000000003</v>
      </c>
      <c r="CL97" s="411">
        <v>4.9503000000000004</v>
      </c>
      <c r="CM97" s="411">
        <v>4.7385000000000002</v>
      </c>
    </row>
    <row r="98" spans="1:91">
      <c r="C98" s="310" t="s">
        <v>339</v>
      </c>
      <c r="AR98">
        <f t="shared" si="87"/>
        <v>2012</v>
      </c>
      <c r="AS98" s="307">
        <f t="shared" si="47"/>
        <v>41061</v>
      </c>
      <c r="AT98" s="115">
        <v>28.65</v>
      </c>
      <c r="AU98" s="115">
        <v>19.079999999999998</v>
      </c>
      <c r="AV98" s="287">
        <f t="shared" si="91"/>
        <v>24.534899999999997</v>
      </c>
      <c r="AW98" s="271">
        <v>416</v>
      </c>
      <c r="AX98" s="271">
        <v>304</v>
      </c>
      <c r="AY98" s="271">
        <f t="shared" si="88"/>
        <v>0.57777777777777772</v>
      </c>
      <c r="AZ98" s="271">
        <f t="shared" si="89"/>
        <v>0.42222222222222222</v>
      </c>
      <c r="BD98">
        <f t="shared" ref="BD98:BD161" si="92">+YEAR(BE98)</f>
        <v>2012</v>
      </c>
      <c r="BE98" s="306">
        <f t="shared" si="38"/>
        <v>41061</v>
      </c>
      <c r="BF98" s="114">
        <f t="shared" si="90"/>
        <v>5.6750626155519299</v>
      </c>
      <c r="BG98" s="115">
        <v>5.6750626155519299</v>
      </c>
      <c r="BI98">
        <f t="shared" si="83"/>
        <v>2011</v>
      </c>
      <c r="BJ98" s="306">
        <v>40663</v>
      </c>
      <c r="BK98">
        <f t="shared" si="84"/>
        <v>4.1050000000000004</v>
      </c>
      <c r="BL98">
        <v>4.16</v>
      </c>
      <c r="BM98">
        <v>4.05</v>
      </c>
      <c r="BO98">
        <f t="shared" si="85"/>
        <v>2015</v>
      </c>
      <c r="BP98" s="286">
        <v>42064</v>
      </c>
      <c r="BQ98">
        <f t="shared" si="86"/>
        <v>10.241998479999999</v>
      </c>
      <c r="BR98">
        <v>10.05188287</v>
      </c>
      <c r="BS98">
        <v>10.432114090000001</v>
      </c>
      <c r="BT98">
        <f t="shared" ref="BT98:BT161" si="93">YEAR(BU98)</f>
        <v>2021</v>
      </c>
      <c r="BU98" s="286">
        <v>44440</v>
      </c>
      <c r="BV98">
        <f t="shared" si="71"/>
        <v>2.7298</v>
      </c>
      <c r="BW98" s="580">
        <v>2.7795999999999998</v>
      </c>
      <c r="BX98" s="580">
        <v>2.68</v>
      </c>
      <c r="BY98">
        <f t="shared" ref="BY98:BY161" si="94">YEAR(BZ98)</f>
        <v>2024</v>
      </c>
      <c r="BZ98" s="286">
        <v>45536</v>
      </c>
      <c r="CA98">
        <f t="shared" si="82"/>
        <v>3.4481000000000002</v>
      </c>
      <c r="CB98" s="580">
        <v>3.6122999999999998</v>
      </c>
      <c r="CC98" s="580">
        <v>3.2839</v>
      </c>
      <c r="CD98" s="364">
        <f t="shared" ref="CD98:CD161" si="95">YEAR(CE98)</f>
        <v>2025</v>
      </c>
      <c r="CE98" s="381">
        <v>45931</v>
      </c>
      <c r="CF98" s="364">
        <f t="shared" si="77"/>
        <v>2.9039000000000001</v>
      </c>
      <c r="CG98" s="411">
        <v>3.0672999999999999</v>
      </c>
      <c r="CH98" s="411">
        <v>2.7404999999999999</v>
      </c>
      <c r="CI98" s="364">
        <f t="shared" ref="CI98:CI161" si="96">YEAR(CJ98)</f>
        <v>2027</v>
      </c>
      <c r="CJ98" s="381">
        <v>46661</v>
      </c>
      <c r="CK98" s="364">
        <f t="shared" si="79"/>
        <v>4.9543499999999998</v>
      </c>
      <c r="CL98" s="411">
        <v>5.0113000000000003</v>
      </c>
      <c r="CM98" s="411">
        <v>4.8974000000000002</v>
      </c>
    </row>
    <row r="99" spans="1:91">
      <c r="AR99">
        <f t="shared" si="87"/>
        <v>2012</v>
      </c>
      <c r="AS99" s="307">
        <f t="shared" si="47"/>
        <v>41091</v>
      </c>
      <c r="AT99" s="115">
        <v>56.1</v>
      </c>
      <c r="AU99" s="115">
        <v>44.3</v>
      </c>
      <c r="AV99" s="287">
        <f t="shared" si="91"/>
        <v>51.025999999999996</v>
      </c>
      <c r="AW99" s="271">
        <v>400</v>
      </c>
      <c r="AX99" s="271">
        <v>344</v>
      </c>
      <c r="AY99" s="271">
        <f t="shared" si="88"/>
        <v>0.5376344086021505</v>
      </c>
      <c r="AZ99" s="271">
        <f t="shared" si="89"/>
        <v>0.46236559139784944</v>
      </c>
      <c r="BD99">
        <f t="shared" si="92"/>
        <v>2012</v>
      </c>
      <c r="BE99" s="306">
        <f t="shared" ref="BE99:BE162" si="97">EOMONTH(BE98,0)+1</f>
        <v>41091</v>
      </c>
      <c r="BF99" s="114">
        <f t="shared" si="90"/>
        <v>5.8090734638390433</v>
      </c>
      <c r="BG99" s="115">
        <v>5.8090734638390433</v>
      </c>
      <c r="BI99">
        <f t="shared" si="83"/>
        <v>2011</v>
      </c>
      <c r="BJ99" s="306">
        <v>40694</v>
      </c>
      <c r="BK99">
        <f t="shared" si="84"/>
        <v>4.1050000000000004</v>
      </c>
      <c r="BL99">
        <v>4.16</v>
      </c>
      <c r="BM99">
        <v>4.05</v>
      </c>
      <c r="BO99">
        <f t="shared" si="85"/>
        <v>2015</v>
      </c>
      <c r="BP99" s="286">
        <v>42095</v>
      </c>
      <c r="BQ99">
        <f t="shared" si="86"/>
        <v>9.3140395500000004</v>
      </c>
      <c r="BR99">
        <v>9.4086939899999997</v>
      </c>
      <c r="BS99">
        <v>9.2193851099999993</v>
      </c>
      <c r="BT99">
        <f t="shared" si="93"/>
        <v>2021</v>
      </c>
      <c r="BU99" s="286">
        <v>44470</v>
      </c>
      <c r="BV99">
        <f t="shared" si="71"/>
        <v>2.8236999999999997</v>
      </c>
      <c r="BW99" s="580">
        <v>2.8083999999999998</v>
      </c>
      <c r="BX99" s="580">
        <v>2.839</v>
      </c>
      <c r="BY99">
        <f t="shared" si="94"/>
        <v>2024</v>
      </c>
      <c r="BZ99" s="286">
        <v>45566</v>
      </c>
      <c r="CA99">
        <f t="shared" si="82"/>
        <v>3.4733499999999999</v>
      </c>
      <c r="CB99" s="580">
        <v>3.6375000000000002</v>
      </c>
      <c r="CC99" s="580">
        <v>3.3092000000000001</v>
      </c>
      <c r="CD99" s="364">
        <f t="shared" si="95"/>
        <v>2025</v>
      </c>
      <c r="CE99" s="381">
        <v>45962</v>
      </c>
      <c r="CF99" s="364">
        <f t="shared" si="77"/>
        <v>3.4632500000000004</v>
      </c>
      <c r="CG99" s="411">
        <v>3.6078000000000001</v>
      </c>
      <c r="CH99" s="411">
        <v>3.3187000000000002</v>
      </c>
      <c r="CI99" s="364">
        <f t="shared" si="96"/>
        <v>2027</v>
      </c>
      <c r="CJ99" s="381">
        <v>46692</v>
      </c>
      <c r="CK99" s="364">
        <f t="shared" si="79"/>
        <v>5.5138999999999996</v>
      </c>
      <c r="CL99" s="411">
        <v>5.5198</v>
      </c>
      <c r="CM99" s="411">
        <v>5.508</v>
      </c>
    </row>
    <row r="100" spans="1:91">
      <c r="A100" s="537"/>
      <c r="B100" s="537"/>
      <c r="C100" s="537"/>
      <c r="D100" s="537"/>
      <c r="E100" s="537"/>
      <c r="F100" s="537"/>
      <c r="G100" s="537"/>
      <c r="H100" s="537"/>
      <c r="I100" s="537"/>
      <c r="J100" s="537"/>
      <c r="K100" s="537"/>
      <c r="L100" s="537"/>
      <c r="M100" s="537"/>
      <c r="N100" s="537"/>
      <c r="O100" s="537"/>
      <c r="AR100">
        <f t="shared" si="87"/>
        <v>2012</v>
      </c>
      <c r="AS100" s="307">
        <f t="shared" si="47"/>
        <v>41122</v>
      </c>
      <c r="AT100" s="115">
        <v>68.739999999999995</v>
      </c>
      <c r="AU100" s="115">
        <v>54.22</v>
      </c>
      <c r="AV100" s="287">
        <f t="shared" si="91"/>
        <v>62.496399999999994</v>
      </c>
      <c r="AW100" s="271">
        <v>432</v>
      </c>
      <c r="AX100" s="271">
        <v>312</v>
      </c>
      <c r="AY100" s="271">
        <f t="shared" si="88"/>
        <v>0.58064516129032262</v>
      </c>
      <c r="AZ100" s="271">
        <f t="shared" si="89"/>
        <v>0.41935483870967744</v>
      </c>
      <c r="BD100">
        <f t="shared" si="92"/>
        <v>2012</v>
      </c>
      <c r="BE100" s="306">
        <f t="shared" si="97"/>
        <v>41122</v>
      </c>
      <c r="BF100" s="114">
        <f t="shared" si="90"/>
        <v>5.9056300604948344</v>
      </c>
      <c r="BG100" s="115">
        <v>5.9056300604948344</v>
      </c>
      <c r="BI100">
        <f t="shared" si="83"/>
        <v>2011</v>
      </c>
      <c r="BJ100" s="306">
        <v>40724</v>
      </c>
      <c r="BK100">
        <f t="shared" si="84"/>
        <v>4.1750000000000007</v>
      </c>
      <c r="BL100">
        <v>4.2300000000000004</v>
      </c>
      <c r="BM100">
        <v>4.12</v>
      </c>
      <c r="BO100">
        <f t="shared" si="85"/>
        <v>2015</v>
      </c>
      <c r="BP100" s="286">
        <v>42125</v>
      </c>
      <c r="BQ100">
        <f t="shared" si="86"/>
        <v>9.3040395499999988</v>
      </c>
      <c r="BR100">
        <v>9.3986939899999999</v>
      </c>
      <c r="BS100">
        <v>9.2093851099999995</v>
      </c>
      <c r="BT100">
        <f t="shared" si="93"/>
        <v>2021</v>
      </c>
      <c r="BU100" s="286">
        <v>44501</v>
      </c>
      <c r="BV100">
        <f t="shared" si="71"/>
        <v>3.0861999999999998</v>
      </c>
      <c r="BW100" s="580">
        <v>3.0114000000000001</v>
      </c>
      <c r="BX100" s="580">
        <v>3.161</v>
      </c>
      <c r="BY100">
        <f t="shared" si="94"/>
        <v>2024</v>
      </c>
      <c r="BZ100" s="286">
        <v>45597</v>
      </c>
      <c r="CA100">
        <f t="shared" si="82"/>
        <v>3.7638499999999997</v>
      </c>
      <c r="CB100" s="580">
        <v>3.9154</v>
      </c>
      <c r="CC100" s="580">
        <v>3.6122999999999998</v>
      </c>
      <c r="CD100" s="364">
        <f t="shared" si="95"/>
        <v>2025</v>
      </c>
      <c r="CE100" s="381">
        <v>45992</v>
      </c>
      <c r="CF100" s="364">
        <f t="shared" si="77"/>
        <v>3.677</v>
      </c>
      <c r="CG100" s="411">
        <v>3.7964000000000002</v>
      </c>
      <c r="CH100" s="411">
        <v>3.5575999999999999</v>
      </c>
      <c r="CI100" s="364">
        <f t="shared" si="96"/>
        <v>2027</v>
      </c>
      <c r="CJ100" s="381">
        <v>46722</v>
      </c>
      <c r="CK100" s="364">
        <f t="shared" si="79"/>
        <v>5.6804500000000004</v>
      </c>
      <c r="CL100" s="411">
        <v>5.6825999999999999</v>
      </c>
      <c r="CM100" s="411">
        <v>5.6783000000000001</v>
      </c>
    </row>
    <row r="101" spans="1:91" ht="33.75">
      <c r="I101" t="s">
        <v>337</v>
      </c>
      <c r="L101" s="264" t="s">
        <v>329</v>
      </c>
      <c r="M101" s="579" t="s">
        <v>329</v>
      </c>
      <c r="N101" s="579"/>
      <c r="AR101">
        <f t="shared" si="87"/>
        <v>2012</v>
      </c>
      <c r="AS101" s="307">
        <f t="shared" si="47"/>
        <v>41153</v>
      </c>
      <c r="AT101" s="115">
        <v>67.16</v>
      </c>
      <c r="AU101" s="115">
        <v>52.98</v>
      </c>
      <c r="AV101" s="287">
        <f t="shared" si="91"/>
        <v>61.062599999999989</v>
      </c>
      <c r="AW101" s="271">
        <v>384</v>
      </c>
      <c r="AX101" s="271">
        <v>336</v>
      </c>
      <c r="AY101" s="271">
        <f t="shared" si="88"/>
        <v>0.53333333333333333</v>
      </c>
      <c r="AZ101" s="271">
        <f t="shared" si="89"/>
        <v>0.46666666666666667</v>
      </c>
      <c r="BD101">
        <f t="shared" si="92"/>
        <v>2012</v>
      </c>
      <c r="BE101" s="306">
        <f t="shared" si="97"/>
        <v>41153</v>
      </c>
      <c r="BF101" s="114">
        <f t="shared" si="90"/>
        <v>5.9828753296628605</v>
      </c>
      <c r="BG101" s="115">
        <v>5.9828753296628605</v>
      </c>
      <c r="BI101">
        <f t="shared" si="83"/>
        <v>2011</v>
      </c>
      <c r="BJ101" s="306">
        <v>40755</v>
      </c>
      <c r="BK101">
        <f t="shared" si="84"/>
        <v>4.2349999999999994</v>
      </c>
      <c r="BL101">
        <v>4.29</v>
      </c>
      <c r="BM101">
        <v>4.18</v>
      </c>
      <c r="BO101">
        <f t="shared" si="85"/>
        <v>2015</v>
      </c>
      <c r="BP101" s="286">
        <v>42156</v>
      </c>
      <c r="BQ101">
        <f t="shared" si="86"/>
        <v>9.4039298100000011</v>
      </c>
      <c r="BR101">
        <v>9.4979287100000001</v>
      </c>
      <c r="BS101">
        <v>9.3099309100000003</v>
      </c>
      <c r="BT101">
        <f t="shared" si="93"/>
        <v>2021</v>
      </c>
      <c r="BU101" s="286">
        <v>44531</v>
      </c>
      <c r="BV101">
        <f t="shared" si="71"/>
        <v>3.3768000000000002</v>
      </c>
      <c r="BW101" s="580">
        <v>3.1876000000000002</v>
      </c>
      <c r="BX101" s="580">
        <v>3.5659999999999998</v>
      </c>
      <c r="BY101">
        <f t="shared" si="94"/>
        <v>2024</v>
      </c>
      <c r="BZ101" s="286">
        <v>45627</v>
      </c>
      <c r="CA101">
        <f t="shared" si="82"/>
        <v>3.9785500000000003</v>
      </c>
      <c r="CB101" s="580">
        <v>4.0796000000000001</v>
      </c>
      <c r="CC101" s="580">
        <v>3.8774999999999999</v>
      </c>
      <c r="CD101" s="364">
        <f t="shared" si="95"/>
        <v>2026</v>
      </c>
      <c r="CE101" s="381">
        <v>46023</v>
      </c>
      <c r="CF101" s="364">
        <f t="shared" si="77"/>
        <v>3.70445</v>
      </c>
      <c r="CG101" s="411">
        <v>3.6335999999999999</v>
      </c>
      <c r="CH101" s="411">
        <v>3.7753000000000001</v>
      </c>
      <c r="CI101" s="364">
        <f t="shared" si="96"/>
        <v>2028</v>
      </c>
      <c r="CJ101" s="381">
        <v>46753</v>
      </c>
      <c r="CK101" s="364">
        <f t="shared" si="79"/>
        <v>5.9246499999999997</v>
      </c>
      <c r="CL101" s="411">
        <v>5.9328000000000003</v>
      </c>
      <c r="CM101" s="411">
        <v>5.9165000000000001</v>
      </c>
    </row>
    <row r="102" spans="1:91">
      <c r="I102" t="s">
        <v>336</v>
      </c>
      <c r="K102" t="s">
        <v>308</v>
      </c>
      <c r="L102" t="s">
        <v>335</v>
      </c>
      <c r="M102" t="s">
        <v>390</v>
      </c>
      <c r="AR102">
        <f t="shared" si="87"/>
        <v>2012</v>
      </c>
      <c r="AS102" s="307">
        <f t="shared" si="47"/>
        <v>41183</v>
      </c>
      <c r="AT102" s="115">
        <v>49.702500000000001</v>
      </c>
      <c r="AU102" s="115">
        <v>42.821249999999999</v>
      </c>
      <c r="AV102" s="287">
        <f t="shared" si="91"/>
        <v>46.743562499999996</v>
      </c>
      <c r="AW102" s="271">
        <v>432</v>
      </c>
      <c r="AX102" s="271">
        <v>312</v>
      </c>
      <c r="AY102" s="271">
        <f t="shared" si="88"/>
        <v>0.58064516129032262</v>
      </c>
      <c r="AZ102" s="271">
        <f t="shared" si="89"/>
        <v>0.41935483870967744</v>
      </c>
      <c r="BD102">
        <f t="shared" si="92"/>
        <v>2012</v>
      </c>
      <c r="BE102" s="306">
        <f t="shared" si="97"/>
        <v>41183</v>
      </c>
      <c r="BF102" s="114">
        <f t="shared" si="90"/>
        <v>6.4428454798803694</v>
      </c>
      <c r="BG102" s="115">
        <v>6.4428454798803694</v>
      </c>
      <c r="BI102">
        <f t="shared" si="83"/>
        <v>2011</v>
      </c>
      <c r="BJ102" s="306">
        <v>40786</v>
      </c>
      <c r="BK102">
        <f t="shared" si="84"/>
        <v>4.2349999999999994</v>
      </c>
      <c r="BL102">
        <v>4.29</v>
      </c>
      <c r="BM102">
        <v>4.18</v>
      </c>
      <c r="BO102">
        <f t="shared" si="85"/>
        <v>2015</v>
      </c>
      <c r="BP102" s="286">
        <v>42186</v>
      </c>
      <c r="BQ102">
        <f t="shared" si="86"/>
        <v>9.5088200649999983</v>
      </c>
      <c r="BR102">
        <v>9.6021634299999992</v>
      </c>
      <c r="BS102">
        <v>9.4154766999999993</v>
      </c>
      <c r="BT102">
        <f t="shared" si="93"/>
        <v>2022</v>
      </c>
      <c r="BU102" s="286">
        <v>44562</v>
      </c>
      <c r="BV102">
        <f t="shared" si="71"/>
        <v>3.4058999999999999</v>
      </c>
      <c r="BW102" s="580">
        <v>3.3037999999999998</v>
      </c>
      <c r="BX102" s="580">
        <v>3.508</v>
      </c>
      <c r="BY102">
        <f t="shared" si="94"/>
        <v>2025</v>
      </c>
      <c r="BZ102" s="286">
        <v>45658</v>
      </c>
      <c r="CA102">
        <f t="shared" si="82"/>
        <v>4.0362999999999998</v>
      </c>
      <c r="CB102" s="580">
        <v>4.1136999999999997</v>
      </c>
      <c r="CC102" s="580">
        <v>3.9588999999999999</v>
      </c>
      <c r="CD102" s="364">
        <f t="shared" si="95"/>
        <v>2026</v>
      </c>
      <c r="CE102" s="381">
        <v>46054</v>
      </c>
      <c r="CF102" s="364">
        <f t="shared" si="77"/>
        <v>3.4918499999999999</v>
      </c>
      <c r="CG102" s="411">
        <v>3.4661</v>
      </c>
      <c r="CH102" s="411">
        <v>3.5175999999999998</v>
      </c>
      <c r="CI102" s="364">
        <f t="shared" si="96"/>
        <v>2028</v>
      </c>
      <c r="CJ102" s="381">
        <v>46784</v>
      </c>
      <c r="CK102" s="364">
        <f t="shared" si="79"/>
        <v>5.4233000000000002</v>
      </c>
      <c r="CL102" s="411">
        <v>5.4339000000000004</v>
      </c>
      <c r="CM102" s="411">
        <v>5.4127000000000001</v>
      </c>
    </row>
    <row r="103" spans="1:91">
      <c r="B103" s="237" t="s">
        <v>328</v>
      </c>
      <c r="D103" s="237"/>
      <c r="E103" s="237"/>
      <c r="I103" s="169">
        <v>4.6699999999999998E-2</v>
      </c>
      <c r="K103" s="169">
        <v>0.14499999999999999</v>
      </c>
      <c r="L103" s="536">
        <v>0.158</v>
      </c>
      <c r="M103" s="574">
        <v>0.31709999999999999</v>
      </c>
      <c r="AR103">
        <f t="shared" si="87"/>
        <v>2012</v>
      </c>
      <c r="AS103" s="307">
        <f t="shared" si="47"/>
        <v>41214</v>
      </c>
      <c r="AT103" s="115">
        <v>57.952500000000001</v>
      </c>
      <c r="AU103" s="115">
        <v>49.722499999999997</v>
      </c>
      <c r="AV103" s="287">
        <f t="shared" si="91"/>
        <v>54.413599999999995</v>
      </c>
      <c r="AW103" s="271">
        <v>400</v>
      </c>
      <c r="AX103" s="271">
        <v>320</v>
      </c>
      <c r="AY103" s="271">
        <f t="shared" si="88"/>
        <v>0.55555555555555558</v>
      </c>
      <c r="AZ103" s="271">
        <f t="shared" si="89"/>
        <v>0.44444444444444442</v>
      </c>
      <c r="BD103">
        <f t="shared" si="92"/>
        <v>2012</v>
      </c>
      <c r="BE103" s="306">
        <f t="shared" si="97"/>
        <v>41214</v>
      </c>
      <c r="BF103" s="114">
        <f t="shared" si="90"/>
        <v>6.8829452045948889</v>
      </c>
      <c r="BG103" s="115">
        <v>6.8829452045948889</v>
      </c>
      <c r="BI103">
        <f t="shared" si="83"/>
        <v>2011</v>
      </c>
      <c r="BJ103" s="306">
        <v>40816</v>
      </c>
      <c r="BK103">
        <f t="shared" si="84"/>
        <v>4.2349999999999994</v>
      </c>
      <c r="BL103">
        <v>4.29</v>
      </c>
      <c r="BM103">
        <v>4.18</v>
      </c>
      <c r="BO103">
        <f t="shared" si="85"/>
        <v>2015</v>
      </c>
      <c r="BP103" s="286">
        <v>42217</v>
      </c>
      <c r="BQ103">
        <f t="shared" si="86"/>
        <v>8.19</v>
      </c>
      <c r="BR103">
        <v>8.2899999999999991</v>
      </c>
      <c r="BS103">
        <v>8.09</v>
      </c>
      <c r="BT103">
        <f t="shared" si="93"/>
        <v>2022</v>
      </c>
      <c r="BU103" s="286">
        <v>44593</v>
      </c>
      <c r="BV103">
        <f t="shared" si="71"/>
        <v>3.2922500000000001</v>
      </c>
      <c r="BW103" s="580">
        <v>3.2715000000000001</v>
      </c>
      <c r="BX103" s="580">
        <v>3.3130000000000002</v>
      </c>
      <c r="BY103">
        <f t="shared" si="94"/>
        <v>2025</v>
      </c>
      <c r="BZ103" s="286">
        <v>45689</v>
      </c>
      <c r="CA103">
        <f t="shared" si="82"/>
        <v>4.05565</v>
      </c>
      <c r="CB103" s="580">
        <v>4.1395</v>
      </c>
      <c r="CC103" s="580">
        <v>3.9718</v>
      </c>
      <c r="CD103" s="364">
        <f t="shared" si="95"/>
        <v>2026</v>
      </c>
      <c r="CE103" s="381">
        <v>46082</v>
      </c>
      <c r="CF103" s="364">
        <f t="shared" si="77"/>
        <v>3.1311</v>
      </c>
      <c r="CG103" s="411">
        <v>3.2728000000000002</v>
      </c>
      <c r="CH103" s="411">
        <v>2.9893999999999998</v>
      </c>
      <c r="CI103" s="364">
        <f t="shared" si="96"/>
        <v>2028</v>
      </c>
      <c r="CJ103" s="381">
        <v>46813</v>
      </c>
      <c r="CK103" s="364">
        <f t="shared" si="79"/>
        <v>4.5192999999999994</v>
      </c>
      <c r="CL103" s="411">
        <v>4.5419</v>
      </c>
      <c r="CM103" s="411">
        <v>4.4966999999999997</v>
      </c>
    </row>
    <row r="104" spans="1:91">
      <c r="B104" s="237" t="s">
        <v>330</v>
      </c>
      <c r="D104" s="237"/>
      <c r="E104" s="237"/>
      <c r="H104" s="558"/>
      <c r="K104" s="169">
        <v>0.34100000000000003</v>
      </c>
      <c r="L104" s="536">
        <v>0.11799999999999999</v>
      </c>
      <c r="M104" s="574">
        <v>0.33029999999999998</v>
      </c>
      <c r="AR104">
        <f t="shared" si="87"/>
        <v>2012</v>
      </c>
      <c r="AS104" s="307">
        <f t="shared" si="47"/>
        <v>41244</v>
      </c>
      <c r="AT104" s="115">
        <v>66.015000000000001</v>
      </c>
      <c r="AU104" s="115">
        <v>55.926250000000003</v>
      </c>
      <c r="AV104" s="287">
        <f t="shared" si="91"/>
        <v>61.676837499999998</v>
      </c>
      <c r="AW104" s="271">
        <v>400</v>
      </c>
      <c r="AX104" s="271">
        <v>344</v>
      </c>
      <c r="AY104" s="271">
        <f t="shared" si="88"/>
        <v>0.5376344086021505</v>
      </c>
      <c r="AZ104" s="271">
        <f t="shared" si="89"/>
        <v>0.46236559139784944</v>
      </c>
      <c r="BD104">
        <f t="shared" si="92"/>
        <v>2012</v>
      </c>
      <c r="BE104" s="306">
        <f t="shared" si="97"/>
        <v>41244</v>
      </c>
      <c r="BF104" s="114">
        <f t="shared" si="90"/>
        <v>7.4299563213703097</v>
      </c>
      <c r="BG104" s="115">
        <v>7.4299563213703097</v>
      </c>
      <c r="BI104">
        <f t="shared" si="83"/>
        <v>2011</v>
      </c>
      <c r="BJ104" s="306">
        <v>40847</v>
      </c>
      <c r="BK104">
        <f t="shared" si="84"/>
        <v>4.4000000000000004</v>
      </c>
      <c r="BL104">
        <v>4.42</v>
      </c>
      <c r="BM104">
        <v>4.38</v>
      </c>
      <c r="BO104">
        <f t="shared" si="85"/>
        <v>2015</v>
      </c>
      <c r="BP104" s="286">
        <v>42248</v>
      </c>
      <c r="BQ104">
        <f t="shared" si="86"/>
        <v>8.19</v>
      </c>
      <c r="BR104">
        <v>8.2899999999999991</v>
      </c>
      <c r="BS104">
        <v>8.09</v>
      </c>
      <c r="BT104">
        <f t="shared" si="93"/>
        <v>2022</v>
      </c>
      <c r="BU104" s="286">
        <v>44621</v>
      </c>
      <c r="BV104">
        <f t="shared" si="71"/>
        <v>3.24</v>
      </c>
      <c r="BW104" s="580">
        <v>3.2069999999999999</v>
      </c>
      <c r="BX104" s="580">
        <v>3.2730000000000001</v>
      </c>
      <c r="BY104">
        <f t="shared" si="94"/>
        <v>2025</v>
      </c>
      <c r="BZ104" s="286">
        <v>45717</v>
      </c>
      <c r="CA104">
        <f t="shared" si="82"/>
        <v>3.83</v>
      </c>
      <c r="CB104" s="580">
        <v>3.9975999999999998</v>
      </c>
      <c r="CC104" s="580">
        <v>3.6623999999999999</v>
      </c>
      <c r="CD104" s="364">
        <f t="shared" si="95"/>
        <v>2026</v>
      </c>
      <c r="CE104" s="381">
        <v>46113</v>
      </c>
      <c r="CF104" s="364">
        <f t="shared" si="77"/>
        <v>2.82185</v>
      </c>
      <c r="CG104" s="411">
        <v>2.8862999999999999</v>
      </c>
      <c r="CH104" s="411">
        <v>2.7574000000000001</v>
      </c>
      <c r="CI104" s="364">
        <f t="shared" si="96"/>
        <v>2028</v>
      </c>
      <c r="CJ104" s="381">
        <v>46844</v>
      </c>
      <c r="CK104" s="364">
        <f t="shared" si="79"/>
        <v>4.1646000000000001</v>
      </c>
      <c r="CL104" s="411">
        <v>4.1642999999999999</v>
      </c>
      <c r="CM104" s="411">
        <v>4.1649000000000003</v>
      </c>
    </row>
    <row r="105" spans="1:91">
      <c r="B105" s="237" t="s">
        <v>331</v>
      </c>
      <c r="D105" s="237"/>
      <c r="E105" s="237"/>
      <c r="H105" s="558"/>
      <c r="K105" s="169">
        <v>0.39100000000000001</v>
      </c>
      <c r="L105" s="536">
        <v>0.379</v>
      </c>
      <c r="M105" s="574">
        <v>0.1186</v>
      </c>
      <c r="AR105">
        <f t="shared" si="87"/>
        <v>2013</v>
      </c>
      <c r="AS105" s="307">
        <f t="shared" si="47"/>
        <v>41275</v>
      </c>
      <c r="AT105" s="115">
        <v>66.114999999999995</v>
      </c>
      <c r="AU105" s="115">
        <v>56.647500000000001</v>
      </c>
      <c r="AV105" s="287">
        <f t="shared" si="91"/>
        <v>62.043974999999989</v>
      </c>
      <c r="AW105" s="271">
        <v>416</v>
      </c>
      <c r="AX105" s="271">
        <v>328</v>
      </c>
      <c r="AY105" s="271">
        <f t="shared" si="88"/>
        <v>0.55913978494623651</v>
      </c>
      <c r="AZ105" s="271">
        <f t="shared" si="89"/>
        <v>0.44086021505376344</v>
      </c>
      <c r="BD105">
        <f t="shared" si="92"/>
        <v>2013</v>
      </c>
      <c r="BE105" s="306">
        <f t="shared" si="97"/>
        <v>41275</v>
      </c>
      <c r="BF105" s="114">
        <f t="shared" si="90"/>
        <v>8.1114161976617716</v>
      </c>
      <c r="BG105" s="115">
        <v>8.1114161976617716</v>
      </c>
      <c r="BI105">
        <f t="shared" si="83"/>
        <v>2011</v>
      </c>
      <c r="BJ105" s="306">
        <v>40877</v>
      </c>
      <c r="BK105">
        <f t="shared" si="84"/>
        <v>4.4600000000000009</v>
      </c>
      <c r="BL105">
        <v>4.4800000000000004</v>
      </c>
      <c r="BM105">
        <v>4.4400000000000004</v>
      </c>
      <c r="BO105">
        <f t="shared" si="85"/>
        <v>2015</v>
      </c>
      <c r="BP105" s="286">
        <v>42278</v>
      </c>
      <c r="BQ105">
        <f t="shared" si="86"/>
        <v>8.504999999999999</v>
      </c>
      <c r="BR105">
        <v>8.5399999999999991</v>
      </c>
      <c r="BS105">
        <v>8.4700000000000006</v>
      </c>
      <c r="BT105">
        <f t="shared" si="93"/>
        <v>2022</v>
      </c>
      <c r="BU105" s="286">
        <v>44652</v>
      </c>
      <c r="BV105">
        <f t="shared" si="71"/>
        <v>2.6154500000000001</v>
      </c>
      <c r="BW105" s="580">
        <v>2.7353999999999998</v>
      </c>
      <c r="BX105" s="580">
        <v>2.4954999999999998</v>
      </c>
      <c r="BY105">
        <f t="shared" si="94"/>
        <v>2025</v>
      </c>
      <c r="BZ105" s="286">
        <v>45748</v>
      </c>
      <c r="CA105">
        <f t="shared" si="82"/>
        <v>3.5785499999999999</v>
      </c>
      <c r="CB105" s="580">
        <v>3.7913000000000001</v>
      </c>
      <c r="CC105" s="580">
        <v>3.3658000000000001</v>
      </c>
      <c r="CD105" s="364">
        <f t="shared" si="95"/>
        <v>2026</v>
      </c>
      <c r="CE105" s="381">
        <v>46143</v>
      </c>
      <c r="CF105" s="364">
        <f t="shared" si="77"/>
        <v>2.8475999999999999</v>
      </c>
      <c r="CG105" s="411">
        <v>2.8605</v>
      </c>
      <c r="CH105" s="411">
        <v>2.8347000000000002</v>
      </c>
      <c r="CI105" s="364">
        <f t="shared" si="96"/>
        <v>2028</v>
      </c>
      <c r="CJ105" s="381">
        <v>46874</v>
      </c>
      <c r="CK105" s="364">
        <f t="shared" si="79"/>
        <v>4.1112000000000002</v>
      </c>
      <c r="CL105" s="411">
        <v>4.1619999999999999</v>
      </c>
      <c r="CM105" s="411">
        <v>4.0603999999999996</v>
      </c>
    </row>
    <row r="106" spans="1:91">
      <c r="B106" s="237" t="s">
        <v>332</v>
      </c>
      <c r="D106" s="237"/>
      <c r="E106" s="237"/>
      <c r="H106" s="558"/>
      <c r="K106" s="169">
        <v>0.254</v>
      </c>
      <c r="L106" s="536">
        <v>0.53900000000000003</v>
      </c>
      <c r="M106" s="574">
        <v>0.1105</v>
      </c>
      <c r="AR106">
        <f t="shared" si="87"/>
        <v>2013</v>
      </c>
      <c r="AS106" s="307">
        <f t="shared" si="47"/>
        <v>41306</v>
      </c>
      <c r="AT106" s="115">
        <v>61.475000000000001</v>
      </c>
      <c r="AU106" s="115">
        <v>54.182499999999997</v>
      </c>
      <c r="AV106" s="287">
        <f t="shared" si="91"/>
        <v>58.339224999999999</v>
      </c>
      <c r="AW106" s="271">
        <v>384</v>
      </c>
      <c r="AX106" s="271">
        <v>288</v>
      </c>
      <c r="AY106" s="271">
        <f t="shared" si="88"/>
        <v>0.5714285714285714</v>
      </c>
      <c r="AZ106" s="271">
        <f t="shared" si="89"/>
        <v>0.42857142857142855</v>
      </c>
      <c r="BD106">
        <f t="shared" si="92"/>
        <v>2013</v>
      </c>
      <c r="BE106" s="306">
        <f t="shared" si="97"/>
        <v>41306</v>
      </c>
      <c r="BF106" s="114">
        <f t="shared" si="90"/>
        <v>7.8763891007340963</v>
      </c>
      <c r="BG106" s="115">
        <v>7.8763891007340963</v>
      </c>
      <c r="BI106">
        <f t="shared" si="83"/>
        <v>2011</v>
      </c>
      <c r="BJ106" s="306">
        <v>40908</v>
      </c>
      <c r="BK106">
        <f t="shared" si="84"/>
        <v>4.6850000000000005</v>
      </c>
      <c r="BL106">
        <v>4.67</v>
      </c>
      <c r="BM106">
        <v>4.7</v>
      </c>
      <c r="BO106">
        <f t="shared" si="85"/>
        <v>2015</v>
      </c>
      <c r="BP106" s="286">
        <v>42309</v>
      </c>
      <c r="BQ106">
        <f t="shared" si="86"/>
        <v>8.625</v>
      </c>
      <c r="BR106">
        <v>8.66</v>
      </c>
      <c r="BS106">
        <v>8.59</v>
      </c>
      <c r="BT106">
        <f t="shared" si="93"/>
        <v>2022</v>
      </c>
      <c r="BU106" s="286">
        <v>44682</v>
      </c>
      <c r="BV106">
        <f t="shared" si="71"/>
        <v>2.5884999999999998</v>
      </c>
      <c r="BW106" s="580">
        <v>2.7235</v>
      </c>
      <c r="BX106" s="580">
        <v>2.4535</v>
      </c>
      <c r="BY106">
        <f t="shared" si="94"/>
        <v>2025</v>
      </c>
      <c r="BZ106" s="286">
        <v>45778</v>
      </c>
      <c r="CA106">
        <f t="shared" si="82"/>
        <v>3.5720999999999998</v>
      </c>
      <c r="CB106" s="580">
        <v>3.7913000000000001</v>
      </c>
      <c r="CC106" s="580">
        <v>3.3529</v>
      </c>
      <c r="CD106" s="364">
        <f t="shared" si="95"/>
        <v>2026</v>
      </c>
      <c r="CE106" s="381">
        <v>46174</v>
      </c>
      <c r="CF106" s="364">
        <f t="shared" si="77"/>
        <v>2.8798500000000002</v>
      </c>
      <c r="CG106" s="411">
        <v>2.8605</v>
      </c>
      <c r="CH106" s="411">
        <v>2.8992</v>
      </c>
      <c r="CI106" s="364">
        <f t="shared" si="96"/>
        <v>2028</v>
      </c>
      <c r="CJ106" s="381">
        <v>46905</v>
      </c>
      <c r="CK106" s="364">
        <f t="shared" si="79"/>
        <v>4.1307</v>
      </c>
      <c r="CL106" s="411">
        <v>4.2351000000000001</v>
      </c>
      <c r="CM106" s="411">
        <v>4.0263</v>
      </c>
    </row>
    <row r="107" spans="1:91">
      <c r="B107" s="237" t="s">
        <v>333</v>
      </c>
      <c r="D107" s="237"/>
      <c r="E107" s="237"/>
      <c r="H107" s="558"/>
      <c r="K107" s="169">
        <v>0.32200000000000001</v>
      </c>
      <c r="L107" s="536">
        <v>0.59699999999999998</v>
      </c>
      <c r="M107" s="574">
        <v>0.1186</v>
      </c>
      <c r="AR107">
        <f t="shared" si="87"/>
        <v>2013</v>
      </c>
      <c r="AS107" s="307">
        <f t="shared" si="47"/>
        <v>41334</v>
      </c>
      <c r="AT107" s="115">
        <v>55.774999999999999</v>
      </c>
      <c r="AU107" s="115">
        <v>50.08</v>
      </c>
      <c r="AV107" s="287">
        <f t="shared" si="91"/>
        <v>53.326149999999998</v>
      </c>
      <c r="AW107" s="271">
        <v>416</v>
      </c>
      <c r="AX107" s="271">
        <v>328</v>
      </c>
      <c r="AY107" s="271">
        <f t="shared" si="88"/>
        <v>0.55913978494623651</v>
      </c>
      <c r="AZ107" s="271">
        <f t="shared" si="89"/>
        <v>0.44086021505376344</v>
      </c>
      <c r="BD107">
        <f t="shared" si="92"/>
        <v>2013</v>
      </c>
      <c r="BE107" s="306">
        <f t="shared" si="97"/>
        <v>41334</v>
      </c>
      <c r="BF107" s="114">
        <f t="shared" si="90"/>
        <v>7.5395614634312125</v>
      </c>
      <c r="BG107" s="115">
        <v>7.5395614634312125</v>
      </c>
      <c r="BI107">
        <f t="shared" si="83"/>
        <v>2012</v>
      </c>
      <c r="BJ107" s="306">
        <v>40939</v>
      </c>
      <c r="BK107">
        <f t="shared" si="84"/>
        <v>5.08</v>
      </c>
      <c r="BL107">
        <v>5.03</v>
      </c>
      <c r="BM107">
        <v>5.13</v>
      </c>
      <c r="BO107">
        <f t="shared" si="85"/>
        <v>2015</v>
      </c>
      <c r="BP107" s="286">
        <v>42339</v>
      </c>
      <c r="BQ107">
        <f t="shared" si="86"/>
        <v>9.0599999999999987</v>
      </c>
      <c r="BR107">
        <v>9.0299999999999994</v>
      </c>
      <c r="BS107">
        <v>9.09</v>
      </c>
      <c r="BT107">
        <f t="shared" si="93"/>
        <v>2022</v>
      </c>
      <c r="BU107" s="286">
        <v>44713</v>
      </c>
      <c r="BV107">
        <f t="shared" si="71"/>
        <v>2.6103500000000004</v>
      </c>
      <c r="BW107" s="580">
        <v>2.7602000000000002</v>
      </c>
      <c r="BX107" s="580">
        <v>2.4605000000000001</v>
      </c>
      <c r="BY107">
        <f t="shared" si="94"/>
        <v>2025</v>
      </c>
      <c r="BZ107" s="286">
        <v>45809</v>
      </c>
      <c r="CA107">
        <f t="shared" si="82"/>
        <v>3.6172</v>
      </c>
      <c r="CB107" s="580">
        <v>3.8041999999999998</v>
      </c>
      <c r="CC107" s="580">
        <v>3.4302000000000001</v>
      </c>
      <c r="CD107" s="364">
        <f t="shared" si="95"/>
        <v>2026</v>
      </c>
      <c r="CE107" s="381">
        <v>46204</v>
      </c>
      <c r="CF107" s="364">
        <f t="shared" si="77"/>
        <v>2.91845</v>
      </c>
      <c r="CG107" s="411">
        <v>2.9119999999999999</v>
      </c>
      <c r="CH107" s="411">
        <v>2.9249000000000001</v>
      </c>
      <c r="CI107" s="364">
        <f t="shared" si="96"/>
        <v>2028</v>
      </c>
      <c r="CJ107" s="381">
        <v>46935</v>
      </c>
      <c r="CK107" s="364">
        <f t="shared" si="79"/>
        <v>4.2959999999999994</v>
      </c>
      <c r="CL107" s="411">
        <v>4.4600999999999997</v>
      </c>
      <c r="CM107" s="411">
        <v>4.1318999999999999</v>
      </c>
    </row>
    <row r="108" spans="1:91">
      <c r="B108" s="237" t="s">
        <v>334</v>
      </c>
      <c r="D108" s="237"/>
      <c r="E108" s="237"/>
      <c r="H108" s="558"/>
      <c r="K108" s="169">
        <v>0.36699999999999999</v>
      </c>
      <c r="L108" s="536">
        <v>0.64800000000000002</v>
      </c>
      <c r="M108" s="574">
        <v>0.1105</v>
      </c>
      <c r="AR108">
        <f t="shared" si="87"/>
        <v>2013</v>
      </c>
      <c r="AS108" s="307">
        <f t="shared" si="47"/>
        <v>41365</v>
      </c>
      <c r="AT108" s="115">
        <v>45.164999999999999</v>
      </c>
      <c r="AU108" s="115">
        <v>37.585000000000001</v>
      </c>
      <c r="AV108" s="287">
        <f t="shared" si="91"/>
        <v>41.9056</v>
      </c>
      <c r="AW108" s="271">
        <v>416</v>
      </c>
      <c r="AX108" s="271">
        <v>304</v>
      </c>
      <c r="AY108" s="271">
        <f t="shared" si="88"/>
        <v>0.57777777777777772</v>
      </c>
      <c r="AZ108" s="271">
        <f t="shared" si="89"/>
        <v>0.42222222222222222</v>
      </c>
      <c r="BD108">
        <f t="shared" si="92"/>
        <v>2013</v>
      </c>
      <c r="BE108" s="306">
        <f t="shared" si="97"/>
        <v>41365</v>
      </c>
      <c r="BF108" s="114">
        <f t="shared" si="90"/>
        <v>6.1602972301522581</v>
      </c>
      <c r="BG108" s="115">
        <v>6.1602972301522581</v>
      </c>
      <c r="BI108">
        <f t="shared" si="83"/>
        <v>2012</v>
      </c>
      <c r="BJ108" s="306">
        <v>40968</v>
      </c>
      <c r="BK108">
        <f t="shared" si="84"/>
        <v>4.7249999999999996</v>
      </c>
      <c r="BL108">
        <v>4.71</v>
      </c>
      <c r="BM108">
        <v>4.74</v>
      </c>
      <c r="BO108">
        <f t="shared" si="85"/>
        <v>2016</v>
      </c>
      <c r="BP108" s="286">
        <v>42370</v>
      </c>
      <c r="BQ108">
        <f t="shared" si="86"/>
        <v>10.254999999999999</v>
      </c>
      <c r="BR108">
        <v>10.15</v>
      </c>
      <c r="BS108">
        <v>10.36</v>
      </c>
      <c r="BT108">
        <f t="shared" si="93"/>
        <v>2022</v>
      </c>
      <c r="BU108" s="286">
        <v>44743</v>
      </c>
      <c r="BV108">
        <f t="shared" si="71"/>
        <v>2.75305</v>
      </c>
      <c r="BW108" s="580">
        <v>2.8475999999999999</v>
      </c>
      <c r="BX108" s="580">
        <v>2.6585000000000001</v>
      </c>
      <c r="BY108">
        <f t="shared" si="94"/>
        <v>2025</v>
      </c>
      <c r="BZ108" s="286">
        <v>45839</v>
      </c>
      <c r="CA108">
        <f t="shared" si="82"/>
        <v>3.7268499999999998</v>
      </c>
      <c r="CB108" s="580">
        <v>3.8557999999999999</v>
      </c>
      <c r="CC108" s="580">
        <v>3.5979000000000001</v>
      </c>
      <c r="CD108" s="364">
        <f t="shared" si="95"/>
        <v>2026</v>
      </c>
      <c r="CE108" s="381">
        <v>46235</v>
      </c>
      <c r="CF108" s="364">
        <f t="shared" si="77"/>
        <v>2.9635499999999997</v>
      </c>
      <c r="CG108" s="411">
        <v>3.0150999999999999</v>
      </c>
      <c r="CH108" s="411">
        <v>2.9119999999999999</v>
      </c>
      <c r="CI108" s="364">
        <f t="shared" si="96"/>
        <v>2028</v>
      </c>
      <c r="CJ108" s="381">
        <v>46966</v>
      </c>
      <c r="CK108" s="364">
        <f t="shared" si="79"/>
        <v>4.8151999999999999</v>
      </c>
      <c r="CL108" s="411">
        <v>4.97</v>
      </c>
      <c r="CM108" s="411">
        <v>4.6604000000000001</v>
      </c>
    </row>
    <row r="109" spans="1:91">
      <c r="AR109">
        <f t="shared" si="87"/>
        <v>2013</v>
      </c>
      <c r="AS109" s="307">
        <f t="shared" si="47"/>
        <v>41395</v>
      </c>
      <c r="AT109" s="115">
        <v>39.47</v>
      </c>
      <c r="AU109" s="115">
        <v>29.31</v>
      </c>
      <c r="AV109" s="287">
        <f t="shared" si="91"/>
        <v>35.101199999999999</v>
      </c>
      <c r="AW109" s="271">
        <v>416</v>
      </c>
      <c r="AX109" s="271">
        <v>328</v>
      </c>
      <c r="AY109" s="271">
        <f t="shared" si="88"/>
        <v>0.55913978494623651</v>
      </c>
      <c r="AZ109" s="271">
        <f t="shared" si="89"/>
        <v>0.44086021505376344</v>
      </c>
      <c r="BD109">
        <f t="shared" si="92"/>
        <v>2013</v>
      </c>
      <c r="BE109" s="306">
        <f t="shared" si="97"/>
        <v>41395</v>
      </c>
      <c r="BF109" s="114">
        <f t="shared" si="90"/>
        <v>6.0300024571778135</v>
      </c>
      <c r="BG109" s="115">
        <v>6.0300024571778135</v>
      </c>
      <c r="BI109">
        <f t="shared" si="83"/>
        <v>2012</v>
      </c>
      <c r="BJ109" s="306">
        <v>40999</v>
      </c>
      <c r="BK109">
        <f t="shared" si="84"/>
        <v>4.43</v>
      </c>
      <c r="BL109">
        <v>4.45</v>
      </c>
      <c r="BM109">
        <v>4.41</v>
      </c>
      <c r="BO109">
        <f t="shared" si="85"/>
        <v>2016</v>
      </c>
      <c r="BP109" s="286">
        <v>42401</v>
      </c>
      <c r="BQ109">
        <f t="shared" si="86"/>
        <v>9.5399999999999991</v>
      </c>
      <c r="BR109">
        <v>9.51</v>
      </c>
      <c r="BS109">
        <v>9.57</v>
      </c>
      <c r="BT109">
        <f t="shared" si="93"/>
        <v>2022</v>
      </c>
      <c r="BU109" s="286">
        <v>44774</v>
      </c>
      <c r="BV109">
        <f t="shared" si="71"/>
        <v>2.7826</v>
      </c>
      <c r="BW109" s="580">
        <v>2.9032</v>
      </c>
      <c r="BX109" s="580">
        <v>2.6619999999999999</v>
      </c>
      <c r="BY109">
        <f t="shared" si="94"/>
        <v>2025</v>
      </c>
      <c r="BZ109" s="286">
        <v>45870</v>
      </c>
      <c r="CA109">
        <f t="shared" si="82"/>
        <v>3.7655500000000002</v>
      </c>
      <c r="CB109" s="580">
        <v>3.8944999999999999</v>
      </c>
      <c r="CC109" s="580">
        <v>3.6366000000000001</v>
      </c>
      <c r="CD109" s="364">
        <f t="shared" si="95"/>
        <v>2026</v>
      </c>
      <c r="CE109" s="381">
        <v>46266</v>
      </c>
      <c r="CF109" s="364">
        <f t="shared" si="77"/>
        <v>2.9120499999999998</v>
      </c>
      <c r="CG109" s="411">
        <v>3.0409000000000002</v>
      </c>
      <c r="CH109" s="411">
        <v>2.7831999999999999</v>
      </c>
      <c r="CI109" s="364">
        <f t="shared" si="96"/>
        <v>2028</v>
      </c>
      <c r="CJ109" s="381">
        <v>46997</v>
      </c>
      <c r="CK109" s="364">
        <f t="shared" si="79"/>
        <v>4.9245000000000001</v>
      </c>
      <c r="CL109" s="411">
        <v>5.1037999999999997</v>
      </c>
      <c r="CM109" s="411">
        <v>4.7451999999999996</v>
      </c>
    </row>
    <row r="110" spans="1:91">
      <c r="AR110">
        <f t="shared" si="87"/>
        <v>2013</v>
      </c>
      <c r="AS110" s="307">
        <f t="shared" ref="AS110:AS173" si="98">EOMONTH(AS109,0)+1</f>
        <v>41426</v>
      </c>
      <c r="AT110" s="115">
        <v>38.975000000000001</v>
      </c>
      <c r="AU110" s="115">
        <v>28.164999999999999</v>
      </c>
      <c r="AV110" s="287">
        <f t="shared" si="91"/>
        <v>34.326700000000002</v>
      </c>
      <c r="AW110" s="271">
        <v>400</v>
      </c>
      <c r="AX110" s="271">
        <v>320</v>
      </c>
      <c r="AY110" s="271">
        <f t="shared" si="88"/>
        <v>0.55555555555555558</v>
      </c>
      <c r="AZ110" s="271">
        <f t="shared" si="89"/>
        <v>0.44444444444444442</v>
      </c>
      <c r="BD110">
        <f t="shared" si="92"/>
        <v>2013</v>
      </c>
      <c r="BE110" s="306">
        <f t="shared" si="97"/>
        <v>41426</v>
      </c>
      <c r="BF110" s="114">
        <f t="shared" si="90"/>
        <v>6.1262401542958136</v>
      </c>
      <c r="BG110" s="115">
        <v>6.1262401542958136</v>
      </c>
      <c r="BI110">
        <f t="shared" si="83"/>
        <v>2012</v>
      </c>
      <c r="BJ110" s="306">
        <v>41029</v>
      </c>
      <c r="BK110">
        <f t="shared" si="84"/>
        <v>4.1449999999999996</v>
      </c>
      <c r="BL110">
        <v>4.2</v>
      </c>
      <c r="BM110">
        <v>4.09</v>
      </c>
      <c r="BO110">
        <f t="shared" si="85"/>
        <v>2016</v>
      </c>
      <c r="BP110" s="286">
        <v>42430</v>
      </c>
      <c r="BQ110">
        <f t="shared" si="86"/>
        <v>8.9499999999999993</v>
      </c>
      <c r="BR110">
        <v>8.99</v>
      </c>
      <c r="BS110">
        <v>8.91</v>
      </c>
      <c r="BT110">
        <f t="shared" si="93"/>
        <v>2022</v>
      </c>
      <c r="BU110" s="286">
        <v>44805</v>
      </c>
      <c r="BV110">
        <f t="shared" si="71"/>
        <v>2.8175499999999998</v>
      </c>
      <c r="BW110" s="580">
        <v>2.9106000000000001</v>
      </c>
      <c r="BX110" s="580">
        <v>2.7244999999999999</v>
      </c>
      <c r="BY110">
        <f t="shared" si="94"/>
        <v>2025</v>
      </c>
      <c r="BZ110" s="286">
        <v>45901</v>
      </c>
      <c r="CA110">
        <f t="shared" si="82"/>
        <v>3.75265</v>
      </c>
      <c r="CB110" s="580">
        <v>3.9460999999999999</v>
      </c>
      <c r="CC110" s="580">
        <v>3.5592000000000001</v>
      </c>
      <c r="CD110" s="364">
        <f t="shared" si="95"/>
        <v>2026</v>
      </c>
      <c r="CE110" s="381">
        <v>46296</v>
      </c>
      <c r="CF110" s="364">
        <f t="shared" si="77"/>
        <v>2.9958</v>
      </c>
      <c r="CG110" s="411">
        <v>3.1311</v>
      </c>
      <c r="CH110" s="411">
        <v>2.8605</v>
      </c>
      <c r="CI110" s="364">
        <f t="shared" si="96"/>
        <v>2028</v>
      </c>
      <c r="CJ110" s="381">
        <v>47027</v>
      </c>
      <c r="CK110" s="364">
        <f t="shared" si="79"/>
        <v>5.0600000000000005</v>
      </c>
      <c r="CL110" s="411">
        <v>5.1455000000000002</v>
      </c>
      <c r="CM110" s="411">
        <v>4.9744999999999999</v>
      </c>
    </row>
    <row r="111" spans="1:91">
      <c r="AR111">
        <f t="shared" si="87"/>
        <v>2013</v>
      </c>
      <c r="AS111" s="307">
        <f t="shared" si="98"/>
        <v>41456</v>
      </c>
      <c r="AT111" s="115">
        <v>54.77</v>
      </c>
      <c r="AU111" s="115">
        <v>44.465000000000003</v>
      </c>
      <c r="AV111" s="287">
        <f t="shared" si="91"/>
        <v>50.338850000000001</v>
      </c>
      <c r="AW111" s="271">
        <v>416</v>
      </c>
      <c r="AX111" s="271">
        <v>328</v>
      </c>
      <c r="AY111" s="271">
        <f t="shared" si="88"/>
        <v>0.55913978494623651</v>
      </c>
      <c r="AZ111" s="271">
        <f t="shared" si="89"/>
        <v>0.44086021505376344</v>
      </c>
      <c r="BD111">
        <f t="shared" si="92"/>
        <v>2013</v>
      </c>
      <c r="BE111" s="306">
        <f t="shared" si="97"/>
        <v>41456</v>
      </c>
      <c r="BF111" s="114">
        <f t="shared" si="90"/>
        <v>6.2436188961392061</v>
      </c>
      <c r="BG111" s="115">
        <v>6.2436188961392061</v>
      </c>
      <c r="BI111">
        <f t="shared" si="83"/>
        <v>2012</v>
      </c>
      <c r="BJ111" s="306">
        <v>41060</v>
      </c>
      <c r="BK111">
        <f t="shared" si="84"/>
        <v>4.1449999999999996</v>
      </c>
      <c r="BL111">
        <v>4.2</v>
      </c>
      <c r="BM111">
        <v>4.09</v>
      </c>
      <c r="BO111">
        <f t="shared" si="85"/>
        <v>2016</v>
      </c>
      <c r="BP111" s="286">
        <v>42461</v>
      </c>
      <c r="BQ111">
        <f t="shared" si="86"/>
        <v>8.370000000000001</v>
      </c>
      <c r="BR111">
        <v>8.48</v>
      </c>
      <c r="BS111">
        <v>8.26</v>
      </c>
      <c r="BT111">
        <f t="shared" si="93"/>
        <v>2022</v>
      </c>
      <c r="BU111" s="286">
        <v>44835</v>
      </c>
      <c r="BV111">
        <f t="shared" si="71"/>
        <v>2.84945</v>
      </c>
      <c r="BW111" s="580">
        <v>2.9424000000000001</v>
      </c>
      <c r="BX111" s="580">
        <v>2.7565</v>
      </c>
      <c r="BY111">
        <f t="shared" si="94"/>
        <v>2025</v>
      </c>
      <c r="BZ111" s="286">
        <v>45931</v>
      </c>
      <c r="CA111">
        <f t="shared" si="82"/>
        <v>3.7719499999999999</v>
      </c>
      <c r="CB111" s="580">
        <v>3.9588999999999999</v>
      </c>
      <c r="CC111" s="580">
        <v>3.585</v>
      </c>
      <c r="CD111" s="364">
        <f t="shared" si="95"/>
        <v>2026</v>
      </c>
      <c r="CE111" s="381">
        <v>46327</v>
      </c>
      <c r="CF111" s="364">
        <f t="shared" si="77"/>
        <v>3.4661499999999998</v>
      </c>
      <c r="CG111" s="411">
        <v>3.5950000000000002</v>
      </c>
      <c r="CH111" s="411">
        <v>3.3372999999999999</v>
      </c>
      <c r="CI111" s="364">
        <f t="shared" si="96"/>
        <v>2028</v>
      </c>
      <c r="CJ111" s="381">
        <v>47058</v>
      </c>
      <c r="CK111" s="364">
        <f t="shared" si="79"/>
        <v>5.6618000000000004</v>
      </c>
      <c r="CL111" s="411">
        <v>5.6618000000000004</v>
      </c>
      <c r="CM111" s="411">
        <v>5.6618000000000004</v>
      </c>
    </row>
    <row r="112" spans="1:91">
      <c r="AR112">
        <f t="shared" si="87"/>
        <v>2013</v>
      </c>
      <c r="AS112" s="307">
        <f t="shared" si="98"/>
        <v>41487</v>
      </c>
      <c r="AT112" s="115">
        <v>62.41</v>
      </c>
      <c r="AU112" s="115">
        <v>50.564999999999998</v>
      </c>
      <c r="AV112" s="287">
        <f t="shared" si="91"/>
        <v>57.316649999999996</v>
      </c>
      <c r="AW112" s="271">
        <v>432</v>
      </c>
      <c r="AX112" s="271">
        <v>312</v>
      </c>
      <c r="AY112" s="271">
        <f t="shared" si="88"/>
        <v>0.58064516129032262</v>
      </c>
      <c r="AZ112" s="271">
        <f t="shared" si="89"/>
        <v>0.41935483870967744</v>
      </c>
      <c r="BD112">
        <f t="shared" si="92"/>
        <v>2013</v>
      </c>
      <c r="BE112" s="306">
        <f t="shared" si="97"/>
        <v>41487</v>
      </c>
      <c r="BF112" s="114">
        <f t="shared" si="90"/>
        <v>6.2918971893692222</v>
      </c>
      <c r="BG112" s="115">
        <v>6.2918971893692222</v>
      </c>
      <c r="BI112">
        <f t="shared" si="83"/>
        <v>2012</v>
      </c>
      <c r="BJ112" s="306">
        <v>41090</v>
      </c>
      <c r="BK112">
        <f t="shared" si="84"/>
        <v>4.2050000000000001</v>
      </c>
      <c r="BL112">
        <v>4.26</v>
      </c>
      <c r="BM112">
        <v>4.1500000000000004</v>
      </c>
      <c r="BO112">
        <f t="shared" si="85"/>
        <v>2016</v>
      </c>
      <c r="BP112" s="286">
        <v>42491</v>
      </c>
      <c r="BQ112">
        <f t="shared" si="86"/>
        <v>8.370000000000001</v>
      </c>
      <c r="BR112">
        <v>8.48</v>
      </c>
      <c r="BS112">
        <v>8.26</v>
      </c>
      <c r="BT112">
        <f t="shared" si="93"/>
        <v>2022</v>
      </c>
      <c r="BU112" s="286">
        <v>44866</v>
      </c>
      <c r="BV112">
        <f t="shared" si="71"/>
        <v>3.4505499999999998</v>
      </c>
      <c r="BW112" s="580">
        <v>3.4407999999999999</v>
      </c>
      <c r="BX112" s="580">
        <v>3.4603000000000002</v>
      </c>
      <c r="BY112">
        <f t="shared" si="94"/>
        <v>2025</v>
      </c>
      <c r="BZ112" s="286">
        <v>45962</v>
      </c>
      <c r="CA112">
        <f t="shared" si="82"/>
        <v>3.9589500000000002</v>
      </c>
      <c r="CB112" s="580">
        <v>4.1653000000000002</v>
      </c>
      <c r="CC112" s="580">
        <v>3.7526000000000002</v>
      </c>
      <c r="CD112" s="364">
        <f t="shared" si="95"/>
        <v>2026</v>
      </c>
      <c r="CE112" s="381">
        <v>46357</v>
      </c>
      <c r="CF112" s="364">
        <f t="shared" si="77"/>
        <v>3.7496</v>
      </c>
      <c r="CG112" s="411">
        <v>3.7496</v>
      </c>
      <c r="CH112" s="411">
        <v>3.7496</v>
      </c>
      <c r="CI112" s="364">
        <f t="shared" si="96"/>
        <v>2028</v>
      </c>
      <c r="CJ112" s="381">
        <v>47088</v>
      </c>
      <c r="CK112" s="364">
        <f t="shared" si="79"/>
        <v>5.8297000000000008</v>
      </c>
      <c r="CL112" s="411">
        <v>5.8497000000000003</v>
      </c>
      <c r="CM112" s="411">
        <v>5.8097000000000003</v>
      </c>
    </row>
    <row r="113" spans="44:91">
      <c r="AR113">
        <f t="shared" si="87"/>
        <v>2013</v>
      </c>
      <c r="AS113" s="307">
        <f t="shared" si="98"/>
        <v>41518</v>
      </c>
      <c r="AT113" s="115">
        <v>61.34</v>
      </c>
      <c r="AU113" s="115">
        <v>48.44</v>
      </c>
      <c r="AV113" s="287">
        <f t="shared" si="91"/>
        <v>55.792999999999999</v>
      </c>
      <c r="AW113" s="271">
        <v>384</v>
      </c>
      <c r="AX113" s="271">
        <v>336</v>
      </c>
      <c r="AY113" s="271">
        <f t="shared" si="88"/>
        <v>0.53333333333333333</v>
      </c>
      <c r="AZ113" s="271">
        <f t="shared" si="89"/>
        <v>0.46666666666666667</v>
      </c>
      <c r="BD113">
        <f t="shared" si="92"/>
        <v>2013</v>
      </c>
      <c r="BE113" s="306">
        <f t="shared" si="97"/>
        <v>41518</v>
      </c>
      <c r="BF113" s="114">
        <f t="shared" si="90"/>
        <v>6.3305198307504087</v>
      </c>
      <c r="BG113" s="115">
        <v>6.3305198307504087</v>
      </c>
      <c r="BI113">
        <f t="shared" si="83"/>
        <v>2012</v>
      </c>
      <c r="BJ113" s="306">
        <v>41121</v>
      </c>
      <c r="BK113">
        <f t="shared" si="84"/>
        <v>4.2750000000000004</v>
      </c>
      <c r="BL113">
        <v>4.33</v>
      </c>
      <c r="BM113">
        <v>4.22</v>
      </c>
      <c r="BO113">
        <f t="shared" si="85"/>
        <v>2016</v>
      </c>
      <c r="BP113" s="286">
        <v>42522</v>
      </c>
      <c r="BQ113">
        <f t="shared" si="86"/>
        <v>8.5</v>
      </c>
      <c r="BR113">
        <v>8.61</v>
      </c>
      <c r="BS113">
        <v>8.39</v>
      </c>
      <c r="BT113">
        <f t="shared" si="93"/>
        <v>2022</v>
      </c>
      <c r="BU113" s="286">
        <v>44896</v>
      </c>
      <c r="BV113">
        <f t="shared" si="71"/>
        <v>3.7126000000000001</v>
      </c>
      <c r="BW113" s="580">
        <v>3.6334</v>
      </c>
      <c r="BX113" s="580">
        <v>3.7917999999999998</v>
      </c>
      <c r="BY113">
        <f t="shared" si="94"/>
        <v>2025</v>
      </c>
      <c r="BZ113" s="286">
        <v>45992</v>
      </c>
      <c r="CA113">
        <f t="shared" si="82"/>
        <v>4.2362000000000002</v>
      </c>
      <c r="CB113" s="580">
        <v>4.3715999999999999</v>
      </c>
      <c r="CC113" s="580">
        <v>4.1007999999999996</v>
      </c>
      <c r="CD113" s="364">
        <f t="shared" si="95"/>
        <v>2027</v>
      </c>
      <c r="CE113" s="381">
        <v>46388</v>
      </c>
      <c r="CF113" s="364">
        <f t="shared" si="77"/>
        <v>3.8169</v>
      </c>
      <c r="CG113" s="411">
        <v>3.7111999999999998</v>
      </c>
      <c r="CH113" s="411">
        <v>3.9226000000000001</v>
      </c>
      <c r="CI113" s="364">
        <f t="shared" si="96"/>
        <v>2029</v>
      </c>
      <c r="CJ113" s="381">
        <v>47119</v>
      </c>
      <c r="CK113" s="364">
        <f t="shared" si="79"/>
        <v>6.1281499999999998</v>
      </c>
      <c r="CL113" s="411">
        <v>6.17</v>
      </c>
      <c r="CM113" s="411">
        <v>6.0862999999999996</v>
      </c>
    </row>
    <row r="114" spans="44:91">
      <c r="AR114">
        <f t="shared" si="87"/>
        <v>2013</v>
      </c>
      <c r="AS114" s="307">
        <f t="shared" si="98"/>
        <v>41548</v>
      </c>
      <c r="AT114" s="115">
        <v>52.99</v>
      </c>
      <c r="AU114" s="115">
        <v>44.39</v>
      </c>
      <c r="AV114" s="287">
        <f t="shared" si="91"/>
        <v>49.292000000000002</v>
      </c>
      <c r="AW114" s="271">
        <v>432</v>
      </c>
      <c r="AX114" s="271">
        <v>312</v>
      </c>
      <c r="AY114" s="271">
        <f t="shared" si="88"/>
        <v>0.58064516129032262</v>
      </c>
      <c r="AZ114" s="271">
        <f t="shared" si="89"/>
        <v>0.41935483870967744</v>
      </c>
      <c r="BD114">
        <f t="shared" si="92"/>
        <v>2013</v>
      </c>
      <c r="BE114" s="306">
        <f t="shared" si="97"/>
        <v>41548</v>
      </c>
      <c r="BF114" s="114">
        <f t="shared" si="90"/>
        <v>6.4159434475258292</v>
      </c>
      <c r="BG114" s="115">
        <v>6.4159434475258292</v>
      </c>
      <c r="BI114">
        <f t="shared" si="83"/>
        <v>2012</v>
      </c>
      <c r="BJ114" s="306">
        <v>41152</v>
      </c>
      <c r="BK114">
        <f t="shared" si="84"/>
        <v>4.2750000000000004</v>
      </c>
      <c r="BL114">
        <v>4.33</v>
      </c>
      <c r="BM114">
        <v>4.22</v>
      </c>
      <c r="BO114">
        <f t="shared" si="85"/>
        <v>2016</v>
      </c>
      <c r="BP114" s="286">
        <v>42552</v>
      </c>
      <c r="BQ114">
        <f t="shared" si="86"/>
        <v>8.629999999999999</v>
      </c>
      <c r="BR114">
        <v>8.74</v>
      </c>
      <c r="BS114">
        <v>8.52</v>
      </c>
      <c r="BT114">
        <f t="shared" si="93"/>
        <v>2023</v>
      </c>
      <c r="BU114" s="286">
        <v>44927</v>
      </c>
      <c r="BV114">
        <f t="shared" si="71"/>
        <v>3.85955</v>
      </c>
      <c r="BW114" s="580">
        <v>3.843</v>
      </c>
      <c r="BX114" s="580">
        <v>3.8761000000000001</v>
      </c>
      <c r="BY114">
        <f t="shared" si="94"/>
        <v>2026</v>
      </c>
      <c r="BZ114" s="286">
        <v>46023</v>
      </c>
      <c r="CA114">
        <f t="shared" si="82"/>
        <v>4.2790999999999997</v>
      </c>
      <c r="CB114" s="580">
        <v>4.3975999999999997</v>
      </c>
      <c r="CC114" s="580">
        <v>4.1605999999999996</v>
      </c>
      <c r="CD114" s="364">
        <f t="shared" si="95"/>
        <v>2027</v>
      </c>
      <c r="CE114" s="381">
        <v>46419</v>
      </c>
      <c r="CF114" s="364">
        <f t="shared" si="77"/>
        <v>3.6782500000000002</v>
      </c>
      <c r="CG114" s="411">
        <v>3.5792000000000002</v>
      </c>
      <c r="CH114" s="411">
        <v>3.7772999999999999</v>
      </c>
      <c r="CI114" s="364">
        <f t="shared" si="96"/>
        <v>2029</v>
      </c>
      <c r="CJ114" s="381">
        <v>47150</v>
      </c>
      <c r="CK114" s="364">
        <f t="shared" si="79"/>
        <v>6.02325</v>
      </c>
      <c r="CL114" s="411">
        <v>6.0190000000000001</v>
      </c>
      <c r="CM114" s="411">
        <v>6.0274999999999999</v>
      </c>
    </row>
    <row r="115" spans="44:91">
      <c r="AR115">
        <f t="shared" si="87"/>
        <v>2013</v>
      </c>
      <c r="AS115" s="307">
        <f t="shared" si="98"/>
        <v>41579</v>
      </c>
      <c r="AT115" s="115">
        <v>56.62</v>
      </c>
      <c r="AU115" s="115">
        <v>48.93</v>
      </c>
      <c r="AV115" s="287">
        <f t="shared" si="91"/>
        <v>53.313299999999998</v>
      </c>
      <c r="AW115" s="271">
        <v>400</v>
      </c>
      <c r="AX115" s="271">
        <v>320</v>
      </c>
      <c r="AY115" s="271">
        <f t="shared" si="88"/>
        <v>0.55555555555555558</v>
      </c>
      <c r="AZ115" s="271">
        <f t="shared" si="89"/>
        <v>0.44444444444444442</v>
      </c>
      <c r="BD115">
        <f t="shared" si="92"/>
        <v>2013</v>
      </c>
      <c r="BE115" s="306">
        <f t="shared" si="97"/>
        <v>41579</v>
      </c>
      <c r="BF115" s="114">
        <f t="shared" si="90"/>
        <v>6.5111038607939093</v>
      </c>
      <c r="BG115" s="115">
        <v>6.5111038607939093</v>
      </c>
      <c r="BI115">
        <f t="shared" si="83"/>
        <v>2012</v>
      </c>
      <c r="BJ115" s="306">
        <v>41182</v>
      </c>
      <c r="BK115">
        <f t="shared" si="84"/>
        <v>4.2750000000000004</v>
      </c>
      <c r="BL115">
        <v>4.33</v>
      </c>
      <c r="BM115">
        <v>4.22</v>
      </c>
      <c r="BO115">
        <f t="shared" si="85"/>
        <v>2016</v>
      </c>
      <c r="BP115" s="286">
        <v>42583</v>
      </c>
      <c r="BQ115">
        <f t="shared" si="86"/>
        <v>8.629999999999999</v>
      </c>
      <c r="BR115">
        <v>8.74</v>
      </c>
      <c r="BS115">
        <v>8.52</v>
      </c>
      <c r="BT115">
        <f t="shared" si="93"/>
        <v>2023</v>
      </c>
      <c r="BU115" s="286">
        <v>44958</v>
      </c>
      <c r="BV115">
        <f t="shared" si="71"/>
        <v>3.7744999999999997</v>
      </c>
      <c r="BW115" s="580">
        <v>3.7829999999999999</v>
      </c>
      <c r="BX115" s="580">
        <v>3.766</v>
      </c>
      <c r="BY115">
        <f t="shared" si="94"/>
        <v>2026</v>
      </c>
      <c r="BZ115" s="286">
        <v>46054</v>
      </c>
      <c r="CA115">
        <f t="shared" si="82"/>
        <v>4.2922499999999992</v>
      </c>
      <c r="CB115" s="580">
        <v>4.4238999999999997</v>
      </c>
      <c r="CC115" s="580">
        <v>4.1605999999999996</v>
      </c>
      <c r="CD115" s="364">
        <f t="shared" si="95"/>
        <v>2027</v>
      </c>
      <c r="CE115" s="381">
        <v>46447</v>
      </c>
      <c r="CF115" s="364">
        <f t="shared" si="77"/>
        <v>3.32165</v>
      </c>
      <c r="CG115" s="411">
        <v>3.2753999999999999</v>
      </c>
      <c r="CH115" s="411">
        <v>3.3679000000000001</v>
      </c>
      <c r="CI115" s="364">
        <f t="shared" si="96"/>
        <v>2029</v>
      </c>
      <c r="CJ115" s="381">
        <v>47178</v>
      </c>
      <c r="CK115" s="364">
        <f t="shared" si="79"/>
        <v>4.6063000000000001</v>
      </c>
      <c r="CL115" s="411">
        <v>4.6595000000000004</v>
      </c>
      <c r="CM115" s="411">
        <v>4.5530999999999997</v>
      </c>
    </row>
    <row r="116" spans="44:91">
      <c r="AR116">
        <f t="shared" si="87"/>
        <v>2013</v>
      </c>
      <c r="AS116" s="307">
        <f t="shared" si="98"/>
        <v>41609</v>
      </c>
      <c r="AT116" s="115">
        <v>57.73</v>
      </c>
      <c r="AU116" s="115">
        <v>48.37</v>
      </c>
      <c r="AV116" s="287">
        <f t="shared" si="91"/>
        <v>53.705199999999991</v>
      </c>
      <c r="AW116" s="271">
        <v>400</v>
      </c>
      <c r="AX116" s="271">
        <v>344</v>
      </c>
      <c r="AY116" s="271">
        <f t="shared" si="88"/>
        <v>0.5376344086021505</v>
      </c>
      <c r="AZ116" s="271">
        <f t="shared" si="89"/>
        <v>0.46236559139784944</v>
      </c>
      <c r="BD116">
        <f t="shared" si="92"/>
        <v>2013</v>
      </c>
      <c r="BE116" s="306">
        <f t="shared" si="97"/>
        <v>41609</v>
      </c>
      <c r="BF116" s="114">
        <f t="shared" si="90"/>
        <v>6.8169766177270263</v>
      </c>
      <c r="BG116" s="115">
        <v>6.8169766177270263</v>
      </c>
      <c r="BI116">
        <f t="shared" si="83"/>
        <v>2012</v>
      </c>
      <c r="BJ116" s="306">
        <v>41213</v>
      </c>
      <c r="BK116">
        <f t="shared" si="84"/>
        <v>4.43</v>
      </c>
      <c r="BL116">
        <v>4.45</v>
      </c>
      <c r="BM116">
        <v>4.41</v>
      </c>
      <c r="BO116">
        <f t="shared" si="85"/>
        <v>2016</v>
      </c>
      <c r="BP116" s="286">
        <v>42614</v>
      </c>
      <c r="BQ116">
        <f t="shared" si="86"/>
        <v>8.629999999999999</v>
      </c>
      <c r="BR116">
        <v>8.74</v>
      </c>
      <c r="BS116">
        <v>8.52</v>
      </c>
      <c r="BT116">
        <f t="shared" si="93"/>
        <v>2023</v>
      </c>
      <c r="BU116" s="286">
        <v>44986</v>
      </c>
      <c r="BV116">
        <f t="shared" si="71"/>
        <v>3.6102499999999997</v>
      </c>
      <c r="BW116" s="580">
        <v>3.6126</v>
      </c>
      <c r="BX116" s="580">
        <v>3.6078999999999999</v>
      </c>
      <c r="BY116">
        <f t="shared" si="94"/>
        <v>2026</v>
      </c>
      <c r="BZ116" s="286">
        <v>46082</v>
      </c>
      <c r="CA116">
        <f t="shared" si="82"/>
        <v>4.0618499999999997</v>
      </c>
      <c r="CB116" s="580">
        <v>4.2396000000000003</v>
      </c>
      <c r="CC116" s="580">
        <v>3.8841000000000001</v>
      </c>
      <c r="CD116" s="364">
        <f t="shared" si="95"/>
        <v>2027</v>
      </c>
      <c r="CE116" s="381">
        <v>46478</v>
      </c>
      <c r="CF116" s="364">
        <f t="shared" si="77"/>
        <v>3.0178500000000001</v>
      </c>
      <c r="CG116" s="411">
        <v>2.9584000000000001</v>
      </c>
      <c r="CH116" s="411">
        <v>3.0773000000000001</v>
      </c>
      <c r="CI116" s="364">
        <f t="shared" si="96"/>
        <v>2029</v>
      </c>
      <c r="CJ116" s="381">
        <v>47209</v>
      </c>
      <c r="CK116" s="364">
        <f t="shared" si="79"/>
        <v>4.1903500000000005</v>
      </c>
      <c r="CL116" s="411">
        <v>4.2382</v>
      </c>
      <c r="CM116" s="411">
        <v>4.1425000000000001</v>
      </c>
    </row>
    <row r="117" spans="44:91">
      <c r="AR117">
        <f t="shared" si="87"/>
        <v>2014</v>
      </c>
      <c r="AS117" s="307">
        <f t="shared" si="98"/>
        <v>41640</v>
      </c>
      <c r="AT117" s="115">
        <v>60.83</v>
      </c>
      <c r="AU117" s="115">
        <v>48.29</v>
      </c>
      <c r="AV117" s="287">
        <f t="shared" si="91"/>
        <v>55.437799999999996</v>
      </c>
      <c r="AW117" s="271">
        <v>416</v>
      </c>
      <c r="AX117" s="271">
        <v>328</v>
      </c>
      <c r="AY117" s="271">
        <f t="shared" si="88"/>
        <v>0.55913978494623651</v>
      </c>
      <c r="AZ117" s="271">
        <f t="shared" si="89"/>
        <v>0.44086021505376344</v>
      </c>
      <c r="BD117">
        <f t="shared" si="92"/>
        <v>2014</v>
      </c>
      <c r="BE117" s="306">
        <f t="shared" si="97"/>
        <v>41640</v>
      </c>
      <c r="BF117" s="114">
        <f t="shared" si="90"/>
        <v>7.8229581294181623</v>
      </c>
      <c r="BG117" s="115">
        <v>7.8229581294181623</v>
      </c>
      <c r="BI117">
        <f t="shared" si="83"/>
        <v>2012</v>
      </c>
      <c r="BJ117" s="306">
        <v>41243</v>
      </c>
      <c r="BK117">
        <f t="shared" si="84"/>
        <v>4.5</v>
      </c>
      <c r="BL117">
        <v>4.5199999999999996</v>
      </c>
      <c r="BM117">
        <v>4.4800000000000004</v>
      </c>
      <c r="BO117">
        <f t="shared" si="85"/>
        <v>2016</v>
      </c>
      <c r="BP117" s="286">
        <v>42644</v>
      </c>
      <c r="BQ117">
        <f t="shared" si="86"/>
        <v>8.9499999999999993</v>
      </c>
      <c r="BR117">
        <v>8.99</v>
      </c>
      <c r="BS117">
        <v>8.91</v>
      </c>
      <c r="BT117">
        <f t="shared" si="93"/>
        <v>2023</v>
      </c>
      <c r="BU117" s="286">
        <v>45017</v>
      </c>
      <c r="BV117">
        <f t="shared" si="71"/>
        <v>3.1503999999999999</v>
      </c>
      <c r="BW117" s="580">
        <v>3.2448999999999999</v>
      </c>
      <c r="BX117" s="580">
        <v>3.0558999999999998</v>
      </c>
      <c r="BY117">
        <f t="shared" si="94"/>
        <v>2026</v>
      </c>
      <c r="BZ117" s="286">
        <v>46113</v>
      </c>
      <c r="CA117">
        <f t="shared" si="82"/>
        <v>3.7853500000000002</v>
      </c>
      <c r="CB117" s="580">
        <v>3.9763000000000002</v>
      </c>
      <c r="CC117" s="580">
        <v>3.5943999999999998</v>
      </c>
      <c r="CD117" s="364">
        <f t="shared" si="95"/>
        <v>2027</v>
      </c>
      <c r="CE117" s="381">
        <v>46508</v>
      </c>
      <c r="CF117" s="364">
        <f t="shared" si="77"/>
        <v>2.8857999999999997</v>
      </c>
      <c r="CG117" s="411">
        <v>2.8923999999999999</v>
      </c>
      <c r="CH117" s="411">
        <v>2.8792</v>
      </c>
      <c r="CI117" s="364">
        <f t="shared" si="96"/>
        <v>2029</v>
      </c>
      <c r="CJ117" s="381">
        <v>47239</v>
      </c>
      <c r="CK117" s="364">
        <f t="shared" si="79"/>
        <v>4.1342499999999998</v>
      </c>
      <c r="CL117" s="411">
        <v>4.2533000000000003</v>
      </c>
      <c r="CM117" s="411">
        <v>4.0152000000000001</v>
      </c>
    </row>
    <row r="118" spans="44:91">
      <c r="AR118">
        <f t="shared" si="87"/>
        <v>2014</v>
      </c>
      <c r="AS118" s="307">
        <f t="shared" si="98"/>
        <v>41671</v>
      </c>
      <c r="AT118" s="115">
        <v>56.35</v>
      </c>
      <c r="AU118" s="115">
        <v>46.22</v>
      </c>
      <c r="AV118" s="287">
        <f t="shared" si="91"/>
        <v>51.994099999999996</v>
      </c>
      <c r="AW118" s="271">
        <v>384</v>
      </c>
      <c r="AX118" s="271">
        <v>288</v>
      </c>
      <c r="AY118" s="271">
        <f t="shared" si="88"/>
        <v>0.5714285714285714</v>
      </c>
      <c r="AZ118" s="271">
        <f t="shared" si="89"/>
        <v>0.42857142857142855</v>
      </c>
      <c r="BD118">
        <f t="shared" si="92"/>
        <v>2014</v>
      </c>
      <c r="BE118" s="306">
        <f t="shared" si="97"/>
        <v>41671</v>
      </c>
      <c r="BF118" s="114">
        <f t="shared" si="90"/>
        <v>7.3505546492659057</v>
      </c>
      <c r="BG118" s="115">
        <v>7.3505546492659057</v>
      </c>
      <c r="BI118">
        <f t="shared" si="83"/>
        <v>2012</v>
      </c>
      <c r="BJ118" s="306">
        <v>41274</v>
      </c>
      <c r="BK118">
        <f t="shared" si="84"/>
        <v>4.7249999999999996</v>
      </c>
      <c r="BL118">
        <v>4.71</v>
      </c>
      <c r="BM118">
        <v>4.74</v>
      </c>
      <c r="BO118">
        <f t="shared" si="85"/>
        <v>2016</v>
      </c>
      <c r="BP118" s="286">
        <v>42675</v>
      </c>
      <c r="BQ118">
        <f t="shared" si="86"/>
        <v>9.0850000000000009</v>
      </c>
      <c r="BR118">
        <v>9.1199999999999992</v>
      </c>
      <c r="BS118">
        <v>9.0500000000000007</v>
      </c>
      <c r="BT118">
        <f t="shared" si="93"/>
        <v>2023</v>
      </c>
      <c r="BU118" s="286">
        <v>45047</v>
      </c>
      <c r="BV118">
        <f t="shared" si="71"/>
        <v>3.1024000000000003</v>
      </c>
      <c r="BW118" s="580">
        <v>3.2326999999999999</v>
      </c>
      <c r="BX118" s="580">
        <v>2.9721000000000002</v>
      </c>
      <c r="BY118">
        <f t="shared" si="94"/>
        <v>2026</v>
      </c>
      <c r="BZ118" s="286">
        <v>46143</v>
      </c>
      <c r="CA118">
        <f t="shared" si="82"/>
        <v>3.7589999999999999</v>
      </c>
      <c r="CB118" s="580">
        <v>3.9499</v>
      </c>
      <c r="CC118" s="580">
        <v>3.5680999999999998</v>
      </c>
      <c r="CD118" s="364">
        <f t="shared" si="95"/>
        <v>2027</v>
      </c>
      <c r="CE118" s="381">
        <v>46539</v>
      </c>
      <c r="CF118" s="364">
        <f t="shared" si="77"/>
        <v>2.9121999999999999</v>
      </c>
      <c r="CG118" s="411">
        <v>2.8792</v>
      </c>
      <c r="CH118" s="411">
        <v>2.9451999999999998</v>
      </c>
      <c r="CI118" s="364">
        <f t="shared" si="96"/>
        <v>2029</v>
      </c>
      <c r="CJ118" s="381">
        <v>47270</v>
      </c>
      <c r="CK118" s="364">
        <f t="shared" si="79"/>
        <v>4.1731999999999996</v>
      </c>
      <c r="CL118" s="411">
        <v>4.3216000000000001</v>
      </c>
      <c r="CM118" s="411">
        <v>4.0247999999999999</v>
      </c>
    </row>
    <row r="119" spans="44:91">
      <c r="AR119">
        <f t="shared" si="87"/>
        <v>2014</v>
      </c>
      <c r="AS119" s="307">
        <f t="shared" si="98"/>
        <v>41699</v>
      </c>
      <c r="AT119" s="115">
        <v>53.75</v>
      </c>
      <c r="AU119" s="115">
        <v>47.31</v>
      </c>
      <c r="AV119" s="287">
        <f t="shared" si="91"/>
        <v>50.980799999999995</v>
      </c>
      <c r="AW119" s="271">
        <v>416</v>
      </c>
      <c r="AX119" s="271">
        <v>328</v>
      </c>
      <c r="AY119" s="271">
        <f t="shared" si="88"/>
        <v>0.55913978494623651</v>
      </c>
      <c r="AZ119" s="271">
        <f t="shared" si="89"/>
        <v>0.44086021505376344</v>
      </c>
      <c r="BD119">
        <f t="shared" si="92"/>
        <v>2014</v>
      </c>
      <c r="BE119" s="306">
        <f t="shared" si="97"/>
        <v>41699</v>
      </c>
      <c r="BF119" s="114">
        <f t="shared" si="90"/>
        <v>6.9121370309951065</v>
      </c>
      <c r="BG119" s="115">
        <v>6.9121370309951065</v>
      </c>
      <c r="BI119">
        <f t="shared" si="83"/>
        <v>2013</v>
      </c>
      <c r="BJ119" s="306">
        <v>41305</v>
      </c>
      <c r="BK119">
        <f t="shared" si="84"/>
        <v>5.2249999999999996</v>
      </c>
      <c r="BL119">
        <v>5.17</v>
      </c>
      <c r="BM119">
        <v>5.28</v>
      </c>
      <c r="BO119">
        <f t="shared" si="85"/>
        <v>2016</v>
      </c>
      <c r="BP119" s="286">
        <v>42705</v>
      </c>
      <c r="BQ119">
        <f t="shared" si="86"/>
        <v>9.5399999999999991</v>
      </c>
      <c r="BR119">
        <v>9.51</v>
      </c>
      <c r="BS119">
        <v>9.57</v>
      </c>
      <c r="BT119">
        <f t="shared" si="93"/>
        <v>2023</v>
      </c>
      <c r="BU119" s="286">
        <v>45078</v>
      </c>
      <c r="BV119">
        <f t="shared" si="71"/>
        <v>3.1133500000000001</v>
      </c>
      <c r="BW119" s="580">
        <v>3.2448000000000001</v>
      </c>
      <c r="BX119" s="580">
        <v>2.9819</v>
      </c>
      <c r="BY119">
        <f t="shared" si="94"/>
        <v>2026</v>
      </c>
      <c r="BZ119" s="286">
        <v>46174</v>
      </c>
      <c r="CA119">
        <f t="shared" si="82"/>
        <v>3.8182999999999998</v>
      </c>
      <c r="CB119" s="580">
        <v>3.9763000000000002</v>
      </c>
      <c r="CC119" s="580">
        <v>3.6602999999999999</v>
      </c>
      <c r="CD119" s="364">
        <f t="shared" si="95"/>
        <v>2027</v>
      </c>
      <c r="CE119" s="381">
        <v>46569</v>
      </c>
      <c r="CF119" s="364">
        <f t="shared" si="77"/>
        <v>2.9451999999999998</v>
      </c>
      <c r="CG119" s="411">
        <v>2.9188000000000001</v>
      </c>
      <c r="CH119" s="411">
        <v>2.9716</v>
      </c>
      <c r="CI119" s="364">
        <f t="shared" si="96"/>
        <v>2029</v>
      </c>
      <c r="CJ119" s="381">
        <v>47300</v>
      </c>
      <c r="CK119" s="364">
        <f t="shared" si="79"/>
        <v>4.3971999999999998</v>
      </c>
      <c r="CL119" s="411">
        <v>4.6223000000000001</v>
      </c>
      <c r="CM119" s="411">
        <v>4.1721000000000004</v>
      </c>
    </row>
    <row r="120" spans="44:91">
      <c r="AR120">
        <f t="shared" si="87"/>
        <v>2014</v>
      </c>
      <c r="AS120" s="307">
        <f t="shared" si="98"/>
        <v>41730</v>
      </c>
      <c r="AT120" s="115">
        <v>50.04</v>
      </c>
      <c r="AU120" s="115">
        <v>44.97</v>
      </c>
      <c r="AV120" s="287">
        <f t="shared" si="91"/>
        <v>47.859899999999996</v>
      </c>
      <c r="AW120" s="271">
        <v>416</v>
      </c>
      <c r="AX120" s="271">
        <v>304</v>
      </c>
      <c r="AY120" s="271">
        <f t="shared" si="88"/>
        <v>0.57777777777777772</v>
      </c>
      <c r="AZ120" s="271">
        <f t="shared" si="89"/>
        <v>0.42222222222222222</v>
      </c>
      <c r="BD120">
        <f t="shared" si="92"/>
        <v>2014</v>
      </c>
      <c r="BE120" s="306">
        <f t="shared" si="97"/>
        <v>41730</v>
      </c>
      <c r="BF120" s="114">
        <f t="shared" si="90"/>
        <v>6.5450897226753666</v>
      </c>
      <c r="BG120" s="115">
        <v>6.5450897226753666</v>
      </c>
      <c r="BI120">
        <f t="shared" si="83"/>
        <v>2013</v>
      </c>
      <c r="BJ120" s="306">
        <v>41333</v>
      </c>
      <c r="BK120">
        <f t="shared" si="84"/>
        <v>4.8650000000000002</v>
      </c>
      <c r="BL120">
        <v>4.8499999999999996</v>
      </c>
      <c r="BM120">
        <v>4.88</v>
      </c>
      <c r="BO120">
        <f t="shared" si="85"/>
        <v>2017</v>
      </c>
      <c r="BP120" s="286">
        <v>42736</v>
      </c>
      <c r="BQ120">
        <f t="shared" si="86"/>
        <v>11.04</v>
      </c>
      <c r="BR120">
        <v>10.93</v>
      </c>
      <c r="BS120">
        <v>11.15</v>
      </c>
      <c r="BT120">
        <f t="shared" si="93"/>
        <v>2023</v>
      </c>
      <c r="BU120" s="286">
        <v>45108</v>
      </c>
      <c r="BV120">
        <f t="shared" si="71"/>
        <v>3.19095</v>
      </c>
      <c r="BW120" s="580">
        <v>3.2947000000000002</v>
      </c>
      <c r="BX120" s="580">
        <v>3.0872000000000002</v>
      </c>
      <c r="BY120">
        <f t="shared" si="94"/>
        <v>2026</v>
      </c>
      <c r="BZ120" s="286">
        <v>46204</v>
      </c>
      <c r="CA120">
        <f t="shared" si="82"/>
        <v>3.9169999999999998</v>
      </c>
      <c r="CB120" s="580">
        <v>4.0289000000000001</v>
      </c>
      <c r="CC120" s="580">
        <v>3.8050999999999999</v>
      </c>
      <c r="CD120" s="364">
        <f t="shared" si="95"/>
        <v>2027</v>
      </c>
      <c r="CE120" s="381">
        <v>46600</v>
      </c>
      <c r="CF120" s="364">
        <f t="shared" si="77"/>
        <v>3.0310999999999999</v>
      </c>
      <c r="CG120" s="411">
        <v>3.0640999999999998</v>
      </c>
      <c r="CH120" s="411">
        <v>2.9981</v>
      </c>
      <c r="CI120" s="364">
        <f t="shared" si="96"/>
        <v>2029</v>
      </c>
      <c r="CJ120" s="381">
        <v>47331</v>
      </c>
      <c r="CK120" s="364">
        <f t="shared" si="79"/>
        <v>4.8059000000000003</v>
      </c>
      <c r="CL120" s="411">
        <v>4.9580000000000002</v>
      </c>
      <c r="CM120" s="411">
        <v>4.6538000000000004</v>
      </c>
    </row>
    <row r="121" spans="44:91">
      <c r="AR121">
        <f t="shared" si="87"/>
        <v>2014</v>
      </c>
      <c r="AS121" s="307">
        <f t="shared" si="98"/>
        <v>41760</v>
      </c>
      <c r="AT121" s="115">
        <v>47.38</v>
      </c>
      <c r="AU121" s="115">
        <v>38.15</v>
      </c>
      <c r="AV121" s="287">
        <f t="shared" si="91"/>
        <v>43.411099999999998</v>
      </c>
      <c r="AW121" s="271">
        <v>416</v>
      </c>
      <c r="AX121" s="271">
        <v>328</v>
      </c>
      <c r="AY121" s="271">
        <f t="shared" si="88"/>
        <v>0.55913978494623651</v>
      </c>
      <c r="AZ121" s="271">
        <f t="shared" si="89"/>
        <v>0.44086021505376344</v>
      </c>
      <c r="BD121">
        <f t="shared" si="92"/>
        <v>2014</v>
      </c>
      <c r="BE121" s="306">
        <f t="shared" si="97"/>
        <v>41760</v>
      </c>
      <c r="BF121" s="114">
        <f t="shared" si="90"/>
        <v>6.477117998912453</v>
      </c>
      <c r="BG121" s="115">
        <v>6.477117998912453</v>
      </c>
      <c r="BI121">
        <f t="shared" si="83"/>
        <v>2013</v>
      </c>
      <c r="BJ121" s="306">
        <v>41364</v>
      </c>
      <c r="BK121">
        <f t="shared" si="84"/>
        <v>4.5600000000000005</v>
      </c>
      <c r="BL121">
        <v>4.58</v>
      </c>
      <c r="BM121">
        <v>4.54</v>
      </c>
      <c r="BO121">
        <f t="shared" si="85"/>
        <v>2017</v>
      </c>
      <c r="BP121" s="286">
        <v>42767</v>
      </c>
      <c r="BQ121">
        <f t="shared" si="86"/>
        <v>10.27</v>
      </c>
      <c r="BR121">
        <v>10.24</v>
      </c>
      <c r="BS121">
        <v>10.3</v>
      </c>
      <c r="BT121">
        <f t="shared" si="93"/>
        <v>2023</v>
      </c>
      <c r="BU121" s="286">
        <v>45139</v>
      </c>
      <c r="BV121">
        <f t="shared" si="71"/>
        <v>3.2747999999999999</v>
      </c>
      <c r="BW121" s="580">
        <v>3.3727999999999998</v>
      </c>
      <c r="BX121" s="580">
        <v>3.1768000000000001</v>
      </c>
      <c r="BY121">
        <f t="shared" si="94"/>
        <v>2026</v>
      </c>
      <c r="BZ121" s="286">
        <v>46235</v>
      </c>
      <c r="CA121">
        <f t="shared" si="82"/>
        <v>3.9697</v>
      </c>
      <c r="CB121" s="580">
        <v>4.0948000000000002</v>
      </c>
      <c r="CC121" s="580">
        <v>3.8445999999999998</v>
      </c>
      <c r="CD121" s="364">
        <f t="shared" si="95"/>
        <v>2027</v>
      </c>
      <c r="CE121" s="381">
        <v>46631</v>
      </c>
      <c r="CF121" s="364">
        <f t="shared" si="77"/>
        <v>3.0046499999999998</v>
      </c>
      <c r="CG121" s="411">
        <v>3.1433</v>
      </c>
      <c r="CH121" s="411">
        <v>2.8660000000000001</v>
      </c>
      <c r="CI121" s="364">
        <f t="shared" si="96"/>
        <v>2029</v>
      </c>
      <c r="CJ121" s="381">
        <v>47362</v>
      </c>
      <c r="CK121" s="364">
        <f t="shared" si="79"/>
        <v>4.9014500000000005</v>
      </c>
      <c r="CL121" s="411">
        <v>5.0986000000000002</v>
      </c>
      <c r="CM121" s="411">
        <v>4.7042999999999999</v>
      </c>
    </row>
    <row r="122" spans="44:91">
      <c r="AR122">
        <f t="shared" si="87"/>
        <v>2014</v>
      </c>
      <c r="AS122" s="307">
        <f t="shared" si="98"/>
        <v>41791</v>
      </c>
      <c r="AT122" s="115">
        <v>49.3</v>
      </c>
      <c r="AU122" s="115">
        <v>37.25</v>
      </c>
      <c r="AV122" s="287">
        <f t="shared" si="91"/>
        <v>44.118499999999997</v>
      </c>
      <c r="AW122" s="271">
        <v>400</v>
      </c>
      <c r="AX122" s="271">
        <v>320</v>
      </c>
      <c r="AY122" s="271">
        <f t="shared" si="88"/>
        <v>0.55555555555555558</v>
      </c>
      <c r="AZ122" s="271">
        <f t="shared" si="89"/>
        <v>0.44444444444444442</v>
      </c>
      <c r="BD122">
        <f t="shared" si="92"/>
        <v>2014</v>
      </c>
      <c r="BE122" s="306">
        <f t="shared" si="97"/>
        <v>41791</v>
      </c>
      <c r="BF122" s="114">
        <f t="shared" si="90"/>
        <v>6.575676998368678</v>
      </c>
      <c r="BG122" s="115">
        <v>6.575676998368678</v>
      </c>
      <c r="BI122">
        <f t="shared" si="83"/>
        <v>2013</v>
      </c>
      <c r="BJ122" s="306">
        <v>41394</v>
      </c>
      <c r="BK122">
        <f t="shared" si="84"/>
        <v>4.2650000000000006</v>
      </c>
      <c r="BL122">
        <v>4.32</v>
      </c>
      <c r="BM122">
        <v>4.21</v>
      </c>
      <c r="BO122">
        <f t="shared" si="85"/>
        <v>2017</v>
      </c>
      <c r="BP122" s="286">
        <v>42795</v>
      </c>
      <c r="BQ122">
        <f t="shared" si="86"/>
        <v>9.6449999999999996</v>
      </c>
      <c r="BR122">
        <v>9.69</v>
      </c>
      <c r="BS122">
        <v>9.6</v>
      </c>
      <c r="BT122">
        <f t="shared" si="93"/>
        <v>2023</v>
      </c>
      <c r="BU122" s="286">
        <v>45170</v>
      </c>
      <c r="BV122">
        <f t="shared" si="71"/>
        <v>3.3331</v>
      </c>
      <c r="BW122" s="580">
        <v>3.4016000000000002</v>
      </c>
      <c r="BX122" s="580">
        <v>3.2646000000000002</v>
      </c>
      <c r="BY122">
        <f t="shared" si="94"/>
        <v>2026</v>
      </c>
      <c r="BZ122" s="286">
        <v>46266</v>
      </c>
      <c r="CA122">
        <f t="shared" si="82"/>
        <v>3.91045</v>
      </c>
      <c r="CB122" s="580">
        <v>4.0815999999999999</v>
      </c>
      <c r="CC122" s="580">
        <v>3.7393000000000001</v>
      </c>
      <c r="CD122" s="364">
        <f t="shared" si="95"/>
        <v>2027</v>
      </c>
      <c r="CE122" s="381">
        <v>46661</v>
      </c>
      <c r="CF122" s="364">
        <f t="shared" si="77"/>
        <v>3.2357500000000003</v>
      </c>
      <c r="CG122" s="411">
        <v>3.1697000000000002</v>
      </c>
      <c r="CH122" s="411">
        <v>3.3018000000000001</v>
      </c>
      <c r="CI122" s="364">
        <f t="shared" si="96"/>
        <v>2029</v>
      </c>
      <c r="CJ122" s="381">
        <v>47392</v>
      </c>
      <c r="CK122" s="364">
        <f t="shared" si="79"/>
        <v>5.0471500000000002</v>
      </c>
      <c r="CL122" s="411">
        <v>5.1567999999999996</v>
      </c>
      <c r="CM122" s="411">
        <v>4.9375</v>
      </c>
    </row>
    <row r="123" spans="44:91">
      <c r="AR123">
        <f t="shared" si="87"/>
        <v>2014</v>
      </c>
      <c r="AS123" s="307">
        <f t="shared" si="98"/>
        <v>41821</v>
      </c>
      <c r="AT123" s="115">
        <v>53.44</v>
      </c>
      <c r="AU123" s="115">
        <v>44.63</v>
      </c>
      <c r="AV123" s="287">
        <f t="shared" si="91"/>
        <v>49.651699999999991</v>
      </c>
      <c r="AW123" s="271">
        <v>416</v>
      </c>
      <c r="AX123" s="271">
        <v>328</v>
      </c>
      <c r="AY123" s="271">
        <f t="shared" si="88"/>
        <v>0.55913978494623651</v>
      </c>
      <c r="AZ123" s="271">
        <f t="shared" si="89"/>
        <v>0.44086021505376344</v>
      </c>
      <c r="BD123">
        <f t="shared" si="92"/>
        <v>2014</v>
      </c>
      <c r="BE123" s="306">
        <f t="shared" si="97"/>
        <v>41821</v>
      </c>
      <c r="BF123" s="114">
        <f t="shared" si="90"/>
        <v>6.6742359978249048</v>
      </c>
      <c r="BG123" s="115">
        <v>6.6742359978249048</v>
      </c>
      <c r="BI123">
        <f t="shared" si="83"/>
        <v>2013</v>
      </c>
      <c r="BJ123" s="306">
        <v>41425</v>
      </c>
      <c r="BK123">
        <f t="shared" si="84"/>
        <v>4.2650000000000006</v>
      </c>
      <c r="BL123">
        <v>4.32</v>
      </c>
      <c r="BM123">
        <v>4.21</v>
      </c>
      <c r="BO123">
        <f t="shared" si="85"/>
        <v>2017</v>
      </c>
      <c r="BP123" s="286">
        <v>42826</v>
      </c>
      <c r="BQ123">
        <f t="shared" si="86"/>
        <v>9.0100000000000016</v>
      </c>
      <c r="BR123">
        <v>9.1300000000000008</v>
      </c>
      <c r="BS123">
        <v>8.89</v>
      </c>
      <c r="BT123">
        <f t="shared" si="93"/>
        <v>2023</v>
      </c>
      <c r="BU123" s="286">
        <v>45200</v>
      </c>
      <c r="BV123">
        <f t="shared" si="71"/>
        <v>3.4526500000000002</v>
      </c>
      <c r="BW123" s="580">
        <v>3.5305</v>
      </c>
      <c r="BX123" s="580">
        <v>3.3748</v>
      </c>
      <c r="BY123">
        <f t="shared" si="94"/>
        <v>2026</v>
      </c>
      <c r="BZ123" s="286">
        <v>46296</v>
      </c>
      <c r="CA123">
        <f t="shared" si="82"/>
        <v>3.9433500000000001</v>
      </c>
      <c r="CB123" s="580">
        <v>4.1211000000000002</v>
      </c>
      <c r="CC123" s="580">
        <v>3.7656000000000001</v>
      </c>
      <c r="CD123" s="364">
        <f t="shared" si="95"/>
        <v>2027</v>
      </c>
      <c r="CE123" s="381">
        <v>46692</v>
      </c>
      <c r="CF123" s="364">
        <f t="shared" si="77"/>
        <v>3.7641</v>
      </c>
      <c r="CG123" s="411">
        <v>3.7376999999999998</v>
      </c>
      <c r="CH123" s="411">
        <v>3.7905000000000002</v>
      </c>
      <c r="CI123" s="364">
        <f t="shared" si="96"/>
        <v>2029</v>
      </c>
      <c r="CJ123" s="381">
        <v>47423</v>
      </c>
      <c r="CK123" s="364">
        <f t="shared" si="79"/>
        <v>5.6426999999999996</v>
      </c>
      <c r="CL123" s="411">
        <v>5.6542000000000003</v>
      </c>
      <c r="CM123" s="411">
        <v>5.6311999999999998</v>
      </c>
    </row>
    <row r="124" spans="44:91">
      <c r="AR124">
        <f t="shared" si="87"/>
        <v>2014</v>
      </c>
      <c r="AS124" s="307">
        <f t="shared" si="98"/>
        <v>41852</v>
      </c>
      <c r="AT124" s="115">
        <v>56.08</v>
      </c>
      <c r="AU124" s="115">
        <v>46.91</v>
      </c>
      <c r="AV124" s="287">
        <f t="shared" si="91"/>
        <v>52.136899999999997</v>
      </c>
      <c r="AW124" s="271">
        <v>416</v>
      </c>
      <c r="AX124" s="271">
        <v>328</v>
      </c>
      <c r="AY124" s="271">
        <f t="shared" si="88"/>
        <v>0.55913978494623651</v>
      </c>
      <c r="AZ124" s="271">
        <f t="shared" si="89"/>
        <v>0.44086021505376344</v>
      </c>
      <c r="BD124">
        <f t="shared" si="92"/>
        <v>2014</v>
      </c>
      <c r="BE124" s="306">
        <f t="shared" si="97"/>
        <v>41852</v>
      </c>
      <c r="BF124" s="114">
        <f t="shared" si="90"/>
        <v>6.6742359978249048</v>
      </c>
      <c r="BG124" s="115">
        <v>6.6742359978249048</v>
      </c>
      <c r="BI124">
        <f t="shared" si="83"/>
        <v>2013</v>
      </c>
      <c r="BJ124" s="306">
        <v>41455</v>
      </c>
      <c r="BK124">
        <f t="shared" si="84"/>
        <v>4.335</v>
      </c>
      <c r="BL124">
        <v>4.3899999999999997</v>
      </c>
      <c r="BM124">
        <v>4.28</v>
      </c>
      <c r="BO124">
        <f t="shared" si="85"/>
        <v>2017</v>
      </c>
      <c r="BP124" s="286">
        <v>42856</v>
      </c>
      <c r="BQ124">
        <f t="shared" si="86"/>
        <v>9.0100000000000016</v>
      </c>
      <c r="BR124">
        <v>9.1300000000000008</v>
      </c>
      <c r="BS124">
        <v>8.89</v>
      </c>
      <c r="BT124">
        <f t="shared" si="93"/>
        <v>2023</v>
      </c>
      <c r="BU124" s="286">
        <v>45231</v>
      </c>
      <c r="BV124">
        <f t="shared" si="71"/>
        <v>3.8148999999999997</v>
      </c>
      <c r="BW124" s="580">
        <v>3.8702000000000001</v>
      </c>
      <c r="BX124" s="580">
        <v>3.7595999999999998</v>
      </c>
      <c r="BY124">
        <f t="shared" si="94"/>
        <v>2026</v>
      </c>
      <c r="BZ124" s="286">
        <v>46327</v>
      </c>
      <c r="CA124">
        <f t="shared" si="82"/>
        <v>4.2264499999999998</v>
      </c>
      <c r="CB124" s="580">
        <v>4.3975999999999997</v>
      </c>
      <c r="CC124" s="580">
        <v>4.0552999999999999</v>
      </c>
      <c r="CD124" s="364">
        <f t="shared" si="95"/>
        <v>2027</v>
      </c>
      <c r="CE124" s="381">
        <v>46722</v>
      </c>
      <c r="CF124" s="364">
        <f t="shared" si="77"/>
        <v>4.1471</v>
      </c>
      <c r="CG124" s="411">
        <v>4.0149999999999997</v>
      </c>
      <c r="CH124" s="411">
        <v>4.2792000000000003</v>
      </c>
      <c r="CI124" s="364">
        <f t="shared" si="96"/>
        <v>2029</v>
      </c>
      <c r="CJ124" s="381">
        <v>47453</v>
      </c>
      <c r="CK124" s="364">
        <f t="shared" si="79"/>
        <v>5.8129</v>
      </c>
      <c r="CL124" s="411">
        <v>5.8398000000000003</v>
      </c>
      <c r="CM124" s="411">
        <v>5.7859999999999996</v>
      </c>
    </row>
    <row r="125" spans="44:91">
      <c r="AR125">
        <f t="shared" si="87"/>
        <v>2014</v>
      </c>
      <c r="AS125" s="307">
        <f t="shared" si="98"/>
        <v>41883</v>
      </c>
      <c r="AT125" s="115">
        <v>55.52</v>
      </c>
      <c r="AU125" s="115">
        <v>43.9</v>
      </c>
      <c r="AV125" s="287">
        <f t="shared" si="91"/>
        <v>50.523399999999995</v>
      </c>
      <c r="AW125" s="271">
        <v>400</v>
      </c>
      <c r="AX125" s="271">
        <v>320</v>
      </c>
      <c r="AY125" s="271">
        <f t="shared" si="88"/>
        <v>0.55555555555555558</v>
      </c>
      <c r="AZ125" s="271">
        <f t="shared" si="89"/>
        <v>0.44444444444444442</v>
      </c>
      <c r="BD125">
        <f t="shared" si="92"/>
        <v>2014</v>
      </c>
      <c r="BE125" s="306">
        <f t="shared" si="97"/>
        <v>41883</v>
      </c>
      <c r="BF125" s="114">
        <f t="shared" si="90"/>
        <v>6.6742359978249048</v>
      </c>
      <c r="BG125" s="115">
        <v>6.6742359978249048</v>
      </c>
      <c r="BI125">
        <f t="shared" si="83"/>
        <v>2013</v>
      </c>
      <c r="BJ125" s="306">
        <v>41486</v>
      </c>
      <c r="BK125">
        <f t="shared" si="84"/>
        <v>4.3949999999999996</v>
      </c>
      <c r="BL125">
        <v>4.45</v>
      </c>
      <c r="BM125">
        <v>4.34</v>
      </c>
      <c r="BO125">
        <f t="shared" si="85"/>
        <v>2017</v>
      </c>
      <c r="BP125" s="286">
        <v>42887</v>
      </c>
      <c r="BQ125">
        <f t="shared" si="86"/>
        <v>9.1499999999999986</v>
      </c>
      <c r="BR125">
        <v>9.27</v>
      </c>
      <c r="BS125">
        <v>9.0299999999999994</v>
      </c>
      <c r="BT125">
        <f t="shared" si="93"/>
        <v>2023</v>
      </c>
      <c r="BU125" s="286">
        <v>45261</v>
      </c>
      <c r="BV125">
        <f t="shared" si="71"/>
        <v>4.0483500000000001</v>
      </c>
      <c r="BW125" s="580">
        <v>4.0791000000000004</v>
      </c>
      <c r="BX125" s="580">
        <v>4.0175999999999998</v>
      </c>
      <c r="BY125">
        <f t="shared" si="94"/>
        <v>2026</v>
      </c>
      <c r="BZ125" s="286">
        <v>46357</v>
      </c>
      <c r="CA125">
        <f t="shared" si="82"/>
        <v>4.4502500000000005</v>
      </c>
      <c r="CB125" s="580">
        <v>4.5556000000000001</v>
      </c>
      <c r="CC125" s="580">
        <v>4.3449</v>
      </c>
      <c r="CD125" s="364">
        <f t="shared" si="95"/>
        <v>2028</v>
      </c>
      <c r="CE125" s="381">
        <v>46753</v>
      </c>
      <c r="CF125" s="364">
        <f t="shared" si="77"/>
        <v>4.1654499999999999</v>
      </c>
      <c r="CG125" s="411">
        <v>4.0167000000000002</v>
      </c>
      <c r="CH125" s="411">
        <v>4.3141999999999996</v>
      </c>
      <c r="CI125" s="364">
        <f t="shared" si="96"/>
        <v>2030</v>
      </c>
      <c r="CJ125" s="381">
        <v>47484</v>
      </c>
      <c r="CK125" s="364">
        <f t="shared" si="79"/>
        <v>6.2498000000000005</v>
      </c>
      <c r="CL125" s="411">
        <v>6.2876000000000003</v>
      </c>
      <c r="CM125" s="411">
        <v>6.2119999999999997</v>
      </c>
    </row>
    <row r="126" spans="44:91">
      <c r="AR126">
        <f t="shared" si="87"/>
        <v>2014</v>
      </c>
      <c r="AS126" s="307">
        <f t="shared" si="98"/>
        <v>41913</v>
      </c>
      <c r="AT126" s="115">
        <v>54.83</v>
      </c>
      <c r="AU126" s="115">
        <v>45.28</v>
      </c>
      <c r="AV126" s="287">
        <f t="shared" si="91"/>
        <v>50.723500000000001</v>
      </c>
      <c r="AW126" s="271">
        <v>432</v>
      </c>
      <c r="AX126" s="271">
        <v>312</v>
      </c>
      <c r="AY126" s="271">
        <f t="shared" si="88"/>
        <v>0.58064516129032262</v>
      </c>
      <c r="AZ126" s="271">
        <f t="shared" si="89"/>
        <v>0.41935483870967744</v>
      </c>
      <c r="BD126">
        <f t="shared" si="92"/>
        <v>2014</v>
      </c>
      <c r="BE126" s="306">
        <f t="shared" si="97"/>
        <v>41913</v>
      </c>
      <c r="BF126" s="114">
        <f t="shared" si="90"/>
        <v>6.9121370309951065</v>
      </c>
      <c r="BG126" s="115">
        <v>6.9121370309951065</v>
      </c>
      <c r="BI126">
        <f t="shared" si="83"/>
        <v>2013</v>
      </c>
      <c r="BJ126" s="306">
        <v>41517</v>
      </c>
      <c r="BK126">
        <f t="shared" si="84"/>
        <v>4.3949999999999996</v>
      </c>
      <c r="BL126">
        <v>4.45</v>
      </c>
      <c r="BM126">
        <v>4.34</v>
      </c>
      <c r="BO126">
        <f t="shared" si="85"/>
        <v>2017</v>
      </c>
      <c r="BP126" s="286">
        <v>42917</v>
      </c>
      <c r="BQ126">
        <f t="shared" si="86"/>
        <v>9.2949999999999999</v>
      </c>
      <c r="BR126">
        <v>9.41</v>
      </c>
      <c r="BS126">
        <v>9.18</v>
      </c>
      <c r="BT126">
        <f t="shared" si="93"/>
        <v>2024</v>
      </c>
      <c r="BU126" s="286">
        <v>45292</v>
      </c>
      <c r="BV126">
        <f t="shared" si="71"/>
        <v>4.31325</v>
      </c>
      <c r="BW126" s="580">
        <v>4.3822999999999999</v>
      </c>
      <c r="BX126" s="580">
        <v>4.2442000000000002</v>
      </c>
      <c r="BY126">
        <f t="shared" si="94"/>
        <v>2027</v>
      </c>
      <c r="BZ126" s="286">
        <v>46388</v>
      </c>
      <c r="CA126">
        <f t="shared" si="82"/>
        <v>4.4943</v>
      </c>
      <c r="CB126" s="580">
        <v>4.5884999999999998</v>
      </c>
      <c r="CC126" s="580">
        <v>4.4001000000000001</v>
      </c>
      <c r="CD126" s="364">
        <f t="shared" si="95"/>
        <v>2028</v>
      </c>
      <c r="CE126" s="381">
        <v>46784</v>
      </c>
      <c r="CF126" s="364">
        <f t="shared" si="77"/>
        <v>3.8815</v>
      </c>
      <c r="CG126" s="411">
        <v>3.7732999999999999</v>
      </c>
      <c r="CH126" s="411">
        <v>3.9897</v>
      </c>
      <c r="CI126" s="364">
        <f t="shared" si="96"/>
        <v>2030</v>
      </c>
      <c r="CJ126" s="381">
        <v>47515</v>
      </c>
      <c r="CK126" s="364">
        <f t="shared" si="79"/>
        <v>5.9990500000000004</v>
      </c>
      <c r="CL126" s="411">
        <v>6.0101000000000004</v>
      </c>
      <c r="CM126" s="411">
        <v>5.9880000000000004</v>
      </c>
    </row>
    <row r="127" spans="44:91">
      <c r="AR127">
        <f t="shared" si="87"/>
        <v>2014</v>
      </c>
      <c r="AS127" s="307">
        <f t="shared" si="98"/>
        <v>41944</v>
      </c>
      <c r="AT127" s="115">
        <v>60.19</v>
      </c>
      <c r="AU127" s="115">
        <v>51.73</v>
      </c>
      <c r="AV127" s="287">
        <f t="shared" si="91"/>
        <v>56.552199999999999</v>
      </c>
      <c r="AW127" s="271">
        <v>384</v>
      </c>
      <c r="AX127" s="271">
        <v>336</v>
      </c>
      <c r="AY127" s="271">
        <f t="shared" si="88"/>
        <v>0.53333333333333333</v>
      </c>
      <c r="AZ127" s="271">
        <f t="shared" si="89"/>
        <v>0.46666666666666667</v>
      </c>
      <c r="BD127">
        <f t="shared" si="92"/>
        <v>2014</v>
      </c>
      <c r="BE127" s="306">
        <f t="shared" si="97"/>
        <v>41944</v>
      </c>
      <c r="BF127" s="114">
        <f t="shared" si="90"/>
        <v>7.0140946166394791</v>
      </c>
      <c r="BG127" s="115">
        <v>7.0140946166394791</v>
      </c>
      <c r="BI127">
        <f t="shared" si="83"/>
        <v>2013</v>
      </c>
      <c r="BJ127" s="306">
        <v>41547</v>
      </c>
      <c r="BK127">
        <f t="shared" si="84"/>
        <v>4.3949999999999996</v>
      </c>
      <c r="BL127">
        <v>4.45</v>
      </c>
      <c r="BM127">
        <v>4.34</v>
      </c>
      <c r="BO127">
        <f t="shared" si="85"/>
        <v>2017</v>
      </c>
      <c r="BP127" s="286">
        <v>42948</v>
      </c>
      <c r="BQ127">
        <f t="shared" si="86"/>
        <v>9.2949999999999999</v>
      </c>
      <c r="BR127">
        <v>9.41</v>
      </c>
      <c r="BS127">
        <v>9.18</v>
      </c>
      <c r="BT127">
        <f t="shared" si="93"/>
        <v>2024</v>
      </c>
      <c r="BU127" s="286">
        <v>45323</v>
      </c>
      <c r="BV127">
        <f t="shared" si="71"/>
        <v>4.2567000000000004</v>
      </c>
      <c r="BW127" s="580">
        <v>4.2944000000000004</v>
      </c>
      <c r="BX127" s="580">
        <v>4.2190000000000003</v>
      </c>
      <c r="BY127">
        <f t="shared" si="94"/>
        <v>2027</v>
      </c>
      <c r="BZ127" s="286">
        <v>46419</v>
      </c>
      <c r="CA127">
        <f t="shared" si="82"/>
        <v>4.4741499999999998</v>
      </c>
      <c r="CB127" s="580">
        <v>4.6020000000000003</v>
      </c>
      <c r="CC127" s="580">
        <v>4.3463000000000003</v>
      </c>
      <c r="CD127" s="364">
        <f t="shared" si="95"/>
        <v>2028</v>
      </c>
      <c r="CE127" s="381">
        <v>46813</v>
      </c>
      <c r="CF127" s="364">
        <f t="shared" si="77"/>
        <v>3.5974499999999998</v>
      </c>
      <c r="CG127" s="411">
        <v>3.5703999999999998</v>
      </c>
      <c r="CH127" s="411">
        <v>3.6244999999999998</v>
      </c>
      <c r="CI127" s="364">
        <f t="shared" si="96"/>
        <v>2030</v>
      </c>
      <c r="CJ127" s="381">
        <v>47543</v>
      </c>
      <c r="CK127" s="364">
        <f t="shared" si="79"/>
        <v>4.7484500000000001</v>
      </c>
      <c r="CL127" s="411">
        <v>4.7962999999999996</v>
      </c>
      <c r="CM127" s="411">
        <v>4.7005999999999997</v>
      </c>
    </row>
    <row r="128" spans="44:91">
      <c r="AR128">
        <f t="shared" si="87"/>
        <v>2014</v>
      </c>
      <c r="AS128" s="307">
        <f t="shared" si="98"/>
        <v>41974</v>
      </c>
      <c r="AT128" s="115">
        <v>63.17</v>
      </c>
      <c r="AU128" s="115">
        <v>52.88</v>
      </c>
      <c r="AV128" s="287">
        <f t="shared" si="91"/>
        <v>58.7453</v>
      </c>
      <c r="AW128" s="271">
        <v>416</v>
      </c>
      <c r="AX128" s="271">
        <v>328</v>
      </c>
      <c r="AY128" s="271">
        <f t="shared" si="88"/>
        <v>0.55913978494623651</v>
      </c>
      <c r="AZ128" s="271">
        <f t="shared" si="89"/>
        <v>0.44086021505376344</v>
      </c>
      <c r="BD128">
        <f t="shared" si="92"/>
        <v>2014</v>
      </c>
      <c r="BE128" s="306">
        <f t="shared" si="97"/>
        <v>41974</v>
      </c>
      <c r="BF128" s="114">
        <f t="shared" si="90"/>
        <v>7.3505546492659057</v>
      </c>
      <c r="BG128" s="115">
        <v>7.3505546492659057</v>
      </c>
      <c r="BI128">
        <f t="shared" si="83"/>
        <v>2013</v>
      </c>
      <c r="BJ128" s="306">
        <v>41578</v>
      </c>
      <c r="BK128">
        <f t="shared" si="84"/>
        <v>4.5600000000000005</v>
      </c>
      <c r="BL128">
        <v>4.58</v>
      </c>
      <c r="BM128">
        <v>4.54</v>
      </c>
      <c r="BO128">
        <f t="shared" si="85"/>
        <v>2017</v>
      </c>
      <c r="BP128" s="286">
        <v>42979</v>
      </c>
      <c r="BQ128">
        <f t="shared" si="86"/>
        <v>9.2949999999999999</v>
      </c>
      <c r="BR128">
        <v>9.41</v>
      </c>
      <c r="BS128">
        <v>9.18</v>
      </c>
      <c r="BT128">
        <f t="shared" si="93"/>
        <v>2024</v>
      </c>
      <c r="BU128" s="286">
        <v>45352</v>
      </c>
      <c r="BV128">
        <f t="shared" si="71"/>
        <v>3.9804499999999998</v>
      </c>
      <c r="BW128" s="580">
        <v>4.0180999999999996</v>
      </c>
      <c r="BX128" s="580">
        <v>3.9428000000000001</v>
      </c>
      <c r="BY128">
        <f t="shared" si="94"/>
        <v>2027</v>
      </c>
      <c r="BZ128" s="286">
        <v>46447</v>
      </c>
      <c r="CA128">
        <f t="shared" si="82"/>
        <v>4.0704500000000001</v>
      </c>
      <c r="CB128" s="580">
        <v>4.2521000000000004</v>
      </c>
      <c r="CC128" s="580">
        <v>3.8887999999999998</v>
      </c>
      <c r="CD128" s="364">
        <f t="shared" si="95"/>
        <v>2028</v>
      </c>
      <c r="CE128" s="381">
        <v>46844</v>
      </c>
      <c r="CF128" s="364">
        <f t="shared" si="77"/>
        <v>3.1917499999999999</v>
      </c>
      <c r="CG128" s="411">
        <v>3.0971000000000002</v>
      </c>
      <c r="CH128" s="411">
        <v>3.2864</v>
      </c>
      <c r="CI128" s="364">
        <f t="shared" si="96"/>
        <v>2030</v>
      </c>
      <c r="CJ128" s="381">
        <v>47574</v>
      </c>
      <c r="CK128" s="364">
        <f t="shared" si="79"/>
        <v>4.3787500000000001</v>
      </c>
      <c r="CL128" s="411">
        <v>4.4271000000000003</v>
      </c>
      <c r="CM128" s="411">
        <v>4.3304</v>
      </c>
    </row>
    <row r="129" spans="44:91">
      <c r="AR129">
        <f t="shared" si="87"/>
        <v>2015</v>
      </c>
      <c r="AS129" s="307">
        <f t="shared" si="98"/>
        <v>42005</v>
      </c>
      <c r="AT129" s="115">
        <v>64.599999999999994</v>
      </c>
      <c r="AU129" s="115">
        <v>53.15</v>
      </c>
      <c r="AV129" s="287">
        <f t="shared" si="91"/>
        <v>59.67649999999999</v>
      </c>
      <c r="AW129" s="271">
        <v>416</v>
      </c>
      <c r="AX129" s="271">
        <v>328</v>
      </c>
      <c r="AY129" s="271">
        <f t="shared" si="88"/>
        <v>0.55913978494623651</v>
      </c>
      <c r="AZ129" s="271">
        <f t="shared" si="89"/>
        <v>0.44086021505376344</v>
      </c>
      <c r="BD129">
        <f t="shared" si="92"/>
        <v>2015</v>
      </c>
      <c r="BE129" s="306">
        <f t="shared" si="97"/>
        <v>42005</v>
      </c>
      <c r="BF129" s="114">
        <f t="shared" si="90"/>
        <v>8.2749700924415439</v>
      </c>
      <c r="BG129" s="115">
        <v>8.2749700924415439</v>
      </c>
      <c r="BI129">
        <f t="shared" si="83"/>
        <v>2013</v>
      </c>
      <c r="BJ129" s="306">
        <v>41608</v>
      </c>
      <c r="BK129">
        <f t="shared" si="84"/>
        <v>4.6300000000000008</v>
      </c>
      <c r="BL129">
        <v>4.6500000000000004</v>
      </c>
      <c r="BM129">
        <v>4.6100000000000003</v>
      </c>
      <c r="BO129">
        <f t="shared" si="85"/>
        <v>2017</v>
      </c>
      <c r="BP129" s="286">
        <v>43009</v>
      </c>
      <c r="BQ129">
        <f t="shared" si="86"/>
        <v>9.6449999999999996</v>
      </c>
      <c r="BR129">
        <v>9.69</v>
      </c>
      <c r="BS129">
        <v>9.6</v>
      </c>
      <c r="BT129">
        <f t="shared" si="93"/>
        <v>2024</v>
      </c>
      <c r="BU129" s="286">
        <v>45383</v>
      </c>
      <c r="BV129">
        <f t="shared" si="71"/>
        <v>3.6853499999999997</v>
      </c>
      <c r="BW129" s="580">
        <v>3.7544</v>
      </c>
      <c r="BX129" s="580">
        <v>3.6162999999999998</v>
      </c>
      <c r="BY129">
        <f t="shared" si="94"/>
        <v>2027</v>
      </c>
      <c r="BZ129" s="286">
        <v>46478</v>
      </c>
      <c r="CA129">
        <f t="shared" si="82"/>
        <v>3.7004000000000001</v>
      </c>
      <c r="CB129" s="580">
        <v>3.8887999999999998</v>
      </c>
      <c r="CC129" s="580">
        <v>3.512</v>
      </c>
      <c r="CD129" s="364">
        <f t="shared" si="95"/>
        <v>2028</v>
      </c>
      <c r="CE129" s="381">
        <v>46874</v>
      </c>
      <c r="CF129" s="364">
        <f t="shared" si="77"/>
        <v>3.0227000000000004</v>
      </c>
      <c r="CG129" s="411">
        <v>3.0565000000000002</v>
      </c>
      <c r="CH129" s="411">
        <v>2.9889000000000001</v>
      </c>
      <c r="CI129" s="364">
        <f t="shared" si="96"/>
        <v>2030</v>
      </c>
      <c r="CJ129" s="381">
        <v>47604</v>
      </c>
      <c r="CK129" s="364">
        <f t="shared" si="79"/>
        <v>4.3317499999999995</v>
      </c>
      <c r="CL129" s="411">
        <v>4.4283999999999999</v>
      </c>
      <c r="CM129" s="411">
        <v>4.2351000000000001</v>
      </c>
    </row>
    <row r="130" spans="44:91">
      <c r="AR130">
        <f t="shared" si="87"/>
        <v>2015</v>
      </c>
      <c r="AS130" s="307">
        <f t="shared" si="98"/>
        <v>42036</v>
      </c>
      <c r="AT130" s="115">
        <v>61.43</v>
      </c>
      <c r="AU130" s="115">
        <v>51.43</v>
      </c>
      <c r="AV130" s="287">
        <f t="shared" si="91"/>
        <v>57.129999999999995</v>
      </c>
      <c r="AW130" s="271">
        <v>384</v>
      </c>
      <c r="AX130" s="271">
        <v>288</v>
      </c>
      <c r="AY130" s="271">
        <f t="shared" si="88"/>
        <v>0.5714285714285714</v>
      </c>
      <c r="AZ130" s="271">
        <f t="shared" si="89"/>
        <v>0.42857142857142855</v>
      </c>
      <c r="BD130">
        <f t="shared" si="92"/>
        <v>2015</v>
      </c>
      <c r="BE130" s="306">
        <f t="shared" si="97"/>
        <v>42036</v>
      </c>
      <c r="BF130" s="114">
        <f t="shared" si="90"/>
        <v>7.7753779227841218</v>
      </c>
      <c r="BG130" s="115">
        <v>7.7753779227841218</v>
      </c>
      <c r="BI130">
        <f t="shared" si="83"/>
        <v>2013</v>
      </c>
      <c r="BJ130" s="306">
        <v>41639</v>
      </c>
      <c r="BK130">
        <f t="shared" si="84"/>
        <v>4.8650000000000002</v>
      </c>
      <c r="BL130">
        <v>4.8499999999999996</v>
      </c>
      <c r="BM130">
        <v>4.88</v>
      </c>
      <c r="BO130">
        <f t="shared" si="85"/>
        <v>2017</v>
      </c>
      <c r="BP130" s="286">
        <v>43040</v>
      </c>
      <c r="BQ130">
        <f t="shared" si="86"/>
        <v>9.7800000000000011</v>
      </c>
      <c r="BR130">
        <v>9.82</v>
      </c>
      <c r="BS130">
        <v>9.74</v>
      </c>
      <c r="BT130">
        <f t="shared" si="93"/>
        <v>2024</v>
      </c>
      <c r="BU130" s="286">
        <v>45413</v>
      </c>
      <c r="BV130">
        <f t="shared" si="71"/>
        <v>3.6163499999999997</v>
      </c>
      <c r="BW130" s="580">
        <v>3.7418999999999998</v>
      </c>
      <c r="BX130" s="580">
        <v>3.4908000000000001</v>
      </c>
      <c r="BY130">
        <f t="shared" si="94"/>
        <v>2027</v>
      </c>
      <c r="BZ130" s="286">
        <v>46508</v>
      </c>
      <c r="CA130">
        <f t="shared" si="82"/>
        <v>3.6802000000000001</v>
      </c>
      <c r="CB130" s="580">
        <v>3.8483999999999998</v>
      </c>
      <c r="CC130" s="580">
        <v>3.512</v>
      </c>
      <c r="CD130" s="364">
        <f t="shared" si="95"/>
        <v>2028</v>
      </c>
      <c r="CE130" s="381">
        <v>46905</v>
      </c>
      <c r="CF130" s="364">
        <f t="shared" si="77"/>
        <v>3.0565000000000002</v>
      </c>
      <c r="CG130" s="411">
        <v>3.0565000000000002</v>
      </c>
      <c r="CH130" s="411">
        <v>3.0565000000000002</v>
      </c>
      <c r="CI130" s="364">
        <f t="shared" si="96"/>
        <v>2030</v>
      </c>
      <c r="CJ130" s="381">
        <v>47635</v>
      </c>
      <c r="CK130" s="364">
        <f t="shared" si="79"/>
        <v>4.3512500000000003</v>
      </c>
      <c r="CL130" s="411">
        <v>4.5403000000000002</v>
      </c>
      <c r="CM130" s="411">
        <v>4.1622000000000003</v>
      </c>
    </row>
    <row r="131" spans="44:91">
      <c r="AR131">
        <f t="shared" si="87"/>
        <v>2015</v>
      </c>
      <c r="AS131" s="307">
        <f t="shared" si="98"/>
        <v>42064</v>
      </c>
      <c r="AT131" s="115">
        <v>58.27</v>
      </c>
      <c r="AU131" s="115">
        <v>52.65</v>
      </c>
      <c r="AV131" s="287">
        <f t="shared" si="91"/>
        <v>55.853400000000001</v>
      </c>
      <c r="AW131" s="271">
        <v>416</v>
      </c>
      <c r="AX131" s="271">
        <v>328</v>
      </c>
      <c r="AY131" s="271">
        <f t="shared" si="88"/>
        <v>0.55913978494623651</v>
      </c>
      <c r="AZ131" s="271">
        <f t="shared" si="89"/>
        <v>0.44086021505376344</v>
      </c>
      <c r="BD131">
        <f t="shared" si="92"/>
        <v>2015</v>
      </c>
      <c r="BE131" s="306">
        <f t="shared" si="97"/>
        <v>42064</v>
      </c>
      <c r="BF131" s="114">
        <f t="shared" si="90"/>
        <v>7.3165687873844494</v>
      </c>
      <c r="BG131" s="115">
        <v>7.3165687873844494</v>
      </c>
      <c r="BI131">
        <f t="shared" si="83"/>
        <v>2014</v>
      </c>
      <c r="BJ131" s="306">
        <v>41670</v>
      </c>
      <c r="BK131">
        <f t="shared" si="84"/>
        <v>5.4399999999999995</v>
      </c>
      <c r="BL131">
        <v>5.39</v>
      </c>
      <c r="BM131">
        <v>5.49</v>
      </c>
      <c r="BO131">
        <f t="shared" si="85"/>
        <v>2017</v>
      </c>
      <c r="BP131" s="286">
        <v>43070</v>
      </c>
      <c r="BQ131">
        <f t="shared" si="86"/>
        <v>10.27</v>
      </c>
      <c r="BR131">
        <v>10.24</v>
      </c>
      <c r="BS131">
        <v>10.3</v>
      </c>
      <c r="BT131">
        <f t="shared" si="93"/>
        <v>2024</v>
      </c>
      <c r="BU131" s="286">
        <v>45444</v>
      </c>
      <c r="BV131">
        <f t="shared" si="71"/>
        <v>3.6162999999999998</v>
      </c>
      <c r="BW131" s="580">
        <v>3.7292999999999998</v>
      </c>
      <c r="BX131" s="580">
        <v>3.5032999999999999</v>
      </c>
      <c r="BY131">
        <f t="shared" si="94"/>
        <v>2027</v>
      </c>
      <c r="BZ131" s="286">
        <v>46539</v>
      </c>
      <c r="CA131">
        <f t="shared" si="82"/>
        <v>3.7004000000000001</v>
      </c>
      <c r="CB131" s="580">
        <v>3.8753000000000002</v>
      </c>
      <c r="CC131" s="580">
        <v>3.5255000000000001</v>
      </c>
      <c r="CD131" s="364">
        <f t="shared" si="95"/>
        <v>2028</v>
      </c>
      <c r="CE131" s="381">
        <v>46935</v>
      </c>
      <c r="CF131" s="364">
        <f t="shared" si="77"/>
        <v>3.0970499999999999</v>
      </c>
      <c r="CG131" s="411">
        <v>3.1105999999999998</v>
      </c>
      <c r="CH131" s="411">
        <v>3.0834999999999999</v>
      </c>
      <c r="CI131" s="364">
        <f t="shared" si="96"/>
        <v>2030</v>
      </c>
      <c r="CJ131" s="381">
        <v>47665</v>
      </c>
      <c r="CK131" s="364">
        <f t="shared" si="79"/>
        <v>4.58</v>
      </c>
      <c r="CL131" s="411">
        <v>4.8575999999999997</v>
      </c>
      <c r="CM131" s="411">
        <v>4.3023999999999996</v>
      </c>
    </row>
    <row r="132" spans="44:91">
      <c r="AR132">
        <f t="shared" si="87"/>
        <v>2015</v>
      </c>
      <c r="AS132" s="307">
        <f t="shared" si="98"/>
        <v>42095</v>
      </c>
      <c r="AT132" s="115">
        <v>53.61</v>
      </c>
      <c r="AU132" s="115">
        <v>49.9</v>
      </c>
      <c r="AV132" s="287">
        <f t="shared" si="91"/>
        <v>52.014699999999998</v>
      </c>
      <c r="AW132" s="271">
        <v>416</v>
      </c>
      <c r="AX132" s="271">
        <v>304</v>
      </c>
      <c r="AY132" s="271">
        <f t="shared" si="88"/>
        <v>0.57777777777777772</v>
      </c>
      <c r="AZ132" s="271">
        <f t="shared" si="89"/>
        <v>0.42222222222222222</v>
      </c>
      <c r="BD132">
        <f t="shared" si="92"/>
        <v>2015</v>
      </c>
      <c r="BE132" s="306">
        <f t="shared" si="97"/>
        <v>42095</v>
      </c>
      <c r="BF132" s="114">
        <f t="shared" si="90"/>
        <v>6.9223327895595439</v>
      </c>
      <c r="BG132" s="115">
        <v>6.9223327895595439</v>
      </c>
      <c r="BI132">
        <f t="shared" si="83"/>
        <v>2014</v>
      </c>
      <c r="BJ132" s="306">
        <v>41698</v>
      </c>
      <c r="BK132">
        <f t="shared" si="84"/>
        <v>5.0600000000000005</v>
      </c>
      <c r="BL132">
        <v>5.04</v>
      </c>
      <c r="BM132">
        <v>5.08</v>
      </c>
      <c r="BO132">
        <f t="shared" si="85"/>
        <v>2018</v>
      </c>
      <c r="BP132" s="286">
        <v>43101</v>
      </c>
      <c r="BQ132">
        <f t="shared" si="86"/>
        <v>12.93</v>
      </c>
      <c r="BR132">
        <v>13.65</v>
      </c>
      <c r="BS132">
        <v>12.21</v>
      </c>
      <c r="BT132">
        <f t="shared" si="93"/>
        <v>2024</v>
      </c>
      <c r="BU132" s="286">
        <v>45474</v>
      </c>
      <c r="BV132">
        <f t="shared" si="71"/>
        <v>3.6288999999999998</v>
      </c>
      <c r="BW132" s="580">
        <v>3.7418999999999998</v>
      </c>
      <c r="BX132" s="580">
        <v>3.5158999999999998</v>
      </c>
      <c r="BY132">
        <f t="shared" si="94"/>
        <v>2027</v>
      </c>
      <c r="BZ132" s="286">
        <v>46569</v>
      </c>
      <c r="CA132">
        <f t="shared" si="82"/>
        <v>3.8282499999999997</v>
      </c>
      <c r="CB132" s="580">
        <v>3.9695</v>
      </c>
      <c r="CC132" s="580">
        <v>3.6869999999999998</v>
      </c>
      <c r="CD132" s="364">
        <f t="shared" si="95"/>
        <v>2028</v>
      </c>
      <c r="CE132" s="381">
        <v>46966</v>
      </c>
      <c r="CF132" s="364">
        <f t="shared" si="77"/>
        <v>3.1781999999999999</v>
      </c>
      <c r="CG132" s="411">
        <v>3.2458</v>
      </c>
      <c r="CH132" s="411">
        <v>3.1105999999999998</v>
      </c>
      <c r="CI132" s="364">
        <f t="shared" si="96"/>
        <v>2030</v>
      </c>
      <c r="CJ132" s="381">
        <v>47696</v>
      </c>
      <c r="CK132" s="364">
        <f t="shared" si="79"/>
        <v>4.9881500000000001</v>
      </c>
      <c r="CL132" s="411">
        <v>5.1816000000000004</v>
      </c>
      <c r="CM132" s="411">
        <v>4.7946999999999997</v>
      </c>
    </row>
    <row r="133" spans="44:91">
      <c r="AR133">
        <f t="shared" si="87"/>
        <v>2015</v>
      </c>
      <c r="AS133" s="307">
        <f t="shared" si="98"/>
        <v>42125</v>
      </c>
      <c r="AT133" s="115">
        <v>51.33</v>
      </c>
      <c r="AU133" s="115">
        <v>43.22</v>
      </c>
      <c r="AV133" s="287">
        <f t="shared" si="91"/>
        <v>47.842699999999994</v>
      </c>
      <c r="AW133" s="271">
        <v>400</v>
      </c>
      <c r="AX133" s="271">
        <v>344</v>
      </c>
      <c r="AY133" s="271">
        <f t="shared" si="88"/>
        <v>0.5376344086021505</v>
      </c>
      <c r="AZ133" s="271">
        <f t="shared" si="89"/>
        <v>0.46236559139784944</v>
      </c>
      <c r="BD133">
        <f t="shared" si="92"/>
        <v>2015</v>
      </c>
      <c r="BE133" s="306">
        <f t="shared" si="97"/>
        <v>42125</v>
      </c>
      <c r="BF133" s="114">
        <f t="shared" si="90"/>
        <v>6.8509624796084836</v>
      </c>
      <c r="BG133" s="115">
        <v>6.8509624796084836</v>
      </c>
      <c r="BI133">
        <f t="shared" si="83"/>
        <v>2014</v>
      </c>
      <c r="BJ133" s="306">
        <v>41729</v>
      </c>
      <c r="BK133">
        <f t="shared" si="84"/>
        <v>4.75</v>
      </c>
      <c r="BL133">
        <v>4.7699999999999996</v>
      </c>
      <c r="BM133">
        <v>4.7300000000000004</v>
      </c>
      <c r="BO133">
        <f t="shared" si="85"/>
        <v>2018</v>
      </c>
      <c r="BP133" s="286">
        <v>43132</v>
      </c>
      <c r="BQ133">
        <f t="shared" si="86"/>
        <v>12.04</v>
      </c>
      <c r="BR133">
        <v>12.79</v>
      </c>
      <c r="BS133">
        <v>11.29</v>
      </c>
      <c r="BT133">
        <f t="shared" si="93"/>
        <v>2024</v>
      </c>
      <c r="BU133" s="286">
        <v>45505</v>
      </c>
      <c r="BV133">
        <f t="shared" ref="BV133:BV196" si="99">AVERAGE(BW133:BX133)</f>
        <v>3.7669999999999999</v>
      </c>
      <c r="BW133" s="580">
        <v>3.8422999999999998</v>
      </c>
      <c r="BX133" s="580">
        <v>3.6917</v>
      </c>
      <c r="BY133">
        <f t="shared" si="94"/>
        <v>2027</v>
      </c>
      <c r="BZ133" s="286">
        <v>46600</v>
      </c>
      <c r="CA133">
        <f t="shared" si="82"/>
        <v>3.8686499999999997</v>
      </c>
      <c r="CB133" s="580">
        <v>4.0233999999999996</v>
      </c>
      <c r="CC133" s="580">
        <v>3.7139000000000002</v>
      </c>
      <c r="CD133" s="364">
        <f t="shared" si="95"/>
        <v>2028</v>
      </c>
      <c r="CE133" s="381">
        <v>46997</v>
      </c>
      <c r="CF133" s="364">
        <f t="shared" si="77"/>
        <v>3.1579000000000002</v>
      </c>
      <c r="CG133" s="411">
        <v>3.3134000000000001</v>
      </c>
      <c r="CH133" s="411">
        <v>3.0024000000000002</v>
      </c>
      <c r="CI133" s="364">
        <f t="shared" si="96"/>
        <v>2030</v>
      </c>
      <c r="CJ133" s="381">
        <v>47727</v>
      </c>
      <c r="CK133" s="364">
        <f t="shared" si="79"/>
        <v>5.0810999999999993</v>
      </c>
      <c r="CL133" s="411">
        <v>5.3102999999999998</v>
      </c>
      <c r="CM133" s="411">
        <v>4.8518999999999997</v>
      </c>
    </row>
    <row r="134" spans="44:91">
      <c r="AR134">
        <f t="shared" si="87"/>
        <v>2015</v>
      </c>
      <c r="AS134" s="307">
        <f t="shared" si="98"/>
        <v>42156</v>
      </c>
      <c r="AT134" s="115">
        <v>53.35</v>
      </c>
      <c r="AU134" s="115">
        <v>41.68</v>
      </c>
      <c r="AV134" s="287">
        <f t="shared" si="91"/>
        <v>48.331899999999997</v>
      </c>
      <c r="AW134" s="271">
        <v>416</v>
      </c>
      <c r="AX134" s="271">
        <v>304</v>
      </c>
      <c r="AY134" s="271">
        <f t="shared" si="88"/>
        <v>0.57777777777777772</v>
      </c>
      <c r="AZ134" s="271">
        <f t="shared" si="89"/>
        <v>0.42222222222222222</v>
      </c>
      <c r="BD134">
        <f t="shared" si="92"/>
        <v>2015</v>
      </c>
      <c r="BE134" s="306">
        <f t="shared" si="97"/>
        <v>42156</v>
      </c>
      <c r="BF134" s="114">
        <f t="shared" si="90"/>
        <v>6.9631158238172919</v>
      </c>
      <c r="BG134" s="115">
        <v>6.9631158238172919</v>
      </c>
      <c r="BI134">
        <f t="shared" si="83"/>
        <v>2014</v>
      </c>
      <c r="BJ134" s="306">
        <v>41759</v>
      </c>
      <c r="BK134">
        <f t="shared" si="84"/>
        <v>4.4399999999999995</v>
      </c>
      <c r="BL134">
        <v>4.5</v>
      </c>
      <c r="BM134">
        <v>4.38</v>
      </c>
      <c r="BO134">
        <f t="shared" si="85"/>
        <v>2018</v>
      </c>
      <c r="BP134" s="286">
        <v>43160</v>
      </c>
      <c r="BQ134">
        <f t="shared" si="86"/>
        <v>11.305</v>
      </c>
      <c r="BR134">
        <v>12.1</v>
      </c>
      <c r="BS134">
        <v>10.51</v>
      </c>
      <c r="BT134">
        <f t="shared" si="93"/>
        <v>2024</v>
      </c>
      <c r="BU134" s="286">
        <v>45536</v>
      </c>
      <c r="BV134">
        <f t="shared" si="99"/>
        <v>3.8486500000000001</v>
      </c>
      <c r="BW134" s="580">
        <v>3.8925999999999998</v>
      </c>
      <c r="BX134" s="580">
        <v>3.8047</v>
      </c>
      <c r="BY134">
        <f t="shared" si="94"/>
        <v>2027</v>
      </c>
      <c r="BZ134" s="286">
        <v>46631</v>
      </c>
      <c r="CA134">
        <f t="shared" si="82"/>
        <v>3.8080999999999996</v>
      </c>
      <c r="CB134" s="580">
        <v>4.0233999999999996</v>
      </c>
      <c r="CC134" s="580">
        <v>3.5928</v>
      </c>
      <c r="CD134" s="364">
        <f t="shared" si="95"/>
        <v>2028</v>
      </c>
      <c r="CE134" s="381">
        <v>47027</v>
      </c>
      <c r="CF134" s="364">
        <f t="shared" si="77"/>
        <v>3.4149000000000003</v>
      </c>
      <c r="CG134" s="411">
        <v>3.3405</v>
      </c>
      <c r="CH134" s="411">
        <v>3.4893000000000001</v>
      </c>
      <c r="CI134" s="364">
        <f t="shared" si="96"/>
        <v>2030</v>
      </c>
      <c r="CJ134" s="381">
        <v>47757</v>
      </c>
      <c r="CK134" s="364">
        <f t="shared" si="79"/>
        <v>5.2198500000000001</v>
      </c>
      <c r="CL134" s="411">
        <v>5.3529</v>
      </c>
      <c r="CM134" s="411">
        <v>5.0868000000000002</v>
      </c>
    </row>
    <row r="135" spans="44:91">
      <c r="AR135">
        <f t="shared" si="87"/>
        <v>2015</v>
      </c>
      <c r="AS135" s="307">
        <f t="shared" si="98"/>
        <v>42186</v>
      </c>
      <c r="AT135" s="115">
        <v>57.01</v>
      </c>
      <c r="AU135" s="115">
        <v>47.45</v>
      </c>
      <c r="AV135" s="287">
        <f t="shared" si="91"/>
        <v>52.8992</v>
      </c>
      <c r="AW135" s="271">
        <v>416</v>
      </c>
      <c r="AX135" s="271">
        <v>328</v>
      </c>
      <c r="AY135" s="271">
        <f t="shared" si="88"/>
        <v>0.55913978494623651</v>
      </c>
      <c r="AZ135" s="271">
        <f t="shared" si="89"/>
        <v>0.44086021505376344</v>
      </c>
      <c r="BD135">
        <f t="shared" si="92"/>
        <v>2015</v>
      </c>
      <c r="BE135" s="306">
        <f t="shared" si="97"/>
        <v>42186</v>
      </c>
      <c r="BF135" s="114">
        <f t="shared" si="90"/>
        <v>7.0650734094616654</v>
      </c>
      <c r="BG135" s="115">
        <v>7.0650734094616654</v>
      </c>
      <c r="BI135">
        <f t="shared" si="83"/>
        <v>2014</v>
      </c>
      <c r="BJ135" s="306">
        <v>41790</v>
      </c>
      <c r="BK135">
        <f t="shared" si="84"/>
        <v>4.4399999999999995</v>
      </c>
      <c r="BL135">
        <v>4.5</v>
      </c>
      <c r="BM135">
        <v>4.38</v>
      </c>
      <c r="BO135">
        <f t="shared" si="85"/>
        <v>2018</v>
      </c>
      <c r="BP135" s="286">
        <v>43191</v>
      </c>
      <c r="BQ135">
        <f t="shared" si="86"/>
        <v>10.574999999999999</v>
      </c>
      <c r="BR135">
        <v>11.41</v>
      </c>
      <c r="BS135">
        <v>9.74</v>
      </c>
      <c r="BT135">
        <f t="shared" si="93"/>
        <v>2024</v>
      </c>
      <c r="BU135" s="286">
        <v>45566</v>
      </c>
      <c r="BV135">
        <f t="shared" si="99"/>
        <v>4.0557999999999996</v>
      </c>
      <c r="BW135" s="580">
        <v>4.1185999999999998</v>
      </c>
      <c r="BX135" s="580">
        <v>3.9929999999999999</v>
      </c>
      <c r="BY135">
        <f t="shared" si="94"/>
        <v>2027</v>
      </c>
      <c r="BZ135" s="286">
        <v>46661</v>
      </c>
      <c r="CA135">
        <f t="shared" si="82"/>
        <v>3.8484500000000001</v>
      </c>
      <c r="CB135" s="580">
        <v>4.0368000000000004</v>
      </c>
      <c r="CC135" s="580">
        <v>3.6600999999999999</v>
      </c>
      <c r="CD135" s="364">
        <f t="shared" si="95"/>
        <v>2028</v>
      </c>
      <c r="CE135" s="381">
        <v>47058</v>
      </c>
      <c r="CF135" s="364">
        <f t="shared" si="77"/>
        <v>4.1519000000000004</v>
      </c>
      <c r="CG135" s="411">
        <v>4.0978000000000003</v>
      </c>
      <c r="CH135" s="411">
        <v>4.2060000000000004</v>
      </c>
      <c r="CI135" s="364">
        <f t="shared" si="96"/>
        <v>2030</v>
      </c>
      <c r="CJ135" s="381">
        <v>47788</v>
      </c>
      <c r="CK135" s="364">
        <f t="shared" si="79"/>
        <v>5.8177500000000002</v>
      </c>
      <c r="CL135" s="411">
        <v>5.8315000000000001</v>
      </c>
      <c r="CM135" s="411">
        <v>5.8040000000000003</v>
      </c>
    </row>
    <row r="136" spans="44:91">
      <c r="AR136">
        <f t="shared" si="87"/>
        <v>2015</v>
      </c>
      <c r="AS136" s="307">
        <f t="shared" si="98"/>
        <v>42217</v>
      </c>
      <c r="AT136" s="115">
        <v>61.56</v>
      </c>
      <c r="AU136" s="115">
        <v>51.08</v>
      </c>
      <c r="AV136" s="287">
        <f t="shared" si="91"/>
        <v>57.053599999999996</v>
      </c>
      <c r="AW136" s="271">
        <v>416</v>
      </c>
      <c r="AX136" s="271">
        <v>328</v>
      </c>
      <c r="AY136" s="271">
        <f t="shared" si="88"/>
        <v>0.55913978494623651</v>
      </c>
      <c r="AZ136" s="271">
        <f t="shared" si="89"/>
        <v>0.44086021505376344</v>
      </c>
      <c r="BD136">
        <f t="shared" si="92"/>
        <v>2015</v>
      </c>
      <c r="BE136" s="306">
        <f t="shared" si="97"/>
        <v>42217</v>
      </c>
      <c r="BF136" s="114">
        <f t="shared" si="90"/>
        <v>7.0650734094616654</v>
      </c>
      <c r="BG136" s="115">
        <v>7.0650734094616654</v>
      </c>
      <c r="BI136">
        <f t="shared" si="83"/>
        <v>2014</v>
      </c>
      <c r="BJ136" s="306">
        <v>41820</v>
      </c>
      <c r="BK136">
        <f t="shared" si="84"/>
        <v>4.51</v>
      </c>
      <c r="BL136">
        <v>4.57</v>
      </c>
      <c r="BM136">
        <v>4.45</v>
      </c>
      <c r="BO136">
        <f t="shared" si="85"/>
        <v>2018</v>
      </c>
      <c r="BP136" s="286">
        <v>43221</v>
      </c>
      <c r="BQ136">
        <f t="shared" si="86"/>
        <v>10.574999999999999</v>
      </c>
      <c r="BR136">
        <v>11.41</v>
      </c>
      <c r="BS136">
        <v>9.74</v>
      </c>
      <c r="BT136">
        <f t="shared" si="93"/>
        <v>2024</v>
      </c>
      <c r="BU136" s="286">
        <v>45597</v>
      </c>
      <c r="BV136">
        <f t="shared" si="99"/>
        <v>4.3697499999999998</v>
      </c>
      <c r="BW136" s="580">
        <v>4.4451000000000001</v>
      </c>
      <c r="BX136" s="580">
        <v>4.2944000000000004</v>
      </c>
      <c r="BY136">
        <f t="shared" si="94"/>
        <v>2027</v>
      </c>
      <c r="BZ136" s="286">
        <v>46692</v>
      </c>
      <c r="CA136">
        <f t="shared" si="82"/>
        <v>4.0772000000000004</v>
      </c>
      <c r="CB136" s="580">
        <v>4.2521000000000004</v>
      </c>
      <c r="CC136" s="580">
        <v>3.9022999999999999</v>
      </c>
      <c r="CD136" s="364">
        <f t="shared" si="95"/>
        <v>2028</v>
      </c>
      <c r="CE136" s="381">
        <v>47088</v>
      </c>
      <c r="CF136" s="364">
        <f t="shared" si="77"/>
        <v>4.4900500000000001</v>
      </c>
      <c r="CG136" s="411">
        <v>4.3413000000000004</v>
      </c>
      <c r="CH136" s="411">
        <v>4.6387999999999998</v>
      </c>
      <c r="CI136" s="364">
        <f t="shared" si="96"/>
        <v>2030</v>
      </c>
      <c r="CJ136" s="381">
        <v>47818</v>
      </c>
      <c r="CK136" s="364">
        <f t="shared" si="79"/>
        <v>6.0094000000000003</v>
      </c>
      <c r="CL136" s="411">
        <v>6.0330000000000004</v>
      </c>
      <c r="CM136" s="411">
        <v>5.9858000000000002</v>
      </c>
    </row>
    <row r="137" spans="44:91">
      <c r="AR137">
        <f t="shared" si="87"/>
        <v>2015</v>
      </c>
      <c r="AS137" s="307">
        <f t="shared" si="98"/>
        <v>42248</v>
      </c>
      <c r="AT137" s="115">
        <v>63.63</v>
      </c>
      <c r="AU137" s="115">
        <v>50.26</v>
      </c>
      <c r="AV137" s="287">
        <f t="shared" si="91"/>
        <v>57.880899999999997</v>
      </c>
      <c r="AW137" s="271">
        <v>400</v>
      </c>
      <c r="AX137" s="271">
        <v>320</v>
      </c>
      <c r="AY137" s="271">
        <f t="shared" si="88"/>
        <v>0.55555555555555558</v>
      </c>
      <c r="AZ137" s="271">
        <f t="shared" si="89"/>
        <v>0.44444444444444442</v>
      </c>
      <c r="BD137">
        <f t="shared" si="92"/>
        <v>2015</v>
      </c>
      <c r="BE137" s="306">
        <f t="shared" si="97"/>
        <v>42248</v>
      </c>
      <c r="BF137" s="114">
        <f t="shared" si="90"/>
        <v>7.0650734094616654</v>
      </c>
      <c r="BG137" s="115">
        <v>7.0650734094616654</v>
      </c>
      <c r="BI137">
        <f t="shared" si="83"/>
        <v>2014</v>
      </c>
      <c r="BJ137" s="306">
        <v>41851</v>
      </c>
      <c r="BK137">
        <f t="shared" si="84"/>
        <v>4.58</v>
      </c>
      <c r="BL137">
        <v>4.6399999999999997</v>
      </c>
      <c r="BM137">
        <v>4.5199999999999996</v>
      </c>
      <c r="BO137">
        <f t="shared" si="85"/>
        <v>2018</v>
      </c>
      <c r="BP137" s="286">
        <v>43252</v>
      </c>
      <c r="BQ137">
        <f t="shared" si="86"/>
        <v>10.734999999999999</v>
      </c>
      <c r="BR137">
        <v>11.58</v>
      </c>
      <c r="BS137">
        <v>9.89</v>
      </c>
      <c r="BT137">
        <f t="shared" si="93"/>
        <v>2024</v>
      </c>
      <c r="BU137" s="286">
        <v>45627</v>
      </c>
      <c r="BV137">
        <f t="shared" si="99"/>
        <v>4.3069000000000006</v>
      </c>
      <c r="BW137" s="580">
        <v>4.4199000000000002</v>
      </c>
      <c r="BX137" s="580">
        <v>4.1939000000000002</v>
      </c>
      <c r="BY137">
        <f t="shared" si="94"/>
        <v>2027</v>
      </c>
      <c r="BZ137" s="286">
        <v>46722</v>
      </c>
      <c r="CA137">
        <f t="shared" si="82"/>
        <v>4.35975</v>
      </c>
      <c r="CB137" s="580">
        <v>4.4673999999999996</v>
      </c>
      <c r="CC137" s="580">
        <v>4.2521000000000004</v>
      </c>
      <c r="CD137" s="364">
        <f t="shared" si="95"/>
        <v>2029</v>
      </c>
      <c r="CE137" s="381">
        <v>47119</v>
      </c>
      <c r="CF137" s="364">
        <f t="shared" ref="CF137:CF200" si="100">AVERAGE(CG137:CH137)</f>
        <v>4.5147499999999994</v>
      </c>
      <c r="CG137" s="411">
        <v>4.3624000000000001</v>
      </c>
      <c r="CH137" s="411">
        <v>4.6670999999999996</v>
      </c>
      <c r="CI137" s="364">
        <f t="shared" si="96"/>
        <v>2031</v>
      </c>
      <c r="CJ137" s="381">
        <v>47849</v>
      </c>
      <c r="CK137" s="364">
        <f t="shared" si="79"/>
        <v>6.2264999999999997</v>
      </c>
      <c r="CL137" s="411">
        <v>6.2572000000000001</v>
      </c>
      <c r="CM137" s="411">
        <v>6.1958000000000002</v>
      </c>
    </row>
    <row r="138" spans="44:91">
      <c r="AR138">
        <f t="shared" si="87"/>
        <v>2015</v>
      </c>
      <c r="AS138" s="307">
        <f t="shared" si="98"/>
        <v>42278</v>
      </c>
      <c r="AT138" s="115">
        <v>57.59</v>
      </c>
      <c r="AU138" s="115">
        <v>45.7</v>
      </c>
      <c r="AV138" s="287">
        <f t="shared" si="91"/>
        <v>52.4773</v>
      </c>
      <c r="AW138" s="271">
        <v>432</v>
      </c>
      <c r="AX138" s="271">
        <v>312</v>
      </c>
      <c r="AY138" s="271">
        <f t="shared" si="88"/>
        <v>0.58064516129032262</v>
      </c>
      <c r="AZ138" s="271">
        <f t="shared" si="89"/>
        <v>0.41935483870967744</v>
      </c>
      <c r="BD138">
        <f t="shared" si="92"/>
        <v>2015</v>
      </c>
      <c r="BE138" s="306">
        <f t="shared" si="97"/>
        <v>42278</v>
      </c>
      <c r="BF138" s="114">
        <f t="shared" si="90"/>
        <v>7.3165687873844494</v>
      </c>
      <c r="BG138" s="115">
        <v>7.3165687873844494</v>
      </c>
      <c r="BI138">
        <f t="shared" si="83"/>
        <v>2014</v>
      </c>
      <c r="BJ138" s="306">
        <v>41882</v>
      </c>
      <c r="BK138">
        <f t="shared" si="84"/>
        <v>4.58</v>
      </c>
      <c r="BL138">
        <v>4.6399999999999997</v>
      </c>
      <c r="BM138">
        <v>4.5199999999999996</v>
      </c>
      <c r="BO138">
        <f t="shared" si="85"/>
        <v>2018</v>
      </c>
      <c r="BP138" s="286">
        <v>43282</v>
      </c>
      <c r="BQ138">
        <f t="shared" si="86"/>
        <v>10.9</v>
      </c>
      <c r="BR138">
        <v>11.75</v>
      </c>
      <c r="BS138">
        <v>10.050000000000001</v>
      </c>
      <c r="BT138">
        <f t="shared" si="93"/>
        <v>2025</v>
      </c>
      <c r="BU138" s="286">
        <v>45658</v>
      </c>
      <c r="BV138">
        <f t="shared" si="99"/>
        <v>4.4722500000000007</v>
      </c>
      <c r="BW138" s="580">
        <v>4.53</v>
      </c>
      <c r="BX138" s="580">
        <v>4.4145000000000003</v>
      </c>
      <c r="BY138">
        <f t="shared" si="94"/>
        <v>2028</v>
      </c>
      <c r="BZ138" s="286">
        <v>46753</v>
      </c>
      <c r="CA138">
        <f t="shared" si="82"/>
        <v>4.3800500000000007</v>
      </c>
      <c r="CB138" s="580">
        <v>4.4969000000000001</v>
      </c>
      <c r="CC138" s="580">
        <v>4.2632000000000003</v>
      </c>
      <c r="CD138" s="364">
        <f t="shared" si="95"/>
        <v>2029</v>
      </c>
      <c r="CE138" s="381">
        <v>47150</v>
      </c>
      <c r="CF138" s="364">
        <f t="shared" si="100"/>
        <v>4.12</v>
      </c>
      <c r="CG138" s="411">
        <v>4.0023</v>
      </c>
      <c r="CH138" s="411">
        <v>4.2377000000000002</v>
      </c>
      <c r="CI138" s="364">
        <f t="shared" si="96"/>
        <v>2031</v>
      </c>
      <c r="CJ138" s="381">
        <v>47880</v>
      </c>
      <c r="CK138" s="364">
        <f t="shared" si="79"/>
        <v>6.0980499999999997</v>
      </c>
      <c r="CL138" s="411">
        <v>6.1143999999999998</v>
      </c>
      <c r="CM138" s="411">
        <v>6.0816999999999997</v>
      </c>
    </row>
    <row r="139" spans="44:91">
      <c r="AR139">
        <f t="shared" si="87"/>
        <v>2015</v>
      </c>
      <c r="AS139" s="307">
        <f t="shared" si="98"/>
        <v>42309</v>
      </c>
      <c r="AT139" s="115">
        <v>63.29</v>
      </c>
      <c r="AU139" s="115">
        <v>54.41</v>
      </c>
      <c r="AV139" s="287">
        <f t="shared" si="91"/>
        <v>59.471599999999995</v>
      </c>
      <c r="AW139" s="271">
        <v>384</v>
      </c>
      <c r="AX139" s="271">
        <v>336</v>
      </c>
      <c r="AY139" s="271">
        <f t="shared" si="88"/>
        <v>0.53333333333333333</v>
      </c>
      <c r="AZ139" s="271">
        <f t="shared" si="89"/>
        <v>0.46666666666666667</v>
      </c>
      <c r="BD139">
        <f t="shared" si="92"/>
        <v>2015</v>
      </c>
      <c r="BE139" s="306">
        <f t="shared" si="97"/>
        <v>42309</v>
      </c>
      <c r="BF139" s="114">
        <f t="shared" si="90"/>
        <v>7.421924959216966</v>
      </c>
      <c r="BG139" s="115">
        <v>7.421924959216966</v>
      </c>
      <c r="BI139">
        <f t="shared" si="83"/>
        <v>2014</v>
      </c>
      <c r="BJ139" s="306">
        <v>41912</v>
      </c>
      <c r="BK139">
        <f t="shared" si="84"/>
        <v>4.58</v>
      </c>
      <c r="BL139">
        <v>4.6399999999999997</v>
      </c>
      <c r="BM139">
        <v>4.5199999999999996</v>
      </c>
      <c r="BO139">
        <f t="shared" si="85"/>
        <v>2018</v>
      </c>
      <c r="BP139" s="286">
        <v>43313</v>
      </c>
      <c r="BQ139">
        <f t="shared" si="86"/>
        <v>10.9</v>
      </c>
      <c r="BR139">
        <v>11.75</v>
      </c>
      <c r="BS139">
        <v>10.050000000000001</v>
      </c>
      <c r="BT139">
        <f t="shared" si="93"/>
        <v>2025</v>
      </c>
      <c r="BU139" s="286">
        <v>45689</v>
      </c>
      <c r="BV139">
        <f t="shared" si="99"/>
        <v>4.5107999999999997</v>
      </c>
      <c r="BW139" s="580">
        <v>4.5556999999999999</v>
      </c>
      <c r="BX139" s="580">
        <v>4.4659000000000004</v>
      </c>
      <c r="BY139">
        <f t="shared" si="94"/>
        <v>2028</v>
      </c>
      <c r="BZ139" s="286">
        <v>46784</v>
      </c>
      <c r="CA139">
        <f t="shared" si="82"/>
        <v>4.3250500000000001</v>
      </c>
      <c r="CB139" s="580">
        <v>4.4832000000000001</v>
      </c>
      <c r="CC139" s="580">
        <v>4.1669</v>
      </c>
      <c r="CD139" s="364">
        <f t="shared" si="95"/>
        <v>2029</v>
      </c>
      <c r="CE139" s="381">
        <v>47178</v>
      </c>
      <c r="CF139" s="364">
        <f t="shared" si="100"/>
        <v>3.8637999999999999</v>
      </c>
      <c r="CG139" s="411">
        <v>3.8083999999999998</v>
      </c>
      <c r="CH139" s="411">
        <v>3.9192</v>
      </c>
      <c r="CI139" s="364">
        <f t="shared" si="96"/>
        <v>2031</v>
      </c>
      <c r="CJ139" s="381">
        <v>47908</v>
      </c>
      <c r="CK139" s="364">
        <f t="shared" si="79"/>
        <v>4.8731</v>
      </c>
      <c r="CL139" s="411">
        <v>4.9249000000000001</v>
      </c>
      <c r="CM139" s="411">
        <v>4.8212999999999999</v>
      </c>
    </row>
    <row r="140" spans="44:91">
      <c r="AR140">
        <f t="shared" si="87"/>
        <v>2015</v>
      </c>
      <c r="AS140" s="307">
        <f t="shared" si="98"/>
        <v>42339</v>
      </c>
      <c r="AT140" s="115">
        <v>68.81</v>
      </c>
      <c r="AU140" s="115">
        <v>57.92</v>
      </c>
      <c r="AV140" s="287">
        <f t="shared" si="91"/>
        <v>64.127299999999991</v>
      </c>
      <c r="AW140" s="271">
        <v>416</v>
      </c>
      <c r="AX140" s="271">
        <v>328</v>
      </c>
      <c r="AY140" s="271">
        <f t="shared" si="88"/>
        <v>0.55913978494623651</v>
      </c>
      <c r="AZ140" s="271">
        <f t="shared" si="89"/>
        <v>0.44086021505376344</v>
      </c>
      <c r="BD140">
        <f t="shared" si="92"/>
        <v>2015</v>
      </c>
      <c r="BE140" s="306">
        <f t="shared" si="97"/>
        <v>42339</v>
      </c>
      <c r="BF140" s="114">
        <f t="shared" si="90"/>
        <v>7.7753779227841218</v>
      </c>
      <c r="BG140" s="115">
        <v>7.7753779227841218</v>
      </c>
      <c r="BI140">
        <f t="shared" si="83"/>
        <v>2014</v>
      </c>
      <c r="BJ140" s="306">
        <v>41943</v>
      </c>
      <c r="BK140">
        <f t="shared" si="84"/>
        <v>4.75</v>
      </c>
      <c r="BL140">
        <v>4.7699999999999996</v>
      </c>
      <c r="BM140">
        <v>4.7300000000000004</v>
      </c>
      <c r="BO140">
        <f t="shared" si="85"/>
        <v>2018</v>
      </c>
      <c r="BP140" s="286">
        <v>43344</v>
      </c>
      <c r="BQ140">
        <f t="shared" si="86"/>
        <v>10.9</v>
      </c>
      <c r="BR140">
        <v>11.75</v>
      </c>
      <c r="BS140">
        <v>10.050000000000001</v>
      </c>
      <c r="BT140">
        <f t="shared" si="93"/>
        <v>2025</v>
      </c>
      <c r="BU140" s="286">
        <v>45717</v>
      </c>
      <c r="BV140">
        <f t="shared" si="99"/>
        <v>4.3375000000000004</v>
      </c>
      <c r="BW140" s="580">
        <v>4.3760000000000003</v>
      </c>
      <c r="BX140" s="580">
        <v>4.2990000000000004</v>
      </c>
      <c r="BY140">
        <f t="shared" si="94"/>
        <v>2028</v>
      </c>
      <c r="BZ140" s="286">
        <v>46813</v>
      </c>
      <c r="CA140">
        <f t="shared" si="82"/>
        <v>3.9812000000000003</v>
      </c>
      <c r="CB140" s="580">
        <v>4.1531000000000002</v>
      </c>
      <c r="CC140" s="580">
        <v>3.8092999999999999</v>
      </c>
      <c r="CD140" s="364">
        <f t="shared" si="95"/>
        <v>2029</v>
      </c>
      <c r="CE140" s="381">
        <v>47209</v>
      </c>
      <c r="CF140" s="364">
        <f t="shared" si="100"/>
        <v>3.46915</v>
      </c>
      <c r="CG140" s="411">
        <v>3.3929999999999998</v>
      </c>
      <c r="CH140" s="411">
        <v>3.5453000000000001</v>
      </c>
      <c r="CI140" s="364">
        <f t="shared" si="96"/>
        <v>2031</v>
      </c>
      <c r="CJ140" s="381">
        <v>47939</v>
      </c>
      <c r="CK140" s="364">
        <f t="shared" si="79"/>
        <v>4.468</v>
      </c>
      <c r="CL140" s="411">
        <v>4.5174000000000003</v>
      </c>
      <c r="CM140" s="411">
        <v>4.4185999999999996</v>
      </c>
    </row>
    <row r="141" spans="44:91">
      <c r="AR141">
        <f t="shared" si="87"/>
        <v>2016</v>
      </c>
      <c r="AS141" s="307">
        <f t="shared" si="98"/>
        <v>42370</v>
      </c>
      <c r="AT141" s="115">
        <v>70.930000000000007</v>
      </c>
      <c r="AU141" s="115">
        <v>56.19</v>
      </c>
      <c r="AV141" s="287">
        <f t="shared" si="91"/>
        <v>64.591800000000006</v>
      </c>
      <c r="AW141" s="271">
        <v>400</v>
      </c>
      <c r="AX141" s="271">
        <v>344</v>
      </c>
      <c r="AY141" s="271">
        <f t="shared" si="88"/>
        <v>0.5376344086021505</v>
      </c>
      <c r="AZ141" s="271">
        <f t="shared" si="89"/>
        <v>0.46236559139784944</v>
      </c>
      <c r="BD141">
        <f t="shared" si="92"/>
        <v>2016</v>
      </c>
      <c r="BE141" s="306">
        <f t="shared" si="97"/>
        <v>42370</v>
      </c>
      <c r="BF141" s="114">
        <f t="shared" si="90"/>
        <v>8.9546873300706888</v>
      </c>
      <c r="BG141" s="115">
        <v>8.9546873300706888</v>
      </c>
      <c r="BI141">
        <f t="shared" si="83"/>
        <v>2014</v>
      </c>
      <c r="BJ141" s="306">
        <v>41973</v>
      </c>
      <c r="BK141">
        <f t="shared" si="84"/>
        <v>4.82</v>
      </c>
      <c r="BL141">
        <v>4.84</v>
      </c>
      <c r="BM141">
        <v>4.8</v>
      </c>
      <c r="BO141">
        <f t="shared" si="85"/>
        <v>2018</v>
      </c>
      <c r="BP141" s="286">
        <v>43374</v>
      </c>
      <c r="BQ141">
        <f t="shared" si="86"/>
        <v>11.305</v>
      </c>
      <c r="BR141">
        <v>12.1</v>
      </c>
      <c r="BS141">
        <v>10.51</v>
      </c>
      <c r="BT141">
        <f t="shared" si="93"/>
        <v>2025</v>
      </c>
      <c r="BU141" s="286">
        <v>45748</v>
      </c>
      <c r="BV141">
        <f t="shared" si="99"/>
        <v>4.1578999999999997</v>
      </c>
      <c r="BW141" s="580">
        <v>4.2348999999999997</v>
      </c>
      <c r="BX141" s="580">
        <v>4.0808999999999997</v>
      </c>
      <c r="BY141">
        <f t="shared" si="94"/>
        <v>2028</v>
      </c>
      <c r="BZ141" s="286">
        <v>46844</v>
      </c>
      <c r="CA141">
        <f t="shared" si="82"/>
        <v>3.6030500000000001</v>
      </c>
      <c r="CB141" s="580">
        <v>3.7818000000000001</v>
      </c>
      <c r="CC141" s="580">
        <v>3.4243000000000001</v>
      </c>
      <c r="CD141" s="364">
        <f t="shared" si="95"/>
        <v>2029</v>
      </c>
      <c r="CE141" s="381">
        <v>47239</v>
      </c>
      <c r="CF141" s="364">
        <f t="shared" si="100"/>
        <v>3.3168000000000002</v>
      </c>
      <c r="CG141" s="411">
        <v>3.3791000000000002</v>
      </c>
      <c r="CH141" s="411">
        <v>3.2545000000000002</v>
      </c>
      <c r="CI141" s="364">
        <f t="shared" si="96"/>
        <v>2031</v>
      </c>
      <c r="CJ141" s="381">
        <v>47969</v>
      </c>
      <c r="CK141" s="364">
        <f t="shared" si="79"/>
        <v>4.4151500000000006</v>
      </c>
      <c r="CL141" s="411">
        <v>4.5285000000000002</v>
      </c>
      <c r="CM141" s="411">
        <v>4.3018000000000001</v>
      </c>
    </row>
    <row r="142" spans="44:91">
      <c r="AR142">
        <f t="shared" si="87"/>
        <v>2016</v>
      </c>
      <c r="AS142" s="307">
        <f t="shared" si="98"/>
        <v>42401</v>
      </c>
      <c r="AT142" s="115">
        <v>71.5</v>
      </c>
      <c r="AU142" s="115">
        <v>61.63</v>
      </c>
      <c r="AV142" s="287">
        <f t="shared" si="91"/>
        <v>67.255899999999997</v>
      </c>
      <c r="AW142" s="271">
        <v>400</v>
      </c>
      <c r="AX142" s="271">
        <v>296</v>
      </c>
      <c r="AY142" s="271">
        <f t="shared" si="88"/>
        <v>0.57471264367816088</v>
      </c>
      <c r="AZ142" s="271">
        <f t="shared" si="89"/>
        <v>0.42528735632183906</v>
      </c>
      <c r="BD142">
        <f t="shared" si="92"/>
        <v>2016</v>
      </c>
      <c r="BE142" s="306">
        <f t="shared" si="97"/>
        <v>42401</v>
      </c>
      <c r="BF142" s="114">
        <f t="shared" si="90"/>
        <v>8.4177107123436645</v>
      </c>
      <c r="BG142" s="115">
        <v>8.4177107123436645</v>
      </c>
      <c r="BI142">
        <f t="shared" si="83"/>
        <v>2014</v>
      </c>
      <c r="BJ142" s="306">
        <v>42004</v>
      </c>
      <c r="BK142">
        <f t="shared" si="84"/>
        <v>5.0600000000000005</v>
      </c>
      <c r="BL142">
        <v>5.04</v>
      </c>
      <c r="BM142">
        <v>5.08</v>
      </c>
      <c r="BO142">
        <f t="shared" si="85"/>
        <v>2018</v>
      </c>
      <c r="BP142" s="286">
        <v>43405</v>
      </c>
      <c r="BQ142">
        <f t="shared" si="86"/>
        <v>11.469999999999999</v>
      </c>
      <c r="BR142">
        <v>12.27</v>
      </c>
      <c r="BS142">
        <v>10.67</v>
      </c>
      <c r="BT142">
        <f t="shared" si="93"/>
        <v>2025</v>
      </c>
      <c r="BU142" s="286">
        <v>45778</v>
      </c>
      <c r="BV142">
        <f t="shared" si="99"/>
        <v>3.8755499999999996</v>
      </c>
      <c r="BW142" s="580">
        <v>4.0038999999999998</v>
      </c>
      <c r="BX142" s="580">
        <v>3.7471999999999999</v>
      </c>
      <c r="BY142">
        <f t="shared" si="94"/>
        <v>2028</v>
      </c>
      <c r="BZ142" s="286">
        <v>46874</v>
      </c>
      <c r="CA142">
        <f t="shared" si="82"/>
        <v>3.6168</v>
      </c>
      <c r="CB142" s="580">
        <v>3.7955999999999999</v>
      </c>
      <c r="CC142" s="580">
        <v>3.4380000000000002</v>
      </c>
      <c r="CD142" s="364">
        <f t="shared" si="95"/>
        <v>2029</v>
      </c>
      <c r="CE142" s="381">
        <v>47270</v>
      </c>
      <c r="CF142" s="364">
        <f t="shared" si="100"/>
        <v>3.3791000000000002</v>
      </c>
      <c r="CG142" s="411">
        <v>3.3791000000000002</v>
      </c>
      <c r="CH142" s="411">
        <v>3.3791000000000002</v>
      </c>
      <c r="CI142" s="364">
        <f t="shared" si="96"/>
        <v>2031</v>
      </c>
      <c r="CJ142" s="381">
        <v>48000</v>
      </c>
      <c r="CK142" s="364">
        <f t="shared" si="79"/>
        <v>4.4421499999999998</v>
      </c>
      <c r="CL142" s="411">
        <v>4.6429</v>
      </c>
      <c r="CM142" s="411">
        <v>4.2413999999999996</v>
      </c>
    </row>
    <row r="143" spans="44:91">
      <c r="AR143">
        <f t="shared" si="87"/>
        <v>2016</v>
      </c>
      <c r="AS143" s="307">
        <f t="shared" si="98"/>
        <v>42430</v>
      </c>
      <c r="AT143" s="115">
        <v>63.74</v>
      </c>
      <c r="AU143" s="115">
        <v>55.85</v>
      </c>
      <c r="AV143" s="287">
        <f t="shared" si="91"/>
        <v>60.347300000000004</v>
      </c>
      <c r="AW143" s="271">
        <v>432</v>
      </c>
      <c r="AX143" s="271">
        <v>312</v>
      </c>
      <c r="AY143" s="271">
        <f t="shared" si="88"/>
        <v>0.58064516129032262</v>
      </c>
      <c r="AZ143" s="271">
        <f t="shared" si="89"/>
        <v>0.41935483870967744</v>
      </c>
      <c r="BD143">
        <f t="shared" si="92"/>
        <v>2016</v>
      </c>
      <c r="BE143" s="306">
        <f t="shared" si="97"/>
        <v>42430</v>
      </c>
      <c r="BF143" s="114">
        <f t="shared" si="90"/>
        <v>7.9181185426862433</v>
      </c>
      <c r="BG143" s="115">
        <v>7.9181185426862433</v>
      </c>
      <c r="BI143">
        <f t="shared" si="83"/>
        <v>2015</v>
      </c>
      <c r="BJ143" s="306">
        <v>42035</v>
      </c>
      <c r="BK143">
        <f t="shared" si="84"/>
        <v>5.5549999999999997</v>
      </c>
      <c r="BL143">
        <v>5.5</v>
      </c>
      <c r="BM143">
        <v>5.61</v>
      </c>
      <c r="BO143">
        <f t="shared" si="85"/>
        <v>2018</v>
      </c>
      <c r="BP143" s="286">
        <v>43435</v>
      </c>
      <c r="BQ143">
        <f t="shared" si="86"/>
        <v>12.04</v>
      </c>
      <c r="BR143">
        <v>12.79</v>
      </c>
      <c r="BS143">
        <v>11.29</v>
      </c>
      <c r="BT143">
        <f t="shared" si="93"/>
        <v>2025</v>
      </c>
      <c r="BU143" s="286">
        <v>45809</v>
      </c>
      <c r="BV143">
        <f t="shared" si="99"/>
        <v>3.8434499999999998</v>
      </c>
      <c r="BW143" s="580">
        <v>3.9910000000000001</v>
      </c>
      <c r="BX143" s="580">
        <v>3.6959</v>
      </c>
      <c r="BY143">
        <f t="shared" si="94"/>
        <v>2028</v>
      </c>
      <c r="BZ143" s="286">
        <v>46905</v>
      </c>
      <c r="CA143">
        <f t="shared" si="82"/>
        <v>3.6580500000000002</v>
      </c>
      <c r="CB143" s="580">
        <v>3.8231000000000002</v>
      </c>
      <c r="CC143" s="580">
        <v>3.4929999999999999</v>
      </c>
      <c r="CD143" s="364">
        <f t="shared" si="95"/>
        <v>2029</v>
      </c>
      <c r="CE143" s="381">
        <v>47300</v>
      </c>
      <c r="CF143" s="364">
        <f t="shared" si="100"/>
        <v>3.4622000000000002</v>
      </c>
      <c r="CG143" s="411">
        <v>3.5175999999999998</v>
      </c>
      <c r="CH143" s="411">
        <v>3.4068000000000001</v>
      </c>
      <c r="CI143" s="364">
        <f t="shared" si="96"/>
        <v>2031</v>
      </c>
      <c r="CJ143" s="381">
        <v>48030</v>
      </c>
      <c r="CK143" s="364">
        <f t="shared" si="79"/>
        <v>4.6013000000000002</v>
      </c>
      <c r="CL143" s="411">
        <v>4.8634000000000004</v>
      </c>
      <c r="CM143" s="411">
        <v>4.3391999999999999</v>
      </c>
    </row>
    <row r="144" spans="44:91">
      <c r="AR144">
        <f t="shared" si="87"/>
        <v>2016</v>
      </c>
      <c r="AS144" s="307">
        <f t="shared" si="98"/>
        <v>42461</v>
      </c>
      <c r="AT144" s="115">
        <v>58.89</v>
      </c>
      <c r="AU144" s="115">
        <v>52.61</v>
      </c>
      <c r="AV144" s="287">
        <f t="shared" si="91"/>
        <v>56.189599999999999</v>
      </c>
      <c r="AW144" s="271">
        <v>416</v>
      </c>
      <c r="AX144" s="271">
        <v>304</v>
      </c>
      <c r="AY144" s="271">
        <f t="shared" si="88"/>
        <v>0.57777777777777772</v>
      </c>
      <c r="AZ144" s="271">
        <f t="shared" si="89"/>
        <v>0.42222222222222222</v>
      </c>
      <c r="BD144">
        <f t="shared" si="92"/>
        <v>2016</v>
      </c>
      <c r="BE144" s="306">
        <f t="shared" si="97"/>
        <v>42461</v>
      </c>
      <c r="BF144" s="114">
        <f t="shared" si="90"/>
        <v>7.4966938553561722</v>
      </c>
      <c r="BG144" s="115">
        <v>7.4966938553561722</v>
      </c>
      <c r="BI144">
        <f t="shared" si="83"/>
        <v>2015</v>
      </c>
      <c r="BJ144" s="306">
        <v>42063</v>
      </c>
      <c r="BK144">
        <f t="shared" si="84"/>
        <v>5.17</v>
      </c>
      <c r="BL144">
        <v>5.15</v>
      </c>
      <c r="BM144">
        <v>5.19</v>
      </c>
      <c r="BO144">
        <f t="shared" si="85"/>
        <v>2019</v>
      </c>
      <c r="BP144" s="286">
        <v>43466</v>
      </c>
      <c r="BQ144">
        <f t="shared" si="86"/>
        <v>13.445</v>
      </c>
      <c r="BR144">
        <v>14.16</v>
      </c>
      <c r="BS144">
        <v>12.73</v>
      </c>
      <c r="BT144">
        <f t="shared" si="93"/>
        <v>2025</v>
      </c>
      <c r="BU144" s="286">
        <v>45839</v>
      </c>
      <c r="BV144">
        <f t="shared" si="99"/>
        <v>3.8819499999999998</v>
      </c>
      <c r="BW144" s="580">
        <v>4.0038999999999998</v>
      </c>
      <c r="BX144" s="580">
        <v>3.76</v>
      </c>
      <c r="BY144">
        <f t="shared" si="94"/>
        <v>2028</v>
      </c>
      <c r="BZ144" s="286">
        <v>46935</v>
      </c>
      <c r="CA144">
        <f t="shared" si="82"/>
        <v>3.77495</v>
      </c>
      <c r="CB144" s="580">
        <v>3.9331</v>
      </c>
      <c r="CC144" s="580">
        <v>3.6168</v>
      </c>
      <c r="CD144" s="364">
        <f t="shared" si="95"/>
        <v>2029</v>
      </c>
      <c r="CE144" s="381">
        <v>47331</v>
      </c>
      <c r="CF144" s="364">
        <f t="shared" si="100"/>
        <v>3.53145</v>
      </c>
      <c r="CG144" s="411">
        <v>3.6284000000000001</v>
      </c>
      <c r="CH144" s="411">
        <v>3.4344999999999999</v>
      </c>
      <c r="CI144" s="364">
        <f t="shared" si="96"/>
        <v>2031</v>
      </c>
      <c r="CJ144" s="381">
        <v>48061</v>
      </c>
      <c r="CK144" s="364">
        <f t="shared" si="79"/>
        <v>5.1106499999999997</v>
      </c>
      <c r="CL144" s="411">
        <v>5.3380999999999998</v>
      </c>
      <c r="CM144" s="411">
        <v>4.8832000000000004</v>
      </c>
    </row>
    <row r="145" spans="44:91">
      <c r="AR145">
        <f t="shared" si="87"/>
        <v>2016</v>
      </c>
      <c r="AS145" s="307">
        <f t="shared" si="98"/>
        <v>42491</v>
      </c>
      <c r="AT145" s="115">
        <v>55.45</v>
      </c>
      <c r="AU145" s="115">
        <v>43.74</v>
      </c>
      <c r="AV145" s="287">
        <f t="shared" si="91"/>
        <v>50.414699999999996</v>
      </c>
      <c r="AW145" s="271">
        <v>400</v>
      </c>
      <c r="AX145" s="271">
        <v>344</v>
      </c>
      <c r="AY145" s="271">
        <f t="shared" si="88"/>
        <v>0.5376344086021505</v>
      </c>
      <c r="AZ145" s="271">
        <f t="shared" si="89"/>
        <v>0.46236559139784944</v>
      </c>
      <c r="BD145">
        <f t="shared" si="92"/>
        <v>2016</v>
      </c>
      <c r="BE145" s="306">
        <f t="shared" si="97"/>
        <v>42491</v>
      </c>
      <c r="BF145" s="114">
        <f t="shared" si="90"/>
        <v>7.4185263730288202</v>
      </c>
      <c r="BG145" s="115">
        <v>7.4185263730288202</v>
      </c>
      <c r="BI145">
        <f t="shared" si="83"/>
        <v>2015</v>
      </c>
      <c r="BJ145" s="306">
        <v>42094</v>
      </c>
      <c r="BK145">
        <f t="shared" si="84"/>
        <v>4.8499999999999996</v>
      </c>
      <c r="BL145">
        <v>4.87</v>
      </c>
      <c r="BM145">
        <v>4.83</v>
      </c>
      <c r="BO145">
        <f t="shared" si="85"/>
        <v>2019</v>
      </c>
      <c r="BP145" s="286">
        <v>43497</v>
      </c>
      <c r="BQ145">
        <f t="shared" si="86"/>
        <v>12.515000000000001</v>
      </c>
      <c r="BR145">
        <v>13.27</v>
      </c>
      <c r="BS145">
        <v>11.76</v>
      </c>
      <c r="BT145">
        <f t="shared" si="93"/>
        <v>2025</v>
      </c>
      <c r="BU145" s="286">
        <v>45870</v>
      </c>
      <c r="BV145">
        <f t="shared" si="99"/>
        <v>4.0038499999999999</v>
      </c>
      <c r="BW145" s="580">
        <v>4.0937000000000001</v>
      </c>
      <c r="BX145" s="580">
        <v>3.9140000000000001</v>
      </c>
      <c r="BY145">
        <f t="shared" si="94"/>
        <v>2028</v>
      </c>
      <c r="BZ145" s="286">
        <v>46966</v>
      </c>
      <c r="CA145">
        <f t="shared" si="82"/>
        <v>3.8162000000000003</v>
      </c>
      <c r="CB145" s="580">
        <v>3.9881000000000002</v>
      </c>
      <c r="CC145" s="580">
        <v>3.6442999999999999</v>
      </c>
      <c r="CD145" s="364">
        <f t="shared" si="95"/>
        <v>2029</v>
      </c>
      <c r="CE145" s="381">
        <v>47362</v>
      </c>
      <c r="CF145" s="364">
        <f t="shared" si="100"/>
        <v>3.53145</v>
      </c>
      <c r="CG145" s="411">
        <v>3.7252999999999998</v>
      </c>
      <c r="CH145" s="411">
        <v>3.3376000000000001</v>
      </c>
      <c r="CI145" s="364">
        <f t="shared" si="96"/>
        <v>2031</v>
      </c>
      <c r="CJ145" s="381">
        <v>48092</v>
      </c>
      <c r="CK145" s="364">
        <f t="shared" ref="CK145:CK208" si="101">AVERAGE(CL145:CM145)</f>
        <v>5.2788000000000004</v>
      </c>
      <c r="CL145" s="411">
        <v>5.4810999999999996</v>
      </c>
      <c r="CM145" s="411">
        <v>5.0765000000000002</v>
      </c>
    </row>
    <row r="146" spans="44:91">
      <c r="AR146">
        <f t="shared" si="87"/>
        <v>2016</v>
      </c>
      <c r="AS146" s="307">
        <f t="shared" si="98"/>
        <v>42522</v>
      </c>
      <c r="AT146" s="115">
        <v>60.8</v>
      </c>
      <c r="AU146" s="115">
        <v>43.73</v>
      </c>
      <c r="AV146" s="287">
        <f t="shared" si="91"/>
        <v>53.459899999999998</v>
      </c>
      <c r="AW146" s="271">
        <v>416</v>
      </c>
      <c r="AX146" s="271">
        <v>304</v>
      </c>
      <c r="AY146" s="271">
        <f t="shared" si="88"/>
        <v>0.57777777777777772</v>
      </c>
      <c r="AZ146" s="271">
        <f t="shared" si="89"/>
        <v>0.42222222222222222</v>
      </c>
      <c r="BD146">
        <f t="shared" si="92"/>
        <v>2016</v>
      </c>
      <c r="BE146" s="306">
        <f t="shared" si="97"/>
        <v>42522</v>
      </c>
      <c r="BF146" s="114">
        <f t="shared" si="90"/>
        <v>7.5306797172376294</v>
      </c>
      <c r="BG146" s="115">
        <v>7.5306797172376294</v>
      </c>
      <c r="BI146">
        <f t="shared" si="83"/>
        <v>2015</v>
      </c>
      <c r="BJ146" s="306">
        <v>42124</v>
      </c>
      <c r="BK146">
        <f t="shared" si="84"/>
        <v>4.5350000000000001</v>
      </c>
      <c r="BL146">
        <v>4.59</v>
      </c>
      <c r="BM146">
        <v>4.4800000000000004</v>
      </c>
      <c r="BO146">
        <f t="shared" si="85"/>
        <v>2019</v>
      </c>
      <c r="BP146" s="286">
        <v>43525</v>
      </c>
      <c r="BQ146">
        <f t="shared" si="86"/>
        <v>11.75</v>
      </c>
      <c r="BR146">
        <v>12.55</v>
      </c>
      <c r="BS146">
        <v>10.95</v>
      </c>
      <c r="BT146">
        <f t="shared" si="93"/>
        <v>2025</v>
      </c>
      <c r="BU146" s="286">
        <v>45901</v>
      </c>
      <c r="BV146">
        <f t="shared" si="99"/>
        <v>3.9332500000000001</v>
      </c>
      <c r="BW146" s="580">
        <v>3.9910000000000001</v>
      </c>
      <c r="BX146" s="580">
        <v>3.8755000000000002</v>
      </c>
      <c r="BY146">
        <f t="shared" si="94"/>
        <v>2028</v>
      </c>
      <c r="BZ146" s="286">
        <v>46997</v>
      </c>
      <c r="CA146">
        <f t="shared" ref="CA146:CA209" si="102">AVERAGE(CB146:CC146)</f>
        <v>3.7680500000000001</v>
      </c>
      <c r="CB146" s="580">
        <v>3.9881000000000002</v>
      </c>
      <c r="CC146" s="580">
        <v>3.548</v>
      </c>
      <c r="CD146" s="364">
        <f t="shared" si="95"/>
        <v>2029</v>
      </c>
      <c r="CE146" s="381">
        <v>47392</v>
      </c>
      <c r="CF146" s="364">
        <f t="shared" si="100"/>
        <v>3.81535</v>
      </c>
      <c r="CG146" s="411">
        <v>3.7530000000000001</v>
      </c>
      <c r="CH146" s="411">
        <v>3.8776999999999999</v>
      </c>
      <c r="CI146" s="364">
        <f t="shared" si="96"/>
        <v>2031</v>
      </c>
      <c r="CJ146" s="381">
        <v>48122</v>
      </c>
      <c r="CK146" s="364">
        <f t="shared" si="101"/>
        <v>5.44015</v>
      </c>
      <c r="CL146" s="411">
        <v>5.5513000000000003</v>
      </c>
      <c r="CM146" s="411">
        <v>5.3289999999999997</v>
      </c>
    </row>
    <row r="147" spans="44:91">
      <c r="AR147">
        <f t="shared" si="87"/>
        <v>2016</v>
      </c>
      <c r="AS147" s="307">
        <f t="shared" si="98"/>
        <v>42552</v>
      </c>
      <c r="AT147" s="115">
        <v>61.66</v>
      </c>
      <c r="AU147" s="115">
        <v>51.14</v>
      </c>
      <c r="AV147" s="287">
        <f t="shared" si="91"/>
        <v>57.136399999999995</v>
      </c>
      <c r="AW147" s="271">
        <v>400</v>
      </c>
      <c r="AX147" s="271">
        <v>344</v>
      </c>
      <c r="AY147" s="271">
        <f t="shared" si="88"/>
        <v>0.5376344086021505</v>
      </c>
      <c r="AZ147" s="271">
        <f t="shared" si="89"/>
        <v>0.46236559139784944</v>
      </c>
      <c r="BD147">
        <f t="shared" si="92"/>
        <v>2016</v>
      </c>
      <c r="BE147" s="306">
        <f t="shared" si="97"/>
        <v>42552</v>
      </c>
      <c r="BF147" s="114">
        <f t="shared" si="90"/>
        <v>7.6496302338227302</v>
      </c>
      <c r="BG147" s="115">
        <v>7.6496302338227302</v>
      </c>
      <c r="BI147">
        <f t="shared" ref="BI147:BI210" si="103">YEAR(BJ147)</f>
        <v>2015</v>
      </c>
      <c r="BJ147" s="306">
        <v>42155</v>
      </c>
      <c r="BK147">
        <f t="shared" ref="BK147:BK210" si="104">AVERAGE(BL147:BM147)</f>
        <v>4.5350000000000001</v>
      </c>
      <c r="BL147">
        <v>4.59</v>
      </c>
      <c r="BM147">
        <v>4.4800000000000004</v>
      </c>
      <c r="BO147">
        <f t="shared" ref="BO147:BO210" si="105">YEAR(BP147)</f>
        <v>2019</v>
      </c>
      <c r="BP147" s="286">
        <v>43556</v>
      </c>
      <c r="BQ147">
        <f t="shared" ref="BQ147:BQ210" si="106">AVERAGE(BR147:BS147)</f>
        <v>10.99</v>
      </c>
      <c r="BR147">
        <v>11.83</v>
      </c>
      <c r="BS147">
        <v>10.15</v>
      </c>
      <c r="BT147">
        <f t="shared" si="93"/>
        <v>2025</v>
      </c>
      <c r="BU147" s="286">
        <v>45931</v>
      </c>
      <c r="BV147">
        <f t="shared" si="99"/>
        <v>3.9653499999999999</v>
      </c>
      <c r="BW147" s="580">
        <v>4.0294999999999996</v>
      </c>
      <c r="BX147" s="580">
        <v>3.9011999999999998</v>
      </c>
      <c r="BY147">
        <f t="shared" si="94"/>
        <v>2028</v>
      </c>
      <c r="BZ147" s="286">
        <v>47027</v>
      </c>
      <c r="CA147">
        <f t="shared" si="102"/>
        <v>3.8231000000000002</v>
      </c>
      <c r="CB147" s="580">
        <v>4.0156000000000001</v>
      </c>
      <c r="CC147" s="580">
        <v>3.6305999999999998</v>
      </c>
      <c r="CD147" s="364">
        <f t="shared" si="95"/>
        <v>2029</v>
      </c>
      <c r="CE147" s="381">
        <v>47423</v>
      </c>
      <c r="CF147" s="364">
        <f t="shared" si="100"/>
        <v>4.4108499999999999</v>
      </c>
      <c r="CG147" s="411">
        <v>4.4316000000000004</v>
      </c>
      <c r="CH147" s="411">
        <v>4.3901000000000003</v>
      </c>
      <c r="CI147" s="364">
        <f t="shared" si="96"/>
        <v>2031</v>
      </c>
      <c r="CJ147" s="381">
        <v>48153</v>
      </c>
      <c r="CK147" s="364">
        <f t="shared" si="101"/>
        <v>6.0624500000000001</v>
      </c>
      <c r="CL147" s="411">
        <v>6.0643000000000002</v>
      </c>
      <c r="CM147" s="411">
        <v>6.0606</v>
      </c>
    </row>
    <row r="148" spans="44:91">
      <c r="AR148">
        <f t="shared" si="87"/>
        <v>2016</v>
      </c>
      <c r="AS148" s="307">
        <f t="shared" si="98"/>
        <v>42583</v>
      </c>
      <c r="AT148" s="115">
        <v>69.25</v>
      </c>
      <c r="AU148" s="115">
        <v>57.96</v>
      </c>
      <c r="AV148" s="287">
        <f t="shared" si="91"/>
        <v>64.395299999999992</v>
      </c>
      <c r="AW148" s="271">
        <v>432</v>
      </c>
      <c r="AX148" s="271">
        <v>312</v>
      </c>
      <c r="AY148" s="271">
        <f t="shared" si="88"/>
        <v>0.58064516129032262</v>
      </c>
      <c r="AZ148" s="271">
        <f t="shared" si="89"/>
        <v>0.41935483870967744</v>
      </c>
      <c r="BD148">
        <f t="shared" si="92"/>
        <v>2016</v>
      </c>
      <c r="BE148" s="306">
        <f t="shared" si="97"/>
        <v>42583</v>
      </c>
      <c r="BF148" s="114">
        <f t="shared" si="90"/>
        <v>7.6496302338227302</v>
      </c>
      <c r="BG148" s="115">
        <v>7.6496302338227302</v>
      </c>
      <c r="BI148">
        <f t="shared" si="103"/>
        <v>2015</v>
      </c>
      <c r="BJ148" s="306">
        <v>42185</v>
      </c>
      <c r="BK148">
        <f t="shared" si="104"/>
        <v>4.6050000000000004</v>
      </c>
      <c r="BL148">
        <v>4.66</v>
      </c>
      <c r="BM148">
        <v>4.55</v>
      </c>
      <c r="BO148">
        <f t="shared" si="105"/>
        <v>2019</v>
      </c>
      <c r="BP148" s="286">
        <v>43586</v>
      </c>
      <c r="BQ148">
        <f t="shared" si="106"/>
        <v>10.99</v>
      </c>
      <c r="BR148">
        <v>11.83</v>
      </c>
      <c r="BS148">
        <v>10.15</v>
      </c>
      <c r="BT148">
        <f t="shared" si="93"/>
        <v>2025</v>
      </c>
      <c r="BU148" s="286">
        <v>45962</v>
      </c>
      <c r="BV148">
        <f t="shared" si="99"/>
        <v>4.0488</v>
      </c>
      <c r="BW148" s="580">
        <v>4.1578999999999997</v>
      </c>
      <c r="BX148" s="580">
        <v>3.9397000000000002</v>
      </c>
      <c r="BY148">
        <f t="shared" si="94"/>
        <v>2028</v>
      </c>
      <c r="BZ148" s="286">
        <v>47058</v>
      </c>
      <c r="CA148">
        <f t="shared" si="102"/>
        <v>4.00875</v>
      </c>
      <c r="CB148" s="580">
        <v>4.1669</v>
      </c>
      <c r="CC148" s="580">
        <v>3.8506</v>
      </c>
      <c r="CD148" s="364">
        <f t="shared" si="95"/>
        <v>2029</v>
      </c>
      <c r="CE148" s="381">
        <v>47453</v>
      </c>
      <c r="CF148" s="364">
        <f t="shared" si="100"/>
        <v>4.6324500000000004</v>
      </c>
      <c r="CG148" s="411">
        <v>4.5286</v>
      </c>
      <c r="CH148" s="411">
        <v>4.7363</v>
      </c>
      <c r="CI148" s="364">
        <f t="shared" si="96"/>
        <v>2031</v>
      </c>
      <c r="CJ148" s="381">
        <v>48183</v>
      </c>
      <c r="CK148" s="364">
        <f t="shared" si="101"/>
        <v>6.2686500000000001</v>
      </c>
      <c r="CL148" s="411">
        <v>6.2866</v>
      </c>
      <c r="CM148" s="411">
        <v>6.2507000000000001</v>
      </c>
    </row>
    <row r="149" spans="44:91">
      <c r="AR149">
        <f t="shared" si="87"/>
        <v>2016</v>
      </c>
      <c r="AS149" s="307">
        <f t="shared" si="98"/>
        <v>42614</v>
      </c>
      <c r="AT149" s="115">
        <v>68.94</v>
      </c>
      <c r="AU149" s="115">
        <v>55.06</v>
      </c>
      <c r="AV149" s="287">
        <f t="shared" si="91"/>
        <v>62.971599999999995</v>
      </c>
      <c r="AW149" s="271">
        <v>400</v>
      </c>
      <c r="AX149" s="271">
        <v>320</v>
      </c>
      <c r="AY149" s="271">
        <f t="shared" si="88"/>
        <v>0.55555555555555558</v>
      </c>
      <c r="AZ149" s="271">
        <f t="shared" si="89"/>
        <v>0.44444444444444442</v>
      </c>
      <c r="BD149">
        <f t="shared" si="92"/>
        <v>2016</v>
      </c>
      <c r="BE149" s="306">
        <f t="shared" si="97"/>
        <v>42614</v>
      </c>
      <c r="BF149" s="114">
        <f t="shared" si="90"/>
        <v>7.6496302338227302</v>
      </c>
      <c r="BG149" s="115">
        <v>7.6496302338227302</v>
      </c>
      <c r="BI149">
        <f t="shared" si="103"/>
        <v>2015</v>
      </c>
      <c r="BJ149" s="306">
        <v>42216</v>
      </c>
      <c r="BK149">
        <f t="shared" si="104"/>
        <v>4.6750000000000007</v>
      </c>
      <c r="BL149">
        <v>4.7300000000000004</v>
      </c>
      <c r="BM149">
        <v>4.62</v>
      </c>
      <c r="BO149">
        <f t="shared" si="105"/>
        <v>2019</v>
      </c>
      <c r="BP149" s="286">
        <v>43617</v>
      </c>
      <c r="BQ149">
        <f t="shared" si="106"/>
        <v>11.16</v>
      </c>
      <c r="BR149">
        <v>12.01</v>
      </c>
      <c r="BS149">
        <v>10.31</v>
      </c>
      <c r="BT149">
        <f t="shared" si="93"/>
        <v>2025</v>
      </c>
      <c r="BU149" s="286">
        <v>45992</v>
      </c>
      <c r="BV149">
        <f t="shared" si="99"/>
        <v>4.2733999999999996</v>
      </c>
      <c r="BW149" s="580">
        <v>4.3888999999999996</v>
      </c>
      <c r="BX149" s="580">
        <v>4.1578999999999997</v>
      </c>
      <c r="BY149">
        <f t="shared" si="94"/>
        <v>2028</v>
      </c>
      <c r="BZ149" s="286">
        <v>47088</v>
      </c>
      <c r="CA149">
        <f t="shared" si="102"/>
        <v>4.4350500000000004</v>
      </c>
      <c r="CB149" s="580">
        <v>4.5518999999999998</v>
      </c>
      <c r="CC149" s="580">
        <v>4.3182</v>
      </c>
      <c r="CD149" s="364">
        <f t="shared" si="95"/>
        <v>2030</v>
      </c>
      <c r="CE149" s="381">
        <v>47484</v>
      </c>
      <c r="CF149" s="364">
        <f t="shared" si="100"/>
        <v>4.5972999999999997</v>
      </c>
      <c r="CG149" s="411">
        <v>4.3209999999999997</v>
      </c>
      <c r="CH149" s="411">
        <v>4.8735999999999997</v>
      </c>
      <c r="CI149" s="364">
        <f t="shared" si="96"/>
        <v>2032</v>
      </c>
      <c r="CJ149" s="381">
        <v>48214</v>
      </c>
      <c r="CK149" s="364">
        <f t="shared" si="101"/>
        <v>6.5737000000000005</v>
      </c>
      <c r="CL149" s="411">
        <v>6.5952999999999999</v>
      </c>
      <c r="CM149" s="411">
        <v>6.5521000000000003</v>
      </c>
    </row>
    <row r="150" spans="44:91">
      <c r="AR150">
        <f t="shared" ref="AR150:AR213" si="107">+YEAR(AS150)</f>
        <v>2016</v>
      </c>
      <c r="AS150" s="307">
        <f t="shared" si="98"/>
        <v>42644</v>
      </c>
      <c r="AT150" s="115">
        <v>63.52</v>
      </c>
      <c r="AU150" s="115">
        <v>49.1</v>
      </c>
      <c r="AV150" s="287">
        <f t="shared" si="91"/>
        <v>57.319400000000002</v>
      </c>
      <c r="AW150" s="271">
        <v>416</v>
      </c>
      <c r="AX150" s="271">
        <v>328</v>
      </c>
      <c r="AY150" s="271">
        <f t="shared" ref="AY150:AY213" si="108">AW150/(AW150+AX150)</f>
        <v>0.55913978494623651</v>
      </c>
      <c r="AZ150" s="271">
        <f t="shared" ref="AZ150:AZ213" si="109">AX150/(AW150+AX150)</f>
        <v>0.44086021505376344</v>
      </c>
      <c r="BD150">
        <f t="shared" si="92"/>
        <v>2016</v>
      </c>
      <c r="BE150" s="306">
        <f t="shared" si="97"/>
        <v>42644</v>
      </c>
      <c r="BF150" s="114">
        <f t="shared" ref="BF150:BF213" si="110">BG150</f>
        <v>7.9181185426862433</v>
      </c>
      <c r="BG150" s="115">
        <v>7.9181185426862433</v>
      </c>
      <c r="BI150">
        <f t="shared" si="103"/>
        <v>2015</v>
      </c>
      <c r="BJ150" s="306">
        <v>42247</v>
      </c>
      <c r="BK150">
        <f t="shared" si="104"/>
        <v>4.6750000000000007</v>
      </c>
      <c r="BL150">
        <v>4.7300000000000004</v>
      </c>
      <c r="BM150">
        <v>4.62</v>
      </c>
      <c r="BO150">
        <f t="shared" si="105"/>
        <v>2019</v>
      </c>
      <c r="BP150" s="286">
        <v>43647</v>
      </c>
      <c r="BQ150">
        <f t="shared" si="106"/>
        <v>11.33</v>
      </c>
      <c r="BR150">
        <v>12.19</v>
      </c>
      <c r="BS150">
        <v>10.47</v>
      </c>
      <c r="BT150">
        <f t="shared" si="93"/>
        <v>2026</v>
      </c>
      <c r="BU150" s="286">
        <v>46023</v>
      </c>
      <c r="BV150">
        <f t="shared" si="99"/>
        <v>4.492</v>
      </c>
      <c r="BW150" s="580">
        <v>4.6035000000000004</v>
      </c>
      <c r="BX150" s="580">
        <v>4.3804999999999996</v>
      </c>
      <c r="BY150">
        <f t="shared" si="94"/>
        <v>2029</v>
      </c>
      <c r="BZ150" s="286">
        <v>47119</v>
      </c>
      <c r="CA150">
        <f t="shared" si="102"/>
        <v>4.4342500000000005</v>
      </c>
      <c r="CB150" s="580">
        <v>4.5818000000000003</v>
      </c>
      <c r="CC150" s="580">
        <v>4.2866999999999997</v>
      </c>
      <c r="CD150" s="364">
        <f t="shared" si="95"/>
        <v>2030</v>
      </c>
      <c r="CE150" s="381">
        <v>47515</v>
      </c>
      <c r="CF150" s="364">
        <f t="shared" si="100"/>
        <v>4.2785500000000001</v>
      </c>
      <c r="CG150" s="411">
        <v>4.1227</v>
      </c>
      <c r="CH150" s="411">
        <v>4.4344000000000001</v>
      </c>
      <c r="CI150" s="364">
        <f t="shared" si="96"/>
        <v>2032</v>
      </c>
      <c r="CJ150" s="381">
        <v>48245</v>
      </c>
      <c r="CK150" s="364">
        <f t="shared" si="101"/>
        <v>6.0664999999999996</v>
      </c>
      <c r="CL150" s="411">
        <v>6.0734000000000004</v>
      </c>
      <c r="CM150" s="411">
        <v>6.0595999999999997</v>
      </c>
    </row>
    <row r="151" spans="44:91">
      <c r="AR151">
        <f t="shared" si="107"/>
        <v>2016</v>
      </c>
      <c r="AS151" s="307">
        <f t="shared" si="98"/>
        <v>42675</v>
      </c>
      <c r="AT151" s="115">
        <v>70.37</v>
      </c>
      <c r="AU151" s="115">
        <v>59.53</v>
      </c>
      <c r="AV151" s="287">
        <f t="shared" si="91"/>
        <v>65.708799999999997</v>
      </c>
      <c r="AW151" s="271">
        <v>400</v>
      </c>
      <c r="AX151" s="271">
        <v>320</v>
      </c>
      <c r="AY151" s="271">
        <f t="shared" si="108"/>
        <v>0.55555555555555558</v>
      </c>
      <c r="AZ151" s="271">
        <f t="shared" si="109"/>
        <v>0.44444444444444442</v>
      </c>
      <c r="BD151">
        <f t="shared" si="92"/>
        <v>2016</v>
      </c>
      <c r="BE151" s="306">
        <f t="shared" si="97"/>
        <v>42675</v>
      </c>
      <c r="BF151" s="114">
        <f t="shared" si="110"/>
        <v>8.0336704730831965</v>
      </c>
      <c r="BG151" s="115">
        <v>8.0336704730831965</v>
      </c>
      <c r="BI151">
        <f t="shared" si="103"/>
        <v>2015</v>
      </c>
      <c r="BJ151" s="306">
        <v>42277</v>
      </c>
      <c r="BK151">
        <f t="shared" si="104"/>
        <v>4.6750000000000007</v>
      </c>
      <c r="BL151">
        <v>4.7300000000000004</v>
      </c>
      <c r="BM151">
        <v>4.62</v>
      </c>
      <c r="BO151">
        <f t="shared" si="105"/>
        <v>2019</v>
      </c>
      <c r="BP151" s="286">
        <v>43678</v>
      </c>
      <c r="BQ151">
        <f t="shared" si="106"/>
        <v>11.33</v>
      </c>
      <c r="BR151">
        <v>12.19</v>
      </c>
      <c r="BS151">
        <v>10.47</v>
      </c>
      <c r="BT151">
        <f t="shared" si="93"/>
        <v>2026</v>
      </c>
      <c r="BU151" s="286">
        <v>46054</v>
      </c>
      <c r="BV151">
        <f t="shared" si="99"/>
        <v>4.5444499999999994</v>
      </c>
      <c r="BW151" s="580">
        <v>4.6558999999999999</v>
      </c>
      <c r="BX151" s="580">
        <v>4.4329999999999998</v>
      </c>
      <c r="BY151">
        <f t="shared" si="94"/>
        <v>2029</v>
      </c>
      <c r="BZ151" s="286">
        <v>47150</v>
      </c>
      <c r="CA151">
        <f t="shared" si="102"/>
        <v>4.4694000000000003</v>
      </c>
      <c r="CB151" s="580">
        <v>4.5959000000000003</v>
      </c>
      <c r="CC151" s="580">
        <v>4.3429000000000002</v>
      </c>
      <c r="CD151" s="364">
        <f t="shared" si="95"/>
        <v>2030</v>
      </c>
      <c r="CE151" s="381">
        <v>47543</v>
      </c>
      <c r="CF151" s="364">
        <f t="shared" si="100"/>
        <v>4.0801999999999996</v>
      </c>
      <c r="CG151" s="411">
        <v>4.0377000000000001</v>
      </c>
      <c r="CH151" s="411">
        <v>4.1227</v>
      </c>
      <c r="CI151" s="364">
        <f t="shared" si="96"/>
        <v>2032</v>
      </c>
      <c r="CJ151" s="381">
        <v>48274</v>
      </c>
      <c r="CK151" s="364">
        <f t="shared" si="101"/>
        <v>5.1685999999999996</v>
      </c>
      <c r="CL151" s="411">
        <v>5.2103000000000002</v>
      </c>
      <c r="CM151" s="411">
        <v>5.1269</v>
      </c>
    </row>
    <row r="152" spans="44:91">
      <c r="AR152">
        <f t="shared" si="107"/>
        <v>2016</v>
      </c>
      <c r="AS152" s="307">
        <f t="shared" si="98"/>
        <v>42705</v>
      </c>
      <c r="AT152" s="115">
        <v>71.209999999999994</v>
      </c>
      <c r="AU152" s="115">
        <v>58.72</v>
      </c>
      <c r="AV152" s="287">
        <f t="shared" si="91"/>
        <v>65.839299999999994</v>
      </c>
      <c r="AW152" s="271">
        <v>416</v>
      </c>
      <c r="AX152" s="271">
        <v>328</v>
      </c>
      <c r="AY152" s="271">
        <f t="shared" si="108"/>
        <v>0.55913978494623651</v>
      </c>
      <c r="AZ152" s="271">
        <f t="shared" si="109"/>
        <v>0.44086021505376344</v>
      </c>
      <c r="BD152">
        <f t="shared" si="92"/>
        <v>2016</v>
      </c>
      <c r="BE152" s="306">
        <f t="shared" si="97"/>
        <v>42705</v>
      </c>
      <c r="BF152" s="114">
        <f t="shared" si="110"/>
        <v>8.4177107123436645</v>
      </c>
      <c r="BG152" s="115">
        <v>8.4177107123436645</v>
      </c>
      <c r="BI152">
        <f t="shared" si="103"/>
        <v>2015</v>
      </c>
      <c r="BJ152" s="306">
        <v>42308</v>
      </c>
      <c r="BK152">
        <f t="shared" si="104"/>
        <v>4.8499999999999996</v>
      </c>
      <c r="BL152">
        <v>4.87</v>
      </c>
      <c r="BM152">
        <v>4.83</v>
      </c>
      <c r="BO152">
        <f t="shared" si="105"/>
        <v>2019</v>
      </c>
      <c r="BP152" s="286">
        <v>43709</v>
      </c>
      <c r="BQ152">
        <f t="shared" si="106"/>
        <v>11.33</v>
      </c>
      <c r="BR152">
        <v>12.19</v>
      </c>
      <c r="BS152">
        <v>10.47</v>
      </c>
      <c r="BT152">
        <f t="shared" si="93"/>
        <v>2026</v>
      </c>
      <c r="BU152" s="286">
        <v>46082</v>
      </c>
      <c r="BV152">
        <f t="shared" si="99"/>
        <v>4.3870500000000003</v>
      </c>
      <c r="BW152" s="580">
        <v>4.4592000000000001</v>
      </c>
      <c r="BX152" s="580">
        <v>4.3148999999999997</v>
      </c>
      <c r="BY152">
        <f t="shared" si="94"/>
        <v>2029</v>
      </c>
      <c r="BZ152" s="286">
        <v>47178</v>
      </c>
      <c r="CA152">
        <f t="shared" si="102"/>
        <v>4.2445500000000003</v>
      </c>
      <c r="CB152" s="580">
        <v>4.3851000000000004</v>
      </c>
      <c r="CC152" s="580">
        <v>4.1040000000000001</v>
      </c>
      <c r="CD152" s="364">
        <f t="shared" si="95"/>
        <v>2030</v>
      </c>
      <c r="CE152" s="381">
        <v>47574</v>
      </c>
      <c r="CF152" s="364">
        <f t="shared" si="100"/>
        <v>3.67645</v>
      </c>
      <c r="CG152" s="411">
        <v>3.6551999999999998</v>
      </c>
      <c r="CH152" s="411">
        <v>3.6977000000000002</v>
      </c>
      <c r="CI152" s="364">
        <f t="shared" si="96"/>
        <v>2032</v>
      </c>
      <c r="CJ152" s="381">
        <v>48305</v>
      </c>
      <c r="CK152" s="364">
        <f t="shared" si="101"/>
        <v>4.8166000000000002</v>
      </c>
      <c r="CL152" s="411">
        <v>4.7948000000000004</v>
      </c>
      <c r="CM152" s="411">
        <v>4.8384</v>
      </c>
    </row>
    <row r="153" spans="44:91">
      <c r="AR153">
        <f t="shared" si="107"/>
        <v>2017</v>
      </c>
      <c r="AS153" s="307">
        <f t="shared" si="98"/>
        <v>42736</v>
      </c>
      <c r="AT153" s="115">
        <v>79.83</v>
      </c>
      <c r="AU153" s="115">
        <v>65.11</v>
      </c>
      <c r="AV153" s="287">
        <f t="shared" si="91"/>
        <v>73.500399999999999</v>
      </c>
      <c r="AW153" s="271">
        <v>400</v>
      </c>
      <c r="AX153" s="271">
        <v>344</v>
      </c>
      <c r="AY153" s="271">
        <f t="shared" si="108"/>
        <v>0.5376344086021505</v>
      </c>
      <c r="AZ153" s="271">
        <f t="shared" si="109"/>
        <v>0.46236559139784944</v>
      </c>
      <c r="BD153">
        <f t="shared" si="92"/>
        <v>2017</v>
      </c>
      <c r="BE153" s="306">
        <f t="shared" si="97"/>
        <v>42736</v>
      </c>
      <c r="BF153" s="114">
        <f t="shared" si="110"/>
        <v>9.6683904295812955</v>
      </c>
      <c r="BG153" s="115">
        <v>9.6683904295812955</v>
      </c>
      <c r="BI153">
        <f t="shared" si="103"/>
        <v>2015</v>
      </c>
      <c r="BJ153" s="306">
        <v>42338</v>
      </c>
      <c r="BK153">
        <f t="shared" si="104"/>
        <v>4.92</v>
      </c>
      <c r="BL153">
        <v>4.9400000000000004</v>
      </c>
      <c r="BM153">
        <v>4.9000000000000004</v>
      </c>
      <c r="BO153">
        <f t="shared" si="105"/>
        <v>2019</v>
      </c>
      <c r="BP153" s="286">
        <v>43739</v>
      </c>
      <c r="BQ153">
        <f t="shared" si="106"/>
        <v>11.75</v>
      </c>
      <c r="BR153">
        <v>12.55</v>
      </c>
      <c r="BS153">
        <v>10.95</v>
      </c>
      <c r="BT153">
        <f t="shared" si="93"/>
        <v>2026</v>
      </c>
      <c r="BU153" s="286">
        <v>46113</v>
      </c>
      <c r="BV153">
        <f t="shared" si="99"/>
        <v>4.1903500000000005</v>
      </c>
      <c r="BW153" s="580">
        <v>4.2625000000000002</v>
      </c>
      <c r="BX153" s="580">
        <v>4.1181999999999999</v>
      </c>
      <c r="BY153">
        <f t="shared" si="94"/>
        <v>2029</v>
      </c>
      <c r="BZ153" s="286">
        <v>47209</v>
      </c>
      <c r="CA153">
        <f t="shared" si="102"/>
        <v>3.9282500000000002</v>
      </c>
      <c r="CB153" s="580">
        <v>4.0899000000000001</v>
      </c>
      <c r="CC153" s="580">
        <v>3.7665999999999999</v>
      </c>
      <c r="CD153" s="364">
        <f t="shared" si="95"/>
        <v>2030</v>
      </c>
      <c r="CE153" s="381">
        <v>47604</v>
      </c>
      <c r="CF153" s="364">
        <f t="shared" si="100"/>
        <v>3.5630499999999996</v>
      </c>
      <c r="CG153" s="411">
        <v>3.6267999999999998</v>
      </c>
      <c r="CH153" s="411">
        <v>3.4992999999999999</v>
      </c>
      <c r="CI153" s="364">
        <f t="shared" si="96"/>
        <v>2032</v>
      </c>
      <c r="CJ153" s="381">
        <v>48335</v>
      </c>
      <c r="CK153" s="364">
        <f t="shared" si="101"/>
        <v>4.8211500000000003</v>
      </c>
      <c r="CL153" s="411">
        <v>4.8230000000000004</v>
      </c>
      <c r="CM153" s="411">
        <v>4.8193000000000001</v>
      </c>
    </row>
    <row r="154" spans="44:91">
      <c r="AR154">
        <f t="shared" si="107"/>
        <v>2017</v>
      </c>
      <c r="AS154" s="307">
        <f t="shared" si="98"/>
        <v>42767</v>
      </c>
      <c r="AT154" s="115">
        <v>73.38</v>
      </c>
      <c r="AU154" s="115">
        <v>62.64</v>
      </c>
      <c r="AV154" s="287">
        <f t="shared" si="91"/>
        <v>68.761799999999994</v>
      </c>
      <c r="AW154" s="271">
        <v>384</v>
      </c>
      <c r="AX154" s="271">
        <v>288</v>
      </c>
      <c r="AY154" s="271">
        <f t="shared" si="108"/>
        <v>0.5714285714285714</v>
      </c>
      <c r="AZ154" s="271">
        <f t="shared" si="109"/>
        <v>0.42857142857142855</v>
      </c>
      <c r="BD154">
        <f t="shared" si="92"/>
        <v>2017</v>
      </c>
      <c r="BE154" s="306">
        <f t="shared" si="97"/>
        <v>42767</v>
      </c>
      <c r="BF154" s="114">
        <f t="shared" si="110"/>
        <v>9.083833605220228</v>
      </c>
      <c r="BG154" s="115">
        <v>9.083833605220228</v>
      </c>
      <c r="BI154">
        <f t="shared" si="103"/>
        <v>2015</v>
      </c>
      <c r="BJ154" s="306">
        <v>42369</v>
      </c>
      <c r="BK154">
        <f t="shared" si="104"/>
        <v>5.17</v>
      </c>
      <c r="BL154">
        <v>5.15</v>
      </c>
      <c r="BM154">
        <v>5.19</v>
      </c>
      <c r="BO154">
        <f t="shared" si="105"/>
        <v>2019</v>
      </c>
      <c r="BP154" s="286">
        <v>43770</v>
      </c>
      <c r="BQ154">
        <f t="shared" si="106"/>
        <v>11.92</v>
      </c>
      <c r="BR154">
        <v>12.73</v>
      </c>
      <c r="BS154">
        <v>11.11</v>
      </c>
      <c r="BT154">
        <f t="shared" si="93"/>
        <v>2026</v>
      </c>
      <c r="BU154" s="286">
        <v>46143</v>
      </c>
      <c r="BV154">
        <f t="shared" si="99"/>
        <v>3.9476500000000003</v>
      </c>
      <c r="BW154" s="580">
        <v>4.0788000000000002</v>
      </c>
      <c r="BX154" s="580">
        <v>3.8165</v>
      </c>
      <c r="BY154">
        <f t="shared" si="94"/>
        <v>2029</v>
      </c>
      <c r="BZ154" s="286">
        <v>47239</v>
      </c>
      <c r="CA154">
        <f t="shared" si="102"/>
        <v>3.9352999999999998</v>
      </c>
      <c r="CB154" s="580">
        <v>4.1040000000000001</v>
      </c>
      <c r="CC154" s="580">
        <v>3.7665999999999999</v>
      </c>
      <c r="CD154" s="364">
        <f t="shared" si="95"/>
        <v>2030</v>
      </c>
      <c r="CE154" s="381">
        <v>47635</v>
      </c>
      <c r="CF154" s="364">
        <f t="shared" si="100"/>
        <v>3.5418500000000002</v>
      </c>
      <c r="CG154" s="411">
        <v>3.556</v>
      </c>
      <c r="CH154" s="411">
        <v>3.5276999999999998</v>
      </c>
      <c r="CI154" s="364">
        <f t="shared" si="96"/>
        <v>2032</v>
      </c>
      <c r="CJ154" s="381">
        <v>48366</v>
      </c>
      <c r="CK154" s="364">
        <f t="shared" si="101"/>
        <v>4.8225499999999997</v>
      </c>
      <c r="CL154" s="411">
        <v>4.8948999999999998</v>
      </c>
      <c r="CM154" s="411">
        <v>4.7502000000000004</v>
      </c>
    </row>
    <row r="155" spans="44:91">
      <c r="AR155">
        <f t="shared" si="107"/>
        <v>2017</v>
      </c>
      <c r="AS155" s="307">
        <f t="shared" si="98"/>
        <v>42795</v>
      </c>
      <c r="AT155" s="115">
        <v>69.77</v>
      </c>
      <c r="AU155" s="115">
        <v>62.99</v>
      </c>
      <c r="AV155" s="287">
        <f t="shared" si="91"/>
        <v>66.854599999999991</v>
      </c>
      <c r="AW155" s="271">
        <v>432</v>
      </c>
      <c r="AX155" s="271">
        <v>312</v>
      </c>
      <c r="AY155" s="271">
        <f t="shared" si="108"/>
        <v>0.58064516129032262</v>
      </c>
      <c r="AZ155" s="271">
        <f t="shared" si="109"/>
        <v>0.41935483870967744</v>
      </c>
      <c r="BD155">
        <f t="shared" si="92"/>
        <v>2017</v>
      </c>
      <c r="BE155" s="306">
        <f t="shared" si="97"/>
        <v>42795</v>
      </c>
      <c r="BF155" s="114">
        <f t="shared" si="110"/>
        <v>8.5434584013050561</v>
      </c>
      <c r="BG155" s="115">
        <v>8.5434584013050561</v>
      </c>
      <c r="BI155">
        <f t="shared" si="103"/>
        <v>2016</v>
      </c>
      <c r="BJ155" s="306">
        <v>42400</v>
      </c>
      <c r="BK155">
        <f t="shared" si="104"/>
        <v>5.73</v>
      </c>
      <c r="BL155">
        <v>5.67</v>
      </c>
      <c r="BM155">
        <v>5.79</v>
      </c>
      <c r="BO155">
        <f t="shared" si="105"/>
        <v>2019</v>
      </c>
      <c r="BP155" s="286">
        <v>43800</v>
      </c>
      <c r="BQ155">
        <f t="shared" si="106"/>
        <v>12.515000000000001</v>
      </c>
      <c r="BR155">
        <v>13.27</v>
      </c>
      <c r="BS155">
        <v>11.76</v>
      </c>
      <c r="BT155">
        <f t="shared" si="93"/>
        <v>2026</v>
      </c>
      <c r="BU155" s="286">
        <v>46174</v>
      </c>
      <c r="BV155">
        <f t="shared" si="99"/>
        <v>3.9214500000000001</v>
      </c>
      <c r="BW155" s="580">
        <v>4.0788000000000002</v>
      </c>
      <c r="BX155" s="580">
        <v>3.7641</v>
      </c>
      <c r="BY155">
        <f t="shared" si="94"/>
        <v>2029</v>
      </c>
      <c r="BZ155" s="286">
        <v>47270</v>
      </c>
      <c r="CA155">
        <f t="shared" si="102"/>
        <v>3.9775</v>
      </c>
      <c r="CB155" s="580">
        <v>4.1321000000000003</v>
      </c>
      <c r="CC155" s="580">
        <v>3.8229000000000002</v>
      </c>
      <c r="CD155" s="364">
        <f t="shared" si="95"/>
        <v>2030</v>
      </c>
      <c r="CE155" s="381">
        <v>47665</v>
      </c>
      <c r="CF155" s="364">
        <f t="shared" si="100"/>
        <v>3.5842999999999998</v>
      </c>
      <c r="CG155" s="411">
        <v>3.5842999999999998</v>
      </c>
      <c r="CH155" s="411">
        <v>3.5842999999999998</v>
      </c>
      <c r="CI155" s="364">
        <f t="shared" si="96"/>
        <v>2032</v>
      </c>
      <c r="CJ155" s="381">
        <v>48396</v>
      </c>
      <c r="CK155" s="364">
        <f t="shared" si="101"/>
        <v>5.1496000000000004</v>
      </c>
      <c r="CL155" s="411">
        <v>5.3127000000000004</v>
      </c>
      <c r="CM155" s="411">
        <v>4.9865000000000004</v>
      </c>
    </row>
    <row r="156" spans="44:91">
      <c r="AR156">
        <f t="shared" si="107"/>
        <v>2017</v>
      </c>
      <c r="AS156" s="307">
        <f t="shared" si="98"/>
        <v>42826</v>
      </c>
      <c r="AT156" s="115">
        <v>64.25</v>
      </c>
      <c r="AU156" s="115">
        <v>59.01</v>
      </c>
      <c r="AV156" s="287">
        <f t="shared" si="91"/>
        <v>61.996799999999993</v>
      </c>
      <c r="AW156" s="271">
        <v>400</v>
      </c>
      <c r="AX156" s="271">
        <v>320</v>
      </c>
      <c r="AY156" s="271">
        <f t="shared" si="108"/>
        <v>0.55555555555555558</v>
      </c>
      <c r="AZ156" s="271">
        <f t="shared" si="109"/>
        <v>0.44444444444444442</v>
      </c>
      <c r="BD156">
        <f t="shared" si="92"/>
        <v>2017</v>
      </c>
      <c r="BE156" s="306">
        <f t="shared" si="97"/>
        <v>42826</v>
      </c>
      <c r="BF156" s="114">
        <f t="shared" si="110"/>
        <v>8.0880478520935277</v>
      </c>
      <c r="BG156" s="115">
        <v>8.0880478520935277</v>
      </c>
      <c r="BI156">
        <f t="shared" si="103"/>
        <v>2016</v>
      </c>
      <c r="BJ156" s="306">
        <v>42429</v>
      </c>
      <c r="BK156">
        <f t="shared" si="104"/>
        <v>5.33</v>
      </c>
      <c r="BL156">
        <v>5.31</v>
      </c>
      <c r="BM156">
        <v>5.35</v>
      </c>
      <c r="BO156">
        <f t="shared" si="105"/>
        <v>2020</v>
      </c>
      <c r="BP156" s="286">
        <v>43831</v>
      </c>
      <c r="BQ156">
        <f t="shared" si="106"/>
        <v>13.14</v>
      </c>
      <c r="BR156">
        <v>12.97</v>
      </c>
      <c r="BS156">
        <v>13.31</v>
      </c>
      <c r="BT156">
        <f t="shared" si="93"/>
        <v>2026</v>
      </c>
      <c r="BU156" s="286">
        <v>46204</v>
      </c>
      <c r="BV156">
        <f t="shared" si="99"/>
        <v>3.9805000000000001</v>
      </c>
      <c r="BW156" s="580">
        <v>4.1051000000000002</v>
      </c>
      <c r="BX156" s="580">
        <v>3.8559000000000001</v>
      </c>
      <c r="BY156">
        <f t="shared" si="94"/>
        <v>2029</v>
      </c>
      <c r="BZ156" s="286">
        <v>47300</v>
      </c>
      <c r="CA156">
        <f t="shared" si="102"/>
        <v>4.1531500000000001</v>
      </c>
      <c r="CB156" s="580">
        <v>4.2725999999999997</v>
      </c>
      <c r="CC156" s="580">
        <v>4.0336999999999996</v>
      </c>
      <c r="CD156" s="364">
        <f t="shared" si="95"/>
        <v>2030</v>
      </c>
      <c r="CE156" s="381">
        <v>47696</v>
      </c>
      <c r="CF156" s="364">
        <f t="shared" si="100"/>
        <v>3.6977000000000002</v>
      </c>
      <c r="CG156" s="411">
        <v>3.7827000000000002</v>
      </c>
      <c r="CH156" s="411">
        <v>3.6126999999999998</v>
      </c>
      <c r="CI156" s="364">
        <f t="shared" si="96"/>
        <v>2032</v>
      </c>
      <c r="CJ156" s="381">
        <v>48427</v>
      </c>
      <c r="CK156" s="364">
        <f t="shared" si="101"/>
        <v>5.6047500000000001</v>
      </c>
      <c r="CL156" s="411">
        <v>5.7057000000000002</v>
      </c>
      <c r="CM156" s="411">
        <v>5.5038</v>
      </c>
    </row>
    <row r="157" spans="44:91">
      <c r="AR157">
        <f t="shared" si="107"/>
        <v>2017</v>
      </c>
      <c r="AS157" s="307">
        <f t="shared" si="98"/>
        <v>42856</v>
      </c>
      <c r="AT157" s="115">
        <v>66.900000000000006</v>
      </c>
      <c r="AU157" s="115">
        <v>52.32</v>
      </c>
      <c r="AV157" s="287">
        <f t="shared" si="91"/>
        <v>60.630600000000001</v>
      </c>
      <c r="AW157" s="271">
        <v>416</v>
      </c>
      <c r="AX157" s="271">
        <v>328</v>
      </c>
      <c r="AY157" s="271">
        <f t="shared" si="108"/>
        <v>0.55913978494623651</v>
      </c>
      <c r="AZ157" s="271">
        <f t="shared" si="109"/>
        <v>0.44086021505376344</v>
      </c>
      <c r="BD157">
        <f t="shared" si="92"/>
        <v>2017</v>
      </c>
      <c r="BE157" s="306">
        <f t="shared" si="97"/>
        <v>42856</v>
      </c>
      <c r="BF157" s="114">
        <f t="shared" si="110"/>
        <v>8.0064817835780318</v>
      </c>
      <c r="BG157" s="115">
        <v>8.0064817835780318</v>
      </c>
      <c r="BI157">
        <f t="shared" si="103"/>
        <v>2016</v>
      </c>
      <c r="BJ157" s="306">
        <v>42460</v>
      </c>
      <c r="BK157">
        <f t="shared" si="104"/>
        <v>5</v>
      </c>
      <c r="BL157">
        <v>5.0199999999999996</v>
      </c>
      <c r="BM157">
        <v>4.9800000000000004</v>
      </c>
      <c r="BO157">
        <f t="shared" si="105"/>
        <v>2020</v>
      </c>
      <c r="BP157" s="286">
        <v>43862</v>
      </c>
      <c r="BQ157">
        <f t="shared" si="106"/>
        <v>12.225000000000001</v>
      </c>
      <c r="BR157">
        <v>12.15</v>
      </c>
      <c r="BS157">
        <v>12.3</v>
      </c>
      <c r="BT157">
        <f t="shared" si="93"/>
        <v>2026</v>
      </c>
      <c r="BU157" s="286">
        <v>46235</v>
      </c>
      <c r="BV157">
        <f t="shared" si="99"/>
        <v>4.1181999999999999</v>
      </c>
      <c r="BW157" s="580">
        <v>4.21</v>
      </c>
      <c r="BX157" s="580">
        <v>4.0263999999999998</v>
      </c>
      <c r="BY157">
        <f t="shared" si="94"/>
        <v>2029</v>
      </c>
      <c r="BZ157" s="286">
        <v>47331</v>
      </c>
      <c r="CA157">
        <f t="shared" si="102"/>
        <v>4.2304500000000003</v>
      </c>
      <c r="CB157" s="580">
        <v>4.3851000000000004</v>
      </c>
      <c r="CC157" s="580">
        <v>4.0758000000000001</v>
      </c>
      <c r="CD157" s="364">
        <f t="shared" si="95"/>
        <v>2030</v>
      </c>
      <c r="CE157" s="381">
        <v>47727</v>
      </c>
      <c r="CF157" s="364">
        <f t="shared" si="100"/>
        <v>3.6551499999999999</v>
      </c>
      <c r="CG157" s="411">
        <v>3.8534999999999999</v>
      </c>
      <c r="CH157" s="411">
        <v>3.4567999999999999</v>
      </c>
      <c r="CI157" s="364">
        <f t="shared" si="96"/>
        <v>2032</v>
      </c>
      <c r="CJ157" s="381">
        <v>48458</v>
      </c>
      <c r="CK157" s="364">
        <f t="shared" si="101"/>
        <v>5.6779500000000001</v>
      </c>
      <c r="CL157" s="411">
        <v>5.7942999999999998</v>
      </c>
      <c r="CM157" s="411">
        <v>5.5616000000000003</v>
      </c>
    </row>
    <row r="158" spans="44:91">
      <c r="AR158">
        <f t="shared" si="107"/>
        <v>2017</v>
      </c>
      <c r="AS158" s="307">
        <f t="shared" si="98"/>
        <v>42887</v>
      </c>
      <c r="AT158" s="115">
        <v>71.150000000000006</v>
      </c>
      <c r="AU158" s="115">
        <v>52.95</v>
      </c>
      <c r="AV158" s="287">
        <f t="shared" ref="AV158:AV221" si="111">AT158*0.57+AU158*0.43</f>
        <v>63.323999999999998</v>
      </c>
      <c r="AW158" s="271">
        <v>416</v>
      </c>
      <c r="AX158" s="271">
        <v>304</v>
      </c>
      <c r="AY158" s="271">
        <f t="shared" si="108"/>
        <v>0.57777777777777772</v>
      </c>
      <c r="AZ158" s="271">
        <f t="shared" si="109"/>
        <v>0.42222222222222222</v>
      </c>
      <c r="BD158">
        <f t="shared" si="92"/>
        <v>2017</v>
      </c>
      <c r="BE158" s="306">
        <f t="shared" si="97"/>
        <v>42887</v>
      </c>
      <c r="BF158" s="114">
        <f t="shared" si="110"/>
        <v>8.1288308863512757</v>
      </c>
      <c r="BG158" s="115">
        <v>8.1288308863512757</v>
      </c>
      <c r="BI158">
        <f t="shared" si="103"/>
        <v>2016</v>
      </c>
      <c r="BJ158" s="306">
        <v>42490</v>
      </c>
      <c r="BK158">
        <f t="shared" si="104"/>
        <v>4.68</v>
      </c>
      <c r="BL158">
        <v>4.74</v>
      </c>
      <c r="BM158">
        <v>4.62</v>
      </c>
      <c r="BO158">
        <f t="shared" si="105"/>
        <v>2020</v>
      </c>
      <c r="BP158" s="286">
        <v>43891</v>
      </c>
      <c r="BQ158">
        <f t="shared" si="106"/>
        <v>11.475000000000001</v>
      </c>
      <c r="BR158">
        <v>11.49</v>
      </c>
      <c r="BS158">
        <v>11.46</v>
      </c>
      <c r="BT158">
        <f t="shared" si="93"/>
        <v>2026</v>
      </c>
      <c r="BU158" s="286">
        <v>46266</v>
      </c>
      <c r="BV158">
        <f t="shared" si="99"/>
        <v>4.0263999999999998</v>
      </c>
      <c r="BW158" s="580">
        <v>4.1181999999999999</v>
      </c>
      <c r="BX158" s="580">
        <v>3.9346000000000001</v>
      </c>
      <c r="BY158">
        <f t="shared" si="94"/>
        <v>2029</v>
      </c>
      <c r="BZ158" s="286">
        <v>47362</v>
      </c>
      <c r="CA158">
        <f t="shared" si="102"/>
        <v>4.1812500000000004</v>
      </c>
      <c r="CB158" s="580">
        <v>4.3990999999999998</v>
      </c>
      <c r="CC158" s="580">
        <v>3.9634</v>
      </c>
      <c r="CD158" s="364">
        <f t="shared" si="95"/>
        <v>2030</v>
      </c>
      <c r="CE158" s="381">
        <v>47757</v>
      </c>
      <c r="CF158" s="364">
        <f t="shared" si="100"/>
        <v>3.9881000000000002</v>
      </c>
      <c r="CG158" s="411">
        <v>3.9102000000000001</v>
      </c>
      <c r="CH158" s="411">
        <v>4.0659999999999998</v>
      </c>
      <c r="CI158" s="364">
        <f t="shared" si="96"/>
        <v>2032</v>
      </c>
      <c r="CJ158" s="381">
        <v>48488</v>
      </c>
      <c r="CK158" s="364">
        <f t="shared" si="101"/>
        <v>5.8199500000000004</v>
      </c>
      <c r="CL158" s="411">
        <v>5.8292000000000002</v>
      </c>
      <c r="CM158" s="411">
        <v>5.8106999999999998</v>
      </c>
    </row>
    <row r="159" spans="44:91">
      <c r="AR159">
        <f t="shared" si="107"/>
        <v>2017</v>
      </c>
      <c r="AS159" s="307">
        <f t="shared" si="98"/>
        <v>42917</v>
      </c>
      <c r="AT159" s="115">
        <v>67.239999999999995</v>
      </c>
      <c r="AU159" s="115">
        <v>59.21</v>
      </c>
      <c r="AV159" s="287">
        <f t="shared" si="111"/>
        <v>63.787099999999995</v>
      </c>
      <c r="AW159" s="271">
        <v>400</v>
      </c>
      <c r="AX159" s="271">
        <v>344</v>
      </c>
      <c r="AY159" s="271">
        <f t="shared" si="108"/>
        <v>0.5376344086021505</v>
      </c>
      <c r="AZ159" s="271">
        <f t="shared" si="109"/>
        <v>0.46236559139784944</v>
      </c>
      <c r="BD159">
        <f t="shared" si="92"/>
        <v>2017</v>
      </c>
      <c r="BE159" s="306">
        <f t="shared" si="97"/>
        <v>42917</v>
      </c>
      <c r="BF159" s="114">
        <f t="shared" si="110"/>
        <v>8.254578575312669</v>
      </c>
      <c r="BG159" s="115">
        <v>8.254578575312669</v>
      </c>
      <c r="BI159">
        <f t="shared" si="103"/>
        <v>2016</v>
      </c>
      <c r="BJ159" s="306">
        <v>42521</v>
      </c>
      <c r="BK159">
        <f t="shared" si="104"/>
        <v>4.68</v>
      </c>
      <c r="BL159">
        <v>4.74</v>
      </c>
      <c r="BM159">
        <v>4.62</v>
      </c>
      <c r="BO159">
        <f t="shared" si="105"/>
        <v>2020</v>
      </c>
      <c r="BP159" s="286">
        <v>43922</v>
      </c>
      <c r="BQ159">
        <f t="shared" si="106"/>
        <v>10.725</v>
      </c>
      <c r="BR159">
        <v>10.83</v>
      </c>
      <c r="BS159">
        <v>10.62</v>
      </c>
      <c r="BT159">
        <f t="shared" si="93"/>
        <v>2026</v>
      </c>
      <c r="BU159" s="286">
        <v>46296</v>
      </c>
      <c r="BV159">
        <f t="shared" si="99"/>
        <v>4.0591499999999998</v>
      </c>
      <c r="BW159" s="580">
        <v>4.1574999999999998</v>
      </c>
      <c r="BX159" s="580">
        <v>3.9607999999999999</v>
      </c>
      <c r="BY159">
        <f t="shared" si="94"/>
        <v>2029</v>
      </c>
      <c r="BZ159" s="286">
        <v>47392</v>
      </c>
      <c r="CA159">
        <f t="shared" si="102"/>
        <v>4.2445000000000004</v>
      </c>
      <c r="CB159" s="580">
        <v>4.4272</v>
      </c>
      <c r="CC159" s="580">
        <v>4.0617999999999999</v>
      </c>
      <c r="CD159" s="364">
        <f t="shared" si="95"/>
        <v>2030</v>
      </c>
      <c r="CE159" s="381">
        <v>47788</v>
      </c>
      <c r="CF159" s="364">
        <f t="shared" si="100"/>
        <v>4.3776999999999999</v>
      </c>
      <c r="CG159" s="411">
        <v>4.3068999999999997</v>
      </c>
      <c r="CH159" s="411">
        <v>4.4485000000000001</v>
      </c>
      <c r="CI159" s="364">
        <f t="shared" si="96"/>
        <v>2032</v>
      </c>
      <c r="CJ159" s="381">
        <v>48519</v>
      </c>
      <c r="CK159" s="364">
        <f t="shared" si="101"/>
        <v>6.3566000000000003</v>
      </c>
      <c r="CL159" s="411">
        <v>6.3521999999999998</v>
      </c>
      <c r="CM159" s="411">
        <v>6.3609999999999998</v>
      </c>
    </row>
    <row r="160" spans="44:91">
      <c r="AR160">
        <f t="shared" si="107"/>
        <v>2017</v>
      </c>
      <c r="AS160" s="307">
        <f t="shared" si="98"/>
        <v>42948</v>
      </c>
      <c r="AT160" s="115">
        <v>78.47</v>
      </c>
      <c r="AU160" s="115">
        <v>63.76</v>
      </c>
      <c r="AV160" s="287">
        <f t="shared" si="111"/>
        <v>72.1447</v>
      </c>
      <c r="AW160" s="271">
        <v>432</v>
      </c>
      <c r="AX160" s="271">
        <v>312</v>
      </c>
      <c r="AY160" s="271">
        <f t="shared" si="108"/>
        <v>0.58064516129032262</v>
      </c>
      <c r="AZ160" s="271">
        <f t="shared" si="109"/>
        <v>0.41935483870967744</v>
      </c>
      <c r="BD160">
        <f t="shared" si="92"/>
        <v>2017</v>
      </c>
      <c r="BE160" s="306">
        <f t="shared" si="97"/>
        <v>42948</v>
      </c>
      <c r="BF160" s="114">
        <f t="shared" si="110"/>
        <v>8.254578575312669</v>
      </c>
      <c r="BG160" s="115">
        <v>8.254578575312669</v>
      </c>
      <c r="BI160">
        <f t="shared" si="103"/>
        <v>2016</v>
      </c>
      <c r="BJ160" s="306">
        <v>42551</v>
      </c>
      <c r="BK160">
        <f t="shared" si="104"/>
        <v>4.75</v>
      </c>
      <c r="BL160">
        <v>4.8099999999999996</v>
      </c>
      <c r="BM160">
        <v>4.6900000000000004</v>
      </c>
      <c r="BO160">
        <f t="shared" si="105"/>
        <v>2020</v>
      </c>
      <c r="BP160" s="286">
        <v>43952</v>
      </c>
      <c r="BQ160">
        <f t="shared" si="106"/>
        <v>10.725</v>
      </c>
      <c r="BR160">
        <v>10.83</v>
      </c>
      <c r="BS160">
        <v>10.62</v>
      </c>
      <c r="BT160">
        <f t="shared" si="93"/>
        <v>2026</v>
      </c>
      <c r="BU160" s="286">
        <v>46327</v>
      </c>
      <c r="BV160">
        <f t="shared" si="99"/>
        <v>4.1706500000000002</v>
      </c>
      <c r="BW160" s="580">
        <v>4.2755999999999998</v>
      </c>
      <c r="BX160" s="580">
        <v>4.0656999999999996</v>
      </c>
      <c r="BY160">
        <f t="shared" si="94"/>
        <v>2029</v>
      </c>
      <c r="BZ160" s="286">
        <v>47423</v>
      </c>
      <c r="CA160">
        <f t="shared" si="102"/>
        <v>4.3991000000000007</v>
      </c>
      <c r="CB160" s="580">
        <v>4.5818000000000003</v>
      </c>
      <c r="CC160" s="580">
        <v>4.2164000000000001</v>
      </c>
      <c r="CD160" s="364">
        <f t="shared" si="95"/>
        <v>2030</v>
      </c>
      <c r="CE160" s="381">
        <v>47818</v>
      </c>
      <c r="CF160" s="364">
        <f t="shared" si="100"/>
        <v>4.7744</v>
      </c>
      <c r="CG160" s="411">
        <v>4.5052000000000003</v>
      </c>
      <c r="CH160" s="411">
        <v>5.0435999999999996</v>
      </c>
      <c r="CI160" s="364">
        <f t="shared" si="96"/>
        <v>2032</v>
      </c>
      <c r="CJ160" s="381">
        <v>48549</v>
      </c>
      <c r="CK160" s="364">
        <f t="shared" si="101"/>
        <v>6.5684500000000003</v>
      </c>
      <c r="CL160" s="411">
        <v>6.5723000000000003</v>
      </c>
      <c r="CM160" s="411">
        <v>6.5646000000000004</v>
      </c>
    </row>
    <row r="161" spans="44:91">
      <c r="AR161">
        <f t="shared" si="107"/>
        <v>2017</v>
      </c>
      <c r="AS161" s="307">
        <f t="shared" si="98"/>
        <v>42979</v>
      </c>
      <c r="AT161" s="115">
        <v>72.84</v>
      </c>
      <c r="AU161" s="115">
        <v>60.93</v>
      </c>
      <c r="AV161" s="287">
        <f t="shared" si="111"/>
        <v>67.718699999999998</v>
      </c>
      <c r="AW161" s="271">
        <v>400</v>
      </c>
      <c r="AX161" s="271">
        <v>320</v>
      </c>
      <c r="AY161" s="271">
        <f t="shared" si="108"/>
        <v>0.55555555555555558</v>
      </c>
      <c r="AZ161" s="271">
        <f t="shared" si="109"/>
        <v>0.44444444444444442</v>
      </c>
      <c r="BD161">
        <f t="shared" si="92"/>
        <v>2017</v>
      </c>
      <c r="BE161" s="306">
        <f t="shared" si="97"/>
        <v>42979</v>
      </c>
      <c r="BF161" s="114">
        <f t="shared" si="110"/>
        <v>8.254578575312669</v>
      </c>
      <c r="BG161" s="115">
        <v>8.254578575312669</v>
      </c>
      <c r="BI161">
        <f t="shared" si="103"/>
        <v>2016</v>
      </c>
      <c r="BJ161" s="306">
        <v>42582</v>
      </c>
      <c r="BK161">
        <f t="shared" si="104"/>
        <v>4.82</v>
      </c>
      <c r="BL161">
        <v>4.88</v>
      </c>
      <c r="BM161">
        <v>4.76</v>
      </c>
      <c r="BO161">
        <f t="shared" si="105"/>
        <v>2020</v>
      </c>
      <c r="BP161" s="286">
        <v>43983</v>
      </c>
      <c r="BQ161">
        <f t="shared" si="106"/>
        <v>10.89</v>
      </c>
      <c r="BR161">
        <v>11</v>
      </c>
      <c r="BS161">
        <v>10.78</v>
      </c>
      <c r="BT161">
        <f t="shared" si="93"/>
        <v>2026</v>
      </c>
      <c r="BU161" s="286">
        <v>46357</v>
      </c>
      <c r="BV161">
        <f t="shared" si="99"/>
        <v>4.40015</v>
      </c>
      <c r="BW161" s="580">
        <v>4.5115999999999996</v>
      </c>
      <c r="BX161" s="580">
        <v>4.2887000000000004</v>
      </c>
      <c r="BY161">
        <f t="shared" si="94"/>
        <v>2029</v>
      </c>
      <c r="BZ161" s="286">
        <v>47453</v>
      </c>
      <c r="CA161">
        <f t="shared" si="102"/>
        <v>4.8207500000000003</v>
      </c>
      <c r="CB161" s="580">
        <v>5.0316000000000001</v>
      </c>
      <c r="CC161" s="580">
        <v>4.6098999999999997</v>
      </c>
      <c r="CD161" s="364">
        <f t="shared" si="95"/>
        <v>2031</v>
      </c>
      <c r="CE161" s="381">
        <v>47849</v>
      </c>
      <c r="CF161" s="364">
        <f t="shared" si="100"/>
        <v>4.8770000000000007</v>
      </c>
      <c r="CG161" s="411">
        <v>4.5654000000000003</v>
      </c>
      <c r="CH161" s="411">
        <v>5.1886000000000001</v>
      </c>
      <c r="CI161" s="364">
        <f t="shared" si="96"/>
        <v>2033</v>
      </c>
      <c r="CJ161" s="381">
        <v>48580</v>
      </c>
      <c r="CK161" s="364">
        <f t="shared" si="101"/>
        <v>6.9930500000000002</v>
      </c>
      <c r="CL161" s="411">
        <v>6.9989999999999997</v>
      </c>
      <c r="CM161" s="411">
        <v>6.9870999999999999</v>
      </c>
    </row>
    <row r="162" spans="44:91">
      <c r="AR162">
        <f t="shared" si="107"/>
        <v>2017</v>
      </c>
      <c r="AS162" s="307">
        <f t="shared" si="98"/>
        <v>43009</v>
      </c>
      <c r="AT162" s="115">
        <v>68.95</v>
      </c>
      <c r="AU162" s="115">
        <v>54.58</v>
      </c>
      <c r="AV162" s="287">
        <f t="shared" si="111"/>
        <v>62.770899999999997</v>
      </c>
      <c r="AW162" s="271">
        <v>416</v>
      </c>
      <c r="AX162" s="271">
        <v>328</v>
      </c>
      <c r="AY162" s="271">
        <f t="shared" si="108"/>
        <v>0.55913978494623651</v>
      </c>
      <c r="AZ162" s="271">
        <f t="shared" si="109"/>
        <v>0.44086021505376344</v>
      </c>
      <c r="BD162">
        <f t="shared" ref="BD162:BD225" si="112">+YEAR(BE162)</f>
        <v>2017</v>
      </c>
      <c r="BE162" s="306">
        <f t="shared" si="97"/>
        <v>43009</v>
      </c>
      <c r="BF162" s="114">
        <f t="shared" si="110"/>
        <v>8.5434584013050561</v>
      </c>
      <c r="BG162" s="115">
        <v>8.5434584013050561</v>
      </c>
      <c r="BI162">
        <f t="shared" si="103"/>
        <v>2016</v>
      </c>
      <c r="BJ162" s="306">
        <v>42613</v>
      </c>
      <c r="BK162">
        <f t="shared" si="104"/>
        <v>4.82</v>
      </c>
      <c r="BL162">
        <v>4.88</v>
      </c>
      <c r="BM162">
        <v>4.76</v>
      </c>
      <c r="BO162">
        <f t="shared" si="105"/>
        <v>2020</v>
      </c>
      <c r="BP162" s="286">
        <v>44013</v>
      </c>
      <c r="BQ162">
        <f t="shared" si="106"/>
        <v>11.055</v>
      </c>
      <c r="BR162">
        <v>11.16</v>
      </c>
      <c r="BS162">
        <v>10.95</v>
      </c>
      <c r="BT162">
        <f t="shared" ref="BT162:BT225" si="113">YEAR(BU162)</f>
        <v>2027</v>
      </c>
      <c r="BU162" s="286">
        <v>46388</v>
      </c>
      <c r="BV162">
        <f t="shared" si="99"/>
        <v>4.72485</v>
      </c>
      <c r="BW162" s="580">
        <v>4.8388</v>
      </c>
      <c r="BX162" s="580">
        <v>4.6109</v>
      </c>
      <c r="BY162">
        <f t="shared" ref="BY162:BY225" si="114">YEAR(BZ162)</f>
        <v>2030</v>
      </c>
      <c r="BZ162" s="286">
        <v>47484</v>
      </c>
      <c r="CA162">
        <f t="shared" si="102"/>
        <v>4.8885000000000005</v>
      </c>
      <c r="CB162" s="580">
        <v>5.0754000000000001</v>
      </c>
      <c r="CC162" s="580">
        <v>4.7016</v>
      </c>
      <c r="CD162" s="364">
        <f t="shared" ref="CD162:CD225" si="115">YEAR(CE162)</f>
        <v>2031</v>
      </c>
      <c r="CE162" s="381">
        <v>47880</v>
      </c>
      <c r="CF162" s="364">
        <f t="shared" si="100"/>
        <v>4.5653500000000005</v>
      </c>
      <c r="CG162" s="411">
        <v>4.3334999999999999</v>
      </c>
      <c r="CH162" s="411">
        <v>4.7972000000000001</v>
      </c>
      <c r="CI162" s="364">
        <f t="shared" ref="CI162:CI225" si="116">YEAR(CJ162)</f>
        <v>2033</v>
      </c>
      <c r="CJ162" s="381">
        <v>48611</v>
      </c>
      <c r="CK162" s="364">
        <f t="shared" si="101"/>
        <v>6.6301500000000004</v>
      </c>
      <c r="CL162" s="411">
        <v>6.6356000000000002</v>
      </c>
      <c r="CM162" s="411">
        <v>6.6246999999999998</v>
      </c>
    </row>
    <row r="163" spans="44:91">
      <c r="AR163">
        <f t="shared" si="107"/>
        <v>2017</v>
      </c>
      <c r="AS163" s="307">
        <f t="shared" si="98"/>
        <v>43040</v>
      </c>
      <c r="AT163" s="115">
        <v>76.59</v>
      </c>
      <c r="AU163" s="115">
        <v>64.33</v>
      </c>
      <c r="AV163" s="287">
        <f t="shared" si="111"/>
        <v>71.318200000000004</v>
      </c>
      <c r="AW163" s="271">
        <v>400</v>
      </c>
      <c r="AX163" s="271">
        <v>320</v>
      </c>
      <c r="AY163" s="271">
        <f t="shared" si="108"/>
        <v>0.55555555555555558</v>
      </c>
      <c r="AZ163" s="271">
        <f t="shared" si="109"/>
        <v>0.44444444444444442</v>
      </c>
      <c r="BD163">
        <f t="shared" si="112"/>
        <v>2017</v>
      </c>
      <c r="BE163" s="306">
        <f t="shared" ref="BE163:BE226" si="117">EOMONTH(BE162,0)+1</f>
        <v>43040</v>
      </c>
      <c r="BF163" s="114">
        <f t="shared" si="110"/>
        <v>8.6692060902664494</v>
      </c>
      <c r="BG163" s="115">
        <v>8.6692060902664494</v>
      </c>
      <c r="BI163">
        <f t="shared" si="103"/>
        <v>2016</v>
      </c>
      <c r="BJ163" s="306">
        <v>42643</v>
      </c>
      <c r="BK163">
        <f t="shared" si="104"/>
        <v>4.82</v>
      </c>
      <c r="BL163">
        <v>4.88</v>
      </c>
      <c r="BM163">
        <v>4.76</v>
      </c>
      <c r="BO163">
        <f t="shared" si="105"/>
        <v>2020</v>
      </c>
      <c r="BP163" s="286">
        <v>44044</v>
      </c>
      <c r="BQ163">
        <f t="shared" si="106"/>
        <v>11.055</v>
      </c>
      <c r="BR163">
        <v>11.16</v>
      </c>
      <c r="BS163">
        <v>10.95</v>
      </c>
      <c r="BT163">
        <f t="shared" si="113"/>
        <v>2027</v>
      </c>
      <c r="BU163" s="286">
        <v>46419</v>
      </c>
      <c r="BV163">
        <f t="shared" si="99"/>
        <v>4.7516499999999997</v>
      </c>
      <c r="BW163" s="580">
        <v>4.8655999999999997</v>
      </c>
      <c r="BX163" s="580">
        <v>4.6376999999999997</v>
      </c>
      <c r="BY163">
        <f t="shared" si="114"/>
        <v>2030</v>
      </c>
      <c r="BZ163" s="286">
        <v>47515</v>
      </c>
      <c r="CA163">
        <f t="shared" si="102"/>
        <v>4.8956999999999997</v>
      </c>
      <c r="CB163" s="580">
        <v>5.1041999999999996</v>
      </c>
      <c r="CC163" s="580">
        <v>4.6871999999999998</v>
      </c>
      <c r="CD163" s="364">
        <f t="shared" si="115"/>
        <v>2031</v>
      </c>
      <c r="CE163" s="381">
        <v>47908</v>
      </c>
      <c r="CF163" s="364">
        <f t="shared" si="100"/>
        <v>4.1378000000000004</v>
      </c>
      <c r="CG163" s="411">
        <v>4.1016000000000004</v>
      </c>
      <c r="CH163" s="411">
        <v>4.1740000000000004</v>
      </c>
      <c r="CI163" s="364">
        <f t="shared" si="116"/>
        <v>2033</v>
      </c>
      <c r="CJ163" s="381">
        <v>48639</v>
      </c>
      <c r="CK163" s="364">
        <f t="shared" si="101"/>
        <v>5.4648000000000003</v>
      </c>
      <c r="CL163" s="411">
        <v>5.4648000000000003</v>
      </c>
      <c r="CM163" s="411">
        <v>5.4648000000000003</v>
      </c>
    </row>
    <row r="164" spans="44:91">
      <c r="AR164">
        <f t="shared" si="107"/>
        <v>2017</v>
      </c>
      <c r="AS164" s="307">
        <f t="shared" si="98"/>
        <v>43070</v>
      </c>
      <c r="AT164" s="115">
        <v>77.13</v>
      </c>
      <c r="AU164" s="115">
        <v>64.42</v>
      </c>
      <c r="AV164" s="287">
        <f t="shared" si="111"/>
        <v>71.664699999999996</v>
      </c>
      <c r="AW164" s="271">
        <v>400</v>
      </c>
      <c r="AX164" s="271">
        <v>344</v>
      </c>
      <c r="AY164" s="271">
        <f t="shared" si="108"/>
        <v>0.5376344086021505</v>
      </c>
      <c r="AZ164" s="271">
        <f t="shared" si="109"/>
        <v>0.46236559139784944</v>
      </c>
      <c r="BD164">
        <f t="shared" si="112"/>
        <v>2017</v>
      </c>
      <c r="BE164" s="306">
        <f t="shared" si="117"/>
        <v>43070</v>
      </c>
      <c r="BF164" s="114">
        <f t="shared" si="110"/>
        <v>9.083833605220228</v>
      </c>
      <c r="BG164" s="115">
        <v>9.083833605220228</v>
      </c>
      <c r="BI164">
        <f t="shared" si="103"/>
        <v>2016</v>
      </c>
      <c r="BJ164" s="306">
        <v>42674</v>
      </c>
      <c r="BK164">
        <f t="shared" si="104"/>
        <v>5</v>
      </c>
      <c r="BL164">
        <v>5.0199999999999996</v>
      </c>
      <c r="BM164">
        <v>4.9800000000000004</v>
      </c>
      <c r="BO164">
        <f t="shared" si="105"/>
        <v>2020</v>
      </c>
      <c r="BP164" s="286">
        <v>44075</v>
      </c>
      <c r="BQ164">
        <f t="shared" si="106"/>
        <v>11.055</v>
      </c>
      <c r="BR164">
        <v>11.16</v>
      </c>
      <c r="BS164">
        <v>10.95</v>
      </c>
      <c r="BT164">
        <f t="shared" si="113"/>
        <v>2027</v>
      </c>
      <c r="BU164" s="286">
        <v>46447</v>
      </c>
      <c r="BV164">
        <f t="shared" si="99"/>
        <v>4.5975000000000001</v>
      </c>
      <c r="BW164" s="580">
        <v>4.6645000000000003</v>
      </c>
      <c r="BX164" s="580">
        <v>4.5305</v>
      </c>
      <c r="BY164">
        <f t="shared" si="114"/>
        <v>2030</v>
      </c>
      <c r="BZ164" s="286">
        <v>47543</v>
      </c>
      <c r="CA164">
        <f t="shared" si="102"/>
        <v>4.7734500000000004</v>
      </c>
      <c r="CB164" s="580">
        <v>4.9459999999999997</v>
      </c>
      <c r="CC164" s="580">
        <v>4.6009000000000002</v>
      </c>
      <c r="CD164" s="364">
        <f t="shared" si="115"/>
        <v>2031</v>
      </c>
      <c r="CE164" s="381">
        <v>47939</v>
      </c>
      <c r="CF164" s="364">
        <f t="shared" si="100"/>
        <v>3.8624499999999999</v>
      </c>
      <c r="CG164" s="411">
        <v>3.7827000000000002</v>
      </c>
      <c r="CH164" s="411">
        <v>3.9422000000000001</v>
      </c>
      <c r="CI164" s="364">
        <f t="shared" si="116"/>
        <v>2033</v>
      </c>
      <c r="CJ164" s="381">
        <v>48670</v>
      </c>
      <c r="CK164" s="364">
        <f t="shared" si="101"/>
        <v>5.0903499999999999</v>
      </c>
      <c r="CL164" s="411">
        <v>5.0815000000000001</v>
      </c>
      <c r="CM164" s="411">
        <v>5.0991999999999997</v>
      </c>
    </row>
    <row r="165" spans="44:91">
      <c r="AR165">
        <f t="shared" si="107"/>
        <v>2018</v>
      </c>
      <c r="AS165" s="307">
        <f t="shared" si="98"/>
        <v>43101</v>
      </c>
      <c r="AT165" s="115">
        <v>86.47</v>
      </c>
      <c r="AU165" s="115">
        <v>74.489999999999995</v>
      </c>
      <c r="AV165" s="287">
        <f t="shared" si="111"/>
        <v>81.318599999999989</v>
      </c>
      <c r="AW165" s="271">
        <v>416</v>
      </c>
      <c r="AX165" s="271">
        <v>328</v>
      </c>
      <c r="AY165" s="271">
        <f t="shared" si="108"/>
        <v>0.55913978494623651</v>
      </c>
      <c r="AZ165" s="271">
        <f t="shared" si="109"/>
        <v>0.44086021505376344</v>
      </c>
      <c r="BD165">
        <f t="shared" si="112"/>
        <v>2018</v>
      </c>
      <c r="BE165" s="306">
        <f t="shared" si="117"/>
        <v>43101</v>
      </c>
      <c r="BF165" s="114">
        <f t="shared" si="110"/>
        <v>10.300527460576399</v>
      </c>
      <c r="BG165" s="115">
        <v>10.300527460576399</v>
      </c>
      <c r="BI165">
        <f t="shared" si="103"/>
        <v>2016</v>
      </c>
      <c r="BJ165" s="306">
        <v>42704</v>
      </c>
      <c r="BK165">
        <f t="shared" si="104"/>
        <v>5.08</v>
      </c>
      <c r="BL165">
        <v>5.0999999999999996</v>
      </c>
      <c r="BM165">
        <v>5.0599999999999996</v>
      </c>
      <c r="BO165">
        <f t="shared" si="105"/>
        <v>2020</v>
      </c>
      <c r="BP165" s="286">
        <v>44105</v>
      </c>
      <c r="BQ165">
        <f t="shared" si="106"/>
        <v>11.475000000000001</v>
      </c>
      <c r="BR165">
        <v>11.49</v>
      </c>
      <c r="BS165">
        <v>11.46</v>
      </c>
      <c r="BT165">
        <f t="shared" si="113"/>
        <v>2027</v>
      </c>
      <c r="BU165" s="286">
        <v>46478</v>
      </c>
      <c r="BV165">
        <f t="shared" si="99"/>
        <v>4.36965</v>
      </c>
      <c r="BW165" s="580">
        <v>4.4634999999999998</v>
      </c>
      <c r="BX165" s="580">
        <v>4.2758000000000003</v>
      </c>
      <c r="BY165">
        <f t="shared" si="114"/>
        <v>2030</v>
      </c>
      <c r="BZ165" s="286">
        <v>47574</v>
      </c>
      <c r="CA165">
        <f t="shared" si="102"/>
        <v>4.5074500000000004</v>
      </c>
      <c r="CB165" s="580">
        <v>4.6727999999999996</v>
      </c>
      <c r="CC165" s="580">
        <v>4.3421000000000003</v>
      </c>
      <c r="CD165" s="364">
        <f t="shared" si="115"/>
        <v>2031</v>
      </c>
      <c r="CE165" s="381">
        <v>47969</v>
      </c>
      <c r="CF165" s="364">
        <f t="shared" si="100"/>
        <v>3.6088500000000003</v>
      </c>
      <c r="CG165" s="411">
        <v>3.7103000000000002</v>
      </c>
      <c r="CH165" s="411">
        <v>3.5074000000000001</v>
      </c>
      <c r="CI165" s="364">
        <f t="shared" si="116"/>
        <v>2033</v>
      </c>
      <c r="CJ165" s="381">
        <v>48700</v>
      </c>
      <c r="CK165" s="364">
        <f t="shared" si="101"/>
        <v>5.05565</v>
      </c>
      <c r="CL165" s="411">
        <v>5.1111000000000004</v>
      </c>
      <c r="CM165" s="411">
        <v>5.0002000000000004</v>
      </c>
    </row>
    <row r="166" spans="44:91">
      <c r="AR166">
        <f t="shared" si="107"/>
        <v>2018</v>
      </c>
      <c r="AS166" s="307">
        <f t="shared" si="98"/>
        <v>43132</v>
      </c>
      <c r="AT166" s="115">
        <v>79.75</v>
      </c>
      <c r="AU166" s="115">
        <v>68.38</v>
      </c>
      <c r="AV166" s="287">
        <f t="shared" si="111"/>
        <v>74.860899999999987</v>
      </c>
      <c r="AW166" s="271">
        <v>384</v>
      </c>
      <c r="AX166" s="271">
        <v>288</v>
      </c>
      <c r="AY166" s="271">
        <f t="shared" si="108"/>
        <v>0.5714285714285714</v>
      </c>
      <c r="AZ166" s="271">
        <f t="shared" si="109"/>
        <v>0.42857142857142855</v>
      </c>
      <c r="BD166">
        <f t="shared" si="112"/>
        <v>2018</v>
      </c>
      <c r="BE166" s="306">
        <f t="shared" si="117"/>
        <v>43132</v>
      </c>
      <c r="BF166" s="114">
        <f t="shared" si="110"/>
        <v>9.6785861881457311</v>
      </c>
      <c r="BG166" s="115">
        <v>9.6785861881457311</v>
      </c>
      <c r="BI166">
        <f t="shared" si="103"/>
        <v>2016</v>
      </c>
      <c r="BJ166" s="306">
        <v>42735</v>
      </c>
      <c r="BK166">
        <f t="shared" si="104"/>
        <v>5.33</v>
      </c>
      <c r="BL166">
        <v>5.31</v>
      </c>
      <c r="BM166">
        <v>5.35</v>
      </c>
      <c r="BO166">
        <f t="shared" si="105"/>
        <v>2020</v>
      </c>
      <c r="BP166" s="286">
        <v>44136</v>
      </c>
      <c r="BQ166">
        <f t="shared" si="106"/>
        <v>11.64</v>
      </c>
      <c r="BR166">
        <v>11.65</v>
      </c>
      <c r="BS166">
        <v>11.63</v>
      </c>
      <c r="BT166">
        <f t="shared" si="113"/>
        <v>2027</v>
      </c>
      <c r="BU166" s="286">
        <v>46508</v>
      </c>
      <c r="BV166">
        <f t="shared" si="99"/>
        <v>4.1752500000000001</v>
      </c>
      <c r="BW166" s="580">
        <v>4.2892000000000001</v>
      </c>
      <c r="BX166" s="580">
        <v>4.0613000000000001</v>
      </c>
      <c r="BY166">
        <f t="shared" si="114"/>
        <v>2030</v>
      </c>
      <c r="BZ166" s="286">
        <v>47604</v>
      </c>
      <c r="CA166">
        <f t="shared" si="102"/>
        <v>4.54345</v>
      </c>
      <c r="CB166" s="580">
        <v>4.7016</v>
      </c>
      <c r="CC166" s="580">
        <v>4.3853</v>
      </c>
      <c r="CD166" s="364">
        <f t="shared" si="115"/>
        <v>2031</v>
      </c>
      <c r="CE166" s="381">
        <v>48000</v>
      </c>
      <c r="CF166" s="364">
        <f t="shared" si="100"/>
        <v>3.6958000000000002</v>
      </c>
      <c r="CG166" s="411">
        <v>3.7103000000000002</v>
      </c>
      <c r="CH166" s="411">
        <v>3.6812999999999998</v>
      </c>
      <c r="CI166" s="364">
        <f t="shared" si="116"/>
        <v>2033</v>
      </c>
      <c r="CJ166" s="381">
        <v>48731</v>
      </c>
      <c r="CK166" s="364">
        <f t="shared" si="101"/>
        <v>5.0891500000000001</v>
      </c>
      <c r="CL166" s="411">
        <v>5.1768000000000001</v>
      </c>
      <c r="CM166" s="411">
        <v>5.0015000000000001</v>
      </c>
    </row>
    <row r="167" spans="44:91">
      <c r="AR167">
        <f t="shared" si="107"/>
        <v>2018</v>
      </c>
      <c r="AS167" s="307">
        <f t="shared" si="98"/>
        <v>43160</v>
      </c>
      <c r="AT167" s="115">
        <v>73.75</v>
      </c>
      <c r="AU167" s="115">
        <v>65.930000000000007</v>
      </c>
      <c r="AV167" s="287">
        <f t="shared" si="111"/>
        <v>70.3874</v>
      </c>
      <c r="AW167" s="271">
        <v>432</v>
      </c>
      <c r="AX167" s="271">
        <v>312</v>
      </c>
      <c r="AY167" s="271">
        <f t="shared" si="108"/>
        <v>0.58064516129032262</v>
      </c>
      <c r="AZ167" s="271">
        <f t="shared" si="109"/>
        <v>0.41935483870967744</v>
      </c>
      <c r="BD167">
        <f t="shared" si="112"/>
        <v>2018</v>
      </c>
      <c r="BE167" s="306">
        <f t="shared" si="117"/>
        <v>43160</v>
      </c>
      <c r="BF167" s="114">
        <f t="shared" si="110"/>
        <v>9.1076237085372469</v>
      </c>
      <c r="BG167" s="115">
        <v>9.1076237085372469</v>
      </c>
      <c r="BI167">
        <f t="shared" si="103"/>
        <v>2017</v>
      </c>
      <c r="BJ167" s="306">
        <v>42766</v>
      </c>
      <c r="BK167">
        <f t="shared" si="104"/>
        <v>5.91</v>
      </c>
      <c r="BL167">
        <v>5.85</v>
      </c>
      <c r="BM167">
        <v>5.97</v>
      </c>
      <c r="BO167">
        <f t="shared" si="105"/>
        <v>2020</v>
      </c>
      <c r="BP167" s="286">
        <v>44166</v>
      </c>
      <c r="BQ167">
        <f t="shared" si="106"/>
        <v>12.225000000000001</v>
      </c>
      <c r="BR167">
        <v>12.15</v>
      </c>
      <c r="BS167">
        <v>12.3</v>
      </c>
      <c r="BT167">
        <f t="shared" si="113"/>
        <v>2027</v>
      </c>
      <c r="BU167" s="286">
        <v>46539</v>
      </c>
      <c r="BV167">
        <f t="shared" si="99"/>
        <v>4.1484500000000004</v>
      </c>
      <c r="BW167" s="580">
        <v>4.2892000000000001</v>
      </c>
      <c r="BX167" s="580">
        <v>4.0076999999999998</v>
      </c>
      <c r="BY167">
        <f t="shared" si="114"/>
        <v>2030</v>
      </c>
      <c r="BZ167" s="286">
        <v>47635</v>
      </c>
      <c r="CA167">
        <f t="shared" si="102"/>
        <v>4.5865499999999999</v>
      </c>
      <c r="CB167" s="580">
        <v>4.7302999999999997</v>
      </c>
      <c r="CC167" s="580">
        <v>4.4428000000000001</v>
      </c>
      <c r="CD167" s="364">
        <f t="shared" si="115"/>
        <v>2031</v>
      </c>
      <c r="CE167" s="381">
        <v>48030</v>
      </c>
      <c r="CF167" s="364">
        <f t="shared" si="100"/>
        <v>3.7320000000000002</v>
      </c>
      <c r="CG167" s="411">
        <v>3.7536999999999998</v>
      </c>
      <c r="CH167" s="411">
        <v>3.7103000000000002</v>
      </c>
      <c r="CI167" s="364">
        <f t="shared" si="116"/>
        <v>2033</v>
      </c>
      <c r="CJ167" s="381">
        <v>48761</v>
      </c>
      <c r="CK167" s="364">
        <f t="shared" si="101"/>
        <v>5.3038499999999997</v>
      </c>
      <c r="CL167" s="411">
        <v>5.5008999999999997</v>
      </c>
      <c r="CM167" s="411">
        <v>5.1067999999999998</v>
      </c>
    </row>
    <row r="168" spans="44:91">
      <c r="AR168">
        <f t="shared" si="107"/>
        <v>2018</v>
      </c>
      <c r="AS168" s="307">
        <f t="shared" si="98"/>
        <v>43191</v>
      </c>
      <c r="AT168" s="115">
        <v>72.760000000000005</v>
      </c>
      <c r="AU168" s="115">
        <v>63.99</v>
      </c>
      <c r="AV168" s="287">
        <f t="shared" si="111"/>
        <v>68.988900000000001</v>
      </c>
      <c r="AW168" s="271">
        <v>400</v>
      </c>
      <c r="AX168" s="271">
        <v>320</v>
      </c>
      <c r="AY168" s="271">
        <f t="shared" si="108"/>
        <v>0.55555555555555558</v>
      </c>
      <c r="AZ168" s="271">
        <f t="shared" si="109"/>
        <v>0.44444444444444442</v>
      </c>
      <c r="BD168">
        <f t="shared" si="112"/>
        <v>2018</v>
      </c>
      <c r="BE168" s="306">
        <f t="shared" si="117"/>
        <v>43191</v>
      </c>
      <c r="BF168" s="114">
        <f t="shared" si="110"/>
        <v>8.6182272974442604</v>
      </c>
      <c r="BG168" s="115">
        <v>8.6182272974442604</v>
      </c>
      <c r="BI168">
        <f t="shared" si="103"/>
        <v>2017</v>
      </c>
      <c r="BJ168" s="306">
        <v>42794</v>
      </c>
      <c r="BK168">
        <f t="shared" si="104"/>
        <v>5.5</v>
      </c>
      <c r="BL168">
        <v>5.48</v>
      </c>
      <c r="BM168">
        <v>5.52</v>
      </c>
      <c r="BO168">
        <f t="shared" si="105"/>
        <v>2021</v>
      </c>
      <c r="BP168" s="286">
        <v>44197</v>
      </c>
      <c r="BQ168">
        <f t="shared" si="106"/>
        <v>13.385000000000002</v>
      </c>
      <c r="BR168">
        <v>13.21</v>
      </c>
      <c r="BS168">
        <v>13.56</v>
      </c>
      <c r="BT168">
        <f t="shared" si="113"/>
        <v>2027</v>
      </c>
      <c r="BU168" s="286">
        <v>46569</v>
      </c>
      <c r="BV168">
        <f t="shared" si="99"/>
        <v>4.1953499999999995</v>
      </c>
      <c r="BW168" s="580">
        <v>4.3159999999999998</v>
      </c>
      <c r="BX168" s="580">
        <v>4.0747</v>
      </c>
      <c r="BY168">
        <f t="shared" si="114"/>
        <v>2030</v>
      </c>
      <c r="BZ168" s="286">
        <v>47665</v>
      </c>
      <c r="CA168">
        <f t="shared" si="102"/>
        <v>4.7734500000000004</v>
      </c>
      <c r="CB168" s="580">
        <v>4.9172000000000002</v>
      </c>
      <c r="CC168" s="580">
        <v>4.6296999999999997</v>
      </c>
      <c r="CD168" s="364">
        <f t="shared" si="115"/>
        <v>2031</v>
      </c>
      <c r="CE168" s="381">
        <v>48061</v>
      </c>
      <c r="CF168" s="364">
        <f t="shared" si="100"/>
        <v>3.8044500000000001</v>
      </c>
      <c r="CG168" s="411">
        <v>3.8696999999999999</v>
      </c>
      <c r="CH168" s="411">
        <v>3.7391999999999999</v>
      </c>
      <c r="CI168" s="364">
        <f t="shared" si="116"/>
        <v>2033</v>
      </c>
      <c r="CJ168" s="381">
        <v>48792</v>
      </c>
      <c r="CK168" s="364">
        <f t="shared" si="101"/>
        <v>5.7565999999999997</v>
      </c>
      <c r="CL168" s="411">
        <v>5.9135999999999997</v>
      </c>
      <c r="CM168" s="411">
        <v>5.5995999999999997</v>
      </c>
    </row>
    <row r="169" spans="44:91">
      <c r="AR169">
        <f t="shared" si="107"/>
        <v>2018</v>
      </c>
      <c r="AS169" s="307">
        <f t="shared" si="98"/>
        <v>43221</v>
      </c>
      <c r="AT169" s="115">
        <v>72.59</v>
      </c>
      <c r="AU169" s="115">
        <v>54.31</v>
      </c>
      <c r="AV169" s="287">
        <f t="shared" si="111"/>
        <v>64.729600000000005</v>
      </c>
      <c r="AW169" s="271">
        <v>416</v>
      </c>
      <c r="AX169" s="271">
        <v>328</v>
      </c>
      <c r="AY169" s="271">
        <f t="shared" si="108"/>
        <v>0.55913978494623651</v>
      </c>
      <c r="AZ169" s="271">
        <f t="shared" si="109"/>
        <v>0.44086021505376344</v>
      </c>
      <c r="BD169">
        <f t="shared" si="112"/>
        <v>2018</v>
      </c>
      <c r="BE169" s="306">
        <f t="shared" si="117"/>
        <v>43221</v>
      </c>
      <c r="BF169" s="114">
        <f t="shared" si="110"/>
        <v>8.5298640565524728</v>
      </c>
      <c r="BG169" s="115">
        <v>8.5298640565524728</v>
      </c>
      <c r="BI169">
        <f t="shared" si="103"/>
        <v>2017</v>
      </c>
      <c r="BJ169" s="306">
        <v>42825</v>
      </c>
      <c r="BK169">
        <f t="shared" si="104"/>
        <v>5.16</v>
      </c>
      <c r="BL169">
        <v>5.18</v>
      </c>
      <c r="BM169">
        <v>5.14</v>
      </c>
      <c r="BO169">
        <f t="shared" si="105"/>
        <v>2021</v>
      </c>
      <c r="BP169" s="286">
        <v>44228</v>
      </c>
      <c r="BQ169">
        <f t="shared" si="106"/>
        <v>12.455</v>
      </c>
      <c r="BR169">
        <v>12.38</v>
      </c>
      <c r="BS169">
        <v>12.53</v>
      </c>
      <c r="BT169">
        <f t="shared" si="113"/>
        <v>2027</v>
      </c>
      <c r="BU169" s="286">
        <v>46600</v>
      </c>
      <c r="BV169">
        <f t="shared" si="99"/>
        <v>4.2758000000000003</v>
      </c>
      <c r="BW169" s="580">
        <v>4.383</v>
      </c>
      <c r="BX169" s="580">
        <v>4.1685999999999996</v>
      </c>
      <c r="BY169">
        <f t="shared" si="114"/>
        <v>2030</v>
      </c>
      <c r="BZ169" s="286">
        <v>47696</v>
      </c>
      <c r="CA169">
        <f t="shared" si="102"/>
        <v>4.8094000000000001</v>
      </c>
      <c r="CB169" s="580">
        <v>4.9459999999999997</v>
      </c>
      <c r="CC169" s="580">
        <v>4.6727999999999996</v>
      </c>
      <c r="CD169" s="364">
        <f t="shared" si="115"/>
        <v>2031</v>
      </c>
      <c r="CE169" s="381">
        <v>48092</v>
      </c>
      <c r="CF169" s="364">
        <f t="shared" si="100"/>
        <v>3.6957500000000003</v>
      </c>
      <c r="CG169" s="411">
        <v>3.8552</v>
      </c>
      <c r="CH169" s="411">
        <v>3.5363000000000002</v>
      </c>
      <c r="CI169" s="364">
        <f t="shared" si="116"/>
        <v>2033</v>
      </c>
      <c r="CJ169" s="381">
        <v>48823</v>
      </c>
      <c r="CK169" s="364">
        <f t="shared" si="101"/>
        <v>5.8857499999999998</v>
      </c>
      <c r="CL169" s="411">
        <v>6.0225999999999997</v>
      </c>
      <c r="CM169" s="411">
        <v>5.7488999999999999</v>
      </c>
    </row>
    <row r="170" spans="44:91">
      <c r="AR170">
        <f t="shared" si="107"/>
        <v>2018</v>
      </c>
      <c r="AS170" s="307">
        <f t="shared" si="98"/>
        <v>43252</v>
      </c>
      <c r="AT170" s="115">
        <v>75.28</v>
      </c>
      <c r="AU170" s="115">
        <v>54.91</v>
      </c>
      <c r="AV170" s="287">
        <f t="shared" si="111"/>
        <v>66.520899999999997</v>
      </c>
      <c r="AW170" s="271">
        <v>416</v>
      </c>
      <c r="AX170" s="271">
        <v>304</v>
      </c>
      <c r="AY170" s="271">
        <f t="shared" si="108"/>
        <v>0.57777777777777772</v>
      </c>
      <c r="AZ170" s="271">
        <f t="shared" si="109"/>
        <v>0.42222222222222222</v>
      </c>
      <c r="BD170">
        <f t="shared" si="112"/>
        <v>2018</v>
      </c>
      <c r="BE170" s="306">
        <f t="shared" si="117"/>
        <v>43252</v>
      </c>
      <c r="BF170" s="114">
        <f t="shared" si="110"/>
        <v>8.6624089178901595</v>
      </c>
      <c r="BG170" s="115">
        <v>8.6624089178901595</v>
      </c>
      <c r="BI170">
        <f t="shared" si="103"/>
        <v>2017</v>
      </c>
      <c r="BJ170" s="306">
        <v>42855</v>
      </c>
      <c r="BK170">
        <f t="shared" si="104"/>
        <v>4.8249999999999993</v>
      </c>
      <c r="BL170">
        <v>4.8899999999999997</v>
      </c>
      <c r="BM170">
        <v>4.76</v>
      </c>
      <c r="BO170">
        <f t="shared" si="105"/>
        <v>2021</v>
      </c>
      <c r="BP170" s="286">
        <v>44256</v>
      </c>
      <c r="BQ170">
        <f t="shared" si="106"/>
        <v>11.695</v>
      </c>
      <c r="BR170">
        <v>11.71</v>
      </c>
      <c r="BS170">
        <v>11.68</v>
      </c>
      <c r="BT170">
        <f t="shared" si="113"/>
        <v>2027</v>
      </c>
      <c r="BU170" s="286">
        <v>46631</v>
      </c>
      <c r="BV170">
        <f t="shared" si="99"/>
        <v>4.2958999999999996</v>
      </c>
      <c r="BW170" s="580">
        <v>4.3696000000000002</v>
      </c>
      <c r="BX170" s="580">
        <v>4.2222</v>
      </c>
      <c r="BY170">
        <f t="shared" si="114"/>
        <v>2030</v>
      </c>
      <c r="BZ170" s="286">
        <v>47727</v>
      </c>
      <c r="CA170">
        <f t="shared" si="102"/>
        <v>4.7231000000000005</v>
      </c>
      <c r="CB170" s="580">
        <v>4.9172000000000002</v>
      </c>
      <c r="CC170" s="580">
        <v>4.5289999999999999</v>
      </c>
      <c r="CD170" s="364">
        <f t="shared" si="115"/>
        <v>2031</v>
      </c>
      <c r="CE170" s="381">
        <v>48122</v>
      </c>
      <c r="CF170" s="364">
        <f t="shared" si="100"/>
        <v>4.0798500000000004</v>
      </c>
      <c r="CG170" s="411">
        <v>4.0290999999999997</v>
      </c>
      <c r="CH170" s="411">
        <v>4.1306000000000003</v>
      </c>
      <c r="CI170" s="364">
        <f t="shared" si="116"/>
        <v>2033</v>
      </c>
      <c r="CJ170" s="381">
        <v>48853</v>
      </c>
      <c r="CK170" s="364">
        <f t="shared" si="101"/>
        <v>6.0254000000000003</v>
      </c>
      <c r="CL170" s="411">
        <v>6.0589000000000004</v>
      </c>
      <c r="CM170" s="411">
        <v>5.9919000000000002</v>
      </c>
    </row>
    <row r="171" spans="44:91">
      <c r="AR171">
        <f t="shared" si="107"/>
        <v>2018</v>
      </c>
      <c r="AS171" s="307">
        <f t="shared" si="98"/>
        <v>43282</v>
      </c>
      <c r="AT171" s="115">
        <v>75.73</v>
      </c>
      <c r="AU171" s="115">
        <v>66</v>
      </c>
      <c r="AV171" s="287">
        <f t="shared" si="111"/>
        <v>71.546099999999996</v>
      </c>
      <c r="AW171" s="271">
        <v>400</v>
      </c>
      <c r="AX171" s="271">
        <v>344</v>
      </c>
      <c r="AY171" s="271">
        <f t="shared" si="108"/>
        <v>0.5376344086021505</v>
      </c>
      <c r="AZ171" s="271">
        <f t="shared" si="109"/>
        <v>0.46236559139784944</v>
      </c>
      <c r="BD171">
        <f t="shared" si="112"/>
        <v>2018</v>
      </c>
      <c r="BE171" s="306">
        <f t="shared" si="117"/>
        <v>43282</v>
      </c>
      <c r="BF171" s="114">
        <f t="shared" si="110"/>
        <v>8.7949537792278392</v>
      </c>
      <c r="BG171" s="115">
        <v>8.7949537792278392</v>
      </c>
      <c r="BI171">
        <f t="shared" si="103"/>
        <v>2017</v>
      </c>
      <c r="BJ171" s="306">
        <v>42886</v>
      </c>
      <c r="BK171">
        <f t="shared" si="104"/>
        <v>4.8249999999999993</v>
      </c>
      <c r="BL171">
        <v>4.8899999999999997</v>
      </c>
      <c r="BM171">
        <v>4.76</v>
      </c>
      <c r="BO171">
        <f t="shared" si="105"/>
        <v>2021</v>
      </c>
      <c r="BP171" s="286">
        <v>44287</v>
      </c>
      <c r="BQ171">
        <f t="shared" si="106"/>
        <v>10.93</v>
      </c>
      <c r="BR171">
        <v>11.04</v>
      </c>
      <c r="BS171">
        <v>10.82</v>
      </c>
      <c r="BT171">
        <f t="shared" si="113"/>
        <v>2027</v>
      </c>
      <c r="BU171" s="286">
        <v>46661</v>
      </c>
      <c r="BV171">
        <f t="shared" si="99"/>
        <v>4.41655</v>
      </c>
      <c r="BW171" s="580">
        <v>4.4500999999999999</v>
      </c>
      <c r="BX171" s="580">
        <v>4.383</v>
      </c>
      <c r="BY171">
        <f t="shared" si="114"/>
        <v>2030</v>
      </c>
      <c r="BZ171" s="286">
        <v>47757</v>
      </c>
      <c r="CA171">
        <f t="shared" si="102"/>
        <v>4.7735000000000003</v>
      </c>
      <c r="CB171" s="580">
        <v>4.9603999999999999</v>
      </c>
      <c r="CC171" s="580">
        <v>4.5865999999999998</v>
      </c>
      <c r="CD171" s="364">
        <f t="shared" si="115"/>
        <v>2031</v>
      </c>
      <c r="CE171" s="381">
        <v>48153</v>
      </c>
      <c r="CF171" s="364">
        <f t="shared" si="100"/>
        <v>4.4855999999999998</v>
      </c>
      <c r="CG171" s="411">
        <v>4.3769</v>
      </c>
      <c r="CH171" s="411">
        <v>4.5942999999999996</v>
      </c>
      <c r="CI171" s="364">
        <f t="shared" si="116"/>
        <v>2033</v>
      </c>
      <c r="CJ171" s="381">
        <v>48884</v>
      </c>
      <c r="CK171" s="364">
        <f t="shared" si="101"/>
        <v>6.5667499999999999</v>
      </c>
      <c r="CL171" s="411">
        <v>6.569</v>
      </c>
      <c r="CM171" s="411">
        <v>6.5644999999999998</v>
      </c>
    </row>
    <row r="172" spans="44:91">
      <c r="AR172">
        <f t="shared" si="107"/>
        <v>2018</v>
      </c>
      <c r="AS172" s="307">
        <f t="shared" si="98"/>
        <v>43313</v>
      </c>
      <c r="AT172" s="115">
        <v>89.84</v>
      </c>
      <c r="AU172" s="115">
        <v>69.900000000000006</v>
      </c>
      <c r="AV172" s="287">
        <f t="shared" si="111"/>
        <v>81.265799999999999</v>
      </c>
      <c r="AW172" s="271">
        <v>432</v>
      </c>
      <c r="AX172" s="271">
        <v>312</v>
      </c>
      <c r="AY172" s="271">
        <f t="shared" si="108"/>
        <v>0.58064516129032262</v>
      </c>
      <c r="AZ172" s="271">
        <f t="shared" si="109"/>
        <v>0.41935483870967744</v>
      </c>
      <c r="BD172">
        <f t="shared" si="112"/>
        <v>2018</v>
      </c>
      <c r="BE172" s="306">
        <f t="shared" si="117"/>
        <v>43313</v>
      </c>
      <c r="BF172" s="114">
        <f t="shared" si="110"/>
        <v>8.7949537792278392</v>
      </c>
      <c r="BG172" s="115">
        <v>8.7949537792278392</v>
      </c>
      <c r="BI172">
        <f t="shared" si="103"/>
        <v>2017</v>
      </c>
      <c r="BJ172" s="306">
        <v>42916</v>
      </c>
      <c r="BK172">
        <f t="shared" si="104"/>
        <v>4.9000000000000004</v>
      </c>
      <c r="BL172">
        <v>4.96</v>
      </c>
      <c r="BM172">
        <v>4.84</v>
      </c>
      <c r="BO172">
        <f t="shared" si="105"/>
        <v>2021</v>
      </c>
      <c r="BP172" s="286">
        <v>44317</v>
      </c>
      <c r="BQ172">
        <f t="shared" si="106"/>
        <v>10.93</v>
      </c>
      <c r="BR172">
        <v>11.04</v>
      </c>
      <c r="BS172">
        <v>10.82</v>
      </c>
      <c r="BT172">
        <f t="shared" si="113"/>
        <v>2027</v>
      </c>
      <c r="BU172" s="286">
        <v>46692</v>
      </c>
      <c r="BV172">
        <f t="shared" si="99"/>
        <v>4.6242999999999999</v>
      </c>
      <c r="BW172" s="580">
        <v>4.6913</v>
      </c>
      <c r="BX172" s="580">
        <v>4.5572999999999997</v>
      </c>
      <c r="BY172">
        <f t="shared" si="114"/>
        <v>2030</v>
      </c>
      <c r="BZ172" s="286">
        <v>47788</v>
      </c>
      <c r="CA172">
        <f t="shared" si="102"/>
        <v>5.0754000000000001</v>
      </c>
      <c r="CB172" s="580">
        <v>5.3053999999999997</v>
      </c>
      <c r="CC172" s="580">
        <v>4.8453999999999997</v>
      </c>
      <c r="CD172" s="364">
        <f t="shared" si="115"/>
        <v>2031</v>
      </c>
      <c r="CE172" s="381">
        <v>48183</v>
      </c>
      <c r="CF172" s="364">
        <f t="shared" si="100"/>
        <v>4.8841999999999999</v>
      </c>
      <c r="CG172" s="411">
        <v>4.6087999999999996</v>
      </c>
      <c r="CH172" s="411">
        <v>5.1596000000000002</v>
      </c>
      <c r="CI172" s="364">
        <f t="shared" si="116"/>
        <v>2033</v>
      </c>
      <c r="CJ172" s="381">
        <v>48914</v>
      </c>
      <c r="CK172" s="364">
        <f t="shared" si="101"/>
        <v>6.8132999999999999</v>
      </c>
      <c r="CL172" s="411">
        <v>6.8480999999999996</v>
      </c>
      <c r="CM172" s="411">
        <v>6.7785000000000002</v>
      </c>
    </row>
    <row r="173" spans="44:91">
      <c r="AR173">
        <f t="shared" si="107"/>
        <v>2018</v>
      </c>
      <c r="AS173" s="307">
        <f t="shared" si="98"/>
        <v>43344</v>
      </c>
      <c r="AT173" s="115">
        <v>78.430000000000007</v>
      </c>
      <c r="AU173" s="115">
        <v>65.8</v>
      </c>
      <c r="AV173" s="287">
        <f t="shared" si="111"/>
        <v>72.999099999999999</v>
      </c>
      <c r="AW173" s="271">
        <v>384</v>
      </c>
      <c r="AX173" s="271">
        <v>336</v>
      </c>
      <c r="AY173" s="271">
        <f t="shared" si="108"/>
        <v>0.53333333333333333</v>
      </c>
      <c r="AZ173" s="271">
        <f t="shared" si="109"/>
        <v>0.46666666666666667</v>
      </c>
      <c r="BD173">
        <f t="shared" si="112"/>
        <v>2018</v>
      </c>
      <c r="BE173" s="306">
        <f t="shared" si="117"/>
        <v>43344</v>
      </c>
      <c r="BF173" s="114">
        <f t="shared" si="110"/>
        <v>8.7949537792278392</v>
      </c>
      <c r="BG173" s="115">
        <v>8.7949537792278392</v>
      </c>
      <c r="BI173">
        <f t="shared" si="103"/>
        <v>2017</v>
      </c>
      <c r="BJ173" s="306">
        <v>42947</v>
      </c>
      <c r="BK173">
        <f t="shared" si="104"/>
        <v>4.9749999999999996</v>
      </c>
      <c r="BL173">
        <v>5.04</v>
      </c>
      <c r="BM173">
        <v>4.91</v>
      </c>
      <c r="BO173">
        <f t="shared" si="105"/>
        <v>2021</v>
      </c>
      <c r="BP173" s="286">
        <v>44348</v>
      </c>
      <c r="BQ173">
        <f t="shared" si="106"/>
        <v>11.100000000000001</v>
      </c>
      <c r="BR173">
        <v>11.21</v>
      </c>
      <c r="BS173">
        <v>10.99</v>
      </c>
      <c r="BT173">
        <f t="shared" si="113"/>
        <v>2027</v>
      </c>
      <c r="BU173" s="286">
        <v>46722</v>
      </c>
      <c r="BV173">
        <f t="shared" si="99"/>
        <v>4.9124999999999996</v>
      </c>
      <c r="BW173" s="580">
        <v>4.9325999999999999</v>
      </c>
      <c r="BX173" s="580">
        <v>4.8924000000000003</v>
      </c>
      <c r="BY173">
        <f t="shared" si="114"/>
        <v>2030</v>
      </c>
      <c r="BZ173" s="286">
        <v>47818</v>
      </c>
      <c r="CA173">
        <f t="shared" si="102"/>
        <v>5.3701500000000006</v>
      </c>
      <c r="CB173" s="580">
        <v>5.5643000000000002</v>
      </c>
      <c r="CC173" s="580">
        <v>5.1760000000000002</v>
      </c>
      <c r="CD173" s="364">
        <f t="shared" si="115"/>
        <v>2032</v>
      </c>
      <c r="CE173" s="381">
        <v>48214</v>
      </c>
      <c r="CF173" s="364">
        <f t="shared" si="100"/>
        <v>4.9817</v>
      </c>
      <c r="CG173" s="411">
        <v>4.6555</v>
      </c>
      <c r="CH173" s="411">
        <v>5.3079000000000001</v>
      </c>
      <c r="CI173" s="364">
        <f t="shared" si="116"/>
        <v>2034</v>
      </c>
      <c r="CJ173" s="381">
        <v>48945</v>
      </c>
      <c r="CK173" s="364">
        <f t="shared" si="101"/>
        <v>7.0001999999999995</v>
      </c>
      <c r="CL173" s="411">
        <v>7.0346000000000002</v>
      </c>
      <c r="CM173" s="411">
        <v>6.9657999999999998</v>
      </c>
    </row>
    <row r="174" spans="44:91">
      <c r="AR174">
        <f t="shared" si="107"/>
        <v>2018</v>
      </c>
      <c r="AS174" s="307">
        <f t="shared" ref="AS174:AS237" si="118">EOMONTH(AS173,0)+1</f>
        <v>43374</v>
      </c>
      <c r="AT174" s="115">
        <v>76</v>
      </c>
      <c r="AU174" s="115">
        <v>65.75</v>
      </c>
      <c r="AV174" s="287">
        <f t="shared" si="111"/>
        <v>71.592500000000001</v>
      </c>
      <c r="AW174" s="271">
        <v>432</v>
      </c>
      <c r="AX174" s="271">
        <v>312</v>
      </c>
      <c r="AY174" s="271">
        <f t="shared" si="108"/>
        <v>0.58064516129032262</v>
      </c>
      <c r="AZ174" s="271">
        <f t="shared" si="109"/>
        <v>0.41935483870967744</v>
      </c>
      <c r="BD174">
        <f t="shared" si="112"/>
        <v>2018</v>
      </c>
      <c r="BE174" s="306">
        <f t="shared" si="117"/>
        <v>43374</v>
      </c>
      <c r="BF174" s="114">
        <f t="shared" si="110"/>
        <v>9.1076237085372469</v>
      </c>
      <c r="BG174" s="115">
        <v>9.1076237085372469</v>
      </c>
      <c r="BI174">
        <f t="shared" si="103"/>
        <v>2017</v>
      </c>
      <c r="BJ174" s="306">
        <v>42978</v>
      </c>
      <c r="BK174">
        <f t="shared" si="104"/>
        <v>4.9749999999999996</v>
      </c>
      <c r="BL174">
        <v>5.04</v>
      </c>
      <c r="BM174">
        <v>4.91</v>
      </c>
      <c r="BO174">
        <f t="shared" si="105"/>
        <v>2021</v>
      </c>
      <c r="BP174" s="286">
        <v>44378</v>
      </c>
      <c r="BQ174">
        <f t="shared" si="106"/>
        <v>11.265000000000001</v>
      </c>
      <c r="BR174">
        <v>11.37</v>
      </c>
      <c r="BS174">
        <v>11.16</v>
      </c>
      <c r="BT174">
        <f t="shared" si="113"/>
        <v>2028</v>
      </c>
      <c r="BU174" s="286">
        <v>46753</v>
      </c>
      <c r="BV174">
        <f t="shared" si="99"/>
        <v>4.7876500000000002</v>
      </c>
      <c r="BW174" s="580">
        <v>4.7808000000000002</v>
      </c>
      <c r="BX174" s="580">
        <v>4.7945000000000002</v>
      </c>
      <c r="BY174">
        <f t="shared" si="114"/>
        <v>2031</v>
      </c>
      <c r="BZ174" s="286">
        <v>47849</v>
      </c>
      <c r="CA174">
        <f t="shared" si="102"/>
        <v>5.4275000000000002</v>
      </c>
      <c r="CB174" s="580">
        <v>5.6186999999999996</v>
      </c>
      <c r="CC174" s="580">
        <v>5.2363</v>
      </c>
      <c r="CD174" s="364">
        <f t="shared" si="115"/>
        <v>2032</v>
      </c>
      <c r="CE174" s="381">
        <v>48245</v>
      </c>
      <c r="CF174" s="364">
        <f t="shared" si="100"/>
        <v>4.4034999999999993</v>
      </c>
      <c r="CG174" s="411">
        <v>4.1810999999999998</v>
      </c>
      <c r="CH174" s="411">
        <v>4.6258999999999997</v>
      </c>
      <c r="CI174" s="364">
        <f t="shared" si="116"/>
        <v>2034</v>
      </c>
      <c r="CJ174" s="381">
        <v>48976</v>
      </c>
      <c r="CK174" s="364">
        <f t="shared" si="101"/>
        <v>6.5944500000000001</v>
      </c>
      <c r="CL174" s="411">
        <v>6.6176000000000004</v>
      </c>
      <c r="CM174" s="411">
        <v>6.5712999999999999</v>
      </c>
    </row>
    <row r="175" spans="44:91">
      <c r="AR175">
        <f t="shared" si="107"/>
        <v>2018</v>
      </c>
      <c r="AS175" s="307">
        <f t="shared" si="118"/>
        <v>43405</v>
      </c>
      <c r="AT175" s="115">
        <v>81.14</v>
      </c>
      <c r="AU175" s="115">
        <v>60.15</v>
      </c>
      <c r="AV175" s="287">
        <f t="shared" si="111"/>
        <v>72.114299999999986</v>
      </c>
      <c r="AW175" s="271">
        <v>400</v>
      </c>
      <c r="AX175" s="271">
        <v>320</v>
      </c>
      <c r="AY175" s="271">
        <f t="shared" si="108"/>
        <v>0.55555555555555558</v>
      </c>
      <c r="AZ175" s="271">
        <f t="shared" si="109"/>
        <v>0.44444444444444442</v>
      </c>
      <c r="BD175">
        <f t="shared" si="112"/>
        <v>2018</v>
      </c>
      <c r="BE175" s="306">
        <f t="shared" si="117"/>
        <v>43405</v>
      </c>
      <c r="BF175" s="114">
        <f t="shared" si="110"/>
        <v>9.236769983686786</v>
      </c>
      <c r="BG175" s="115">
        <v>9.236769983686786</v>
      </c>
      <c r="BI175">
        <f t="shared" si="103"/>
        <v>2017</v>
      </c>
      <c r="BJ175" s="306">
        <v>43008</v>
      </c>
      <c r="BK175">
        <f t="shared" si="104"/>
        <v>4.9749999999999996</v>
      </c>
      <c r="BL175">
        <v>5.04</v>
      </c>
      <c r="BM175">
        <v>4.91</v>
      </c>
      <c r="BO175">
        <f t="shared" si="105"/>
        <v>2021</v>
      </c>
      <c r="BP175" s="286">
        <v>44409</v>
      </c>
      <c r="BQ175">
        <f t="shared" si="106"/>
        <v>11.265000000000001</v>
      </c>
      <c r="BR175">
        <v>11.37</v>
      </c>
      <c r="BS175">
        <v>11.16</v>
      </c>
      <c r="BT175">
        <f t="shared" si="113"/>
        <v>2028</v>
      </c>
      <c r="BU175" s="286">
        <v>46784</v>
      </c>
      <c r="BV175">
        <f t="shared" si="99"/>
        <v>4.8219000000000003</v>
      </c>
      <c r="BW175" s="580">
        <v>4.8219000000000003</v>
      </c>
      <c r="BX175" s="580">
        <v>4.8219000000000003</v>
      </c>
      <c r="BY175">
        <f t="shared" si="114"/>
        <v>2031</v>
      </c>
      <c r="BZ175" s="286">
        <v>47880</v>
      </c>
      <c r="CA175">
        <f t="shared" si="102"/>
        <v>5.4569000000000001</v>
      </c>
      <c r="CB175" s="580">
        <v>5.6481000000000003</v>
      </c>
      <c r="CC175" s="580">
        <v>5.2656999999999998</v>
      </c>
      <c r="CD175" s="364">
        <f t="shared" si="115"/>
        <v>2032</v>
      </c>
      <c r="CE175" s="381">
        <v>48274</v>
      </c>
      <c r="CF175" s="364">
        <f t="shared" si="100"/>
        <v>4.0106000000000002</v>
      </c>
      <c r="CG175" s="411">
        <v>3.9439000000000002</v>
      </c>
      <c r="CH175" s="411">
        <v>4.0773000000000001</v>
      </c>
      <c r="CI175" s="364">
        <f t="shared" si="116"/>
        <v>2034</v>
      </c>
      <c r="CJ175" s="381">
        <v>49004</v>
      </c>
      <c r="CK175" s="364">
        <f t="shared" si="101"/>
        <v>5.6140999999999996</v>
      </c>
      <c r="CL175" s="411">
        <v>5.6140999999999996</v>
      </c>
      <c r="CM175" s="411">
        <v>5.6140999999999996</v>
      </c>
    </row>
    <row r="176" spans="44:91">
      <c r="AR176">
        <f t="shared" si="107"/>
        <v>2018</v>
      </c>
      <c r="AS176" s="307">
        <f t="shared" si="118"/>
        <v>43435</v>
      </c>
      <c r="AT176" s="115">
        <v>81.13</v>
      </c>
      <c r="AU176" s="115">
        <v>62.88</v>
      </c>
      <c r="AV176" s="287">
        <f t="shared" si="111"/>
        <v>73.282499999999999</v>
      </c>
      <c r="AW176" s="271">
        <v>400</v>
      </c>
      <c r="AX176" s="271">
        <v>344</v>
      </c>
      <c r="AY176" s="271">
        <f t="shared" si="108"/>
        <v>0.5376344086021505</v>
      </c>
      <c r="AZ176" s="271">
        <f t="shared" si="109"/>
        <v>0.46236559139784944</v>
      </c>
      <c r="BD176">
        <f t="shared" si="112"/>
        <v>2018</v>
      </c>
      <c r="BE176" s="306">
        <f t="shared" si="117"/>
        <v>43435</v>
      </c>
      <c r="BF176" s="114">
        <f t="shared" si="110"/>
        <v>9.6785861881457311</v>
      </c>
      <c r="BG176" s="115">
        <v>9.6785861881457311</v>
      </c>
      <c r="BI176">
        <f t="shared" si="103"/>
        <v>2017</v>
      </c>
      <c r="BJ176" s="306">
        <v>43039</v>
      </c>
      <c r="BK176">
        <f t="shared" si="104"/>
        <v>5.16</v>
      </c>
      <c r="BL176">
        <v>5.18</v>
      </c>
      <c r="BM176">
        <v>5.14</v>
      </c>
      <c r="BO176">
        <f t="shared" si="105"/>
        <v>2021</v>
      </c>
      <c r="BP176" s="286">
        <v>44440</v>
      </c>
      <c r="BQ176">
        <f t="shared" si="106"/>
        <v>11.265000000000001</v>
      </c>
      <c r="BR176">
        <v>11.37</v>
      </c>
      <c r="BS176">
        <v>11.16</v>
      </c>
      <c r="BT176">
        <f t="shared" si="113"/>
        <v>2028</v>
      </c>
      <c r="BU176" s="286">
        <v>46813</v>
      </c>
      <c r="BV176">
        <f t="shared" si="99"/>
        <v>4.6096000000000004</v>
      </c>
      <c r="BW176" s="580">
        <v>4.6574999999999998</v>
      </c>
      <c r="BX176" s="580">
        <v>4.5617000000000001</v>
      </c>
      <c r="BY176">
        <f t="shared" si="114"/>
        <v>2031</v>
      </c>
      <c r="BZ176" s="286">
        <v>47908</v>
      </c>
      <c r="CA176">
        <f t="shared" si="102"/>
        <v>5.2215500000000006</v>
      </c>
      <c r="CB176" s="580">
        <v>5.4127999999999998</v>
      </c>
      <c r="CC176" s="580">
        <v>5.0303000000000004</v>
      </c>
      <c r="CD176" s="364">
        <f t="shared" si="115"/>
        <v>2032</v>
      </c>
      <c r="CE176" s="381">
        <v>48305</v>
      </c>
      <c r="CF176" s="364">
        <f t="shared" si="100"/>
        <v>3.81785</v>
      </c>
      <c r="CG176" s="411">
        <v>3.7808000000000002</v>
      </c>
      <c r="CH176" s="411">
        <v>3.8549000000000002</v>
      </c>
      <c r="CI176" s="364">
        <f t="shared" si="116"/>
        <v>2034</v>
      </c>
      <c r="CJ176" s="381">
        <v>49035</v>
      </c>
      <c r="CK176" s="364">
        <f t="shared" si="101"/>
        <v>5.1879499999999998</v>
      </c>
      <c r="CL176" s="411">
        <v>5.1849999999999996</v>
      </c>
      <c r="CM176" s="411">
        <v>5.1909000000000001</v>
      </c>
    </row>
    <row r="177" spans="44:91">
      <c r="AR177">
        <f t="shared" si="107"/>
        <v>2019</v>
      </c>
      <c r="AS177" s="307">
        <f t="shared" si="118"/>
        <v>43466</v>
      </c>
      <c r="AT177" s="115">
        <v>92.72</v>
      </c>
      <c r="AU177" s="115">
        <v>78.819999999999993</v>
      </c>
      <c r="AV177" s="287">
        <f t="shared" si="111"/>
        <v>86.742999999999995</v>
      </c>
      <c r="AW177" s="271">
        <v>416</v>
      </c>
      <c r="AX177" s="271">
        <v>328</v>
      </c>
      <c r="AY177" s="271">
        <f t="shared" si="108"/>
        <v>0.55913978494623651</v>
      </c>
      <c r="AZ177" s="271">
        <f t="shared" si="109"/>
        <v>0.44086021505376344</v>
      </c>
      <c r="BD177">
        <f t="shared" si="112"/>
        <v>2019</v>
      </c>
      <c r="BE177" s="306">
        <f t="shared" si="117"/>
        <v>43466</v>
      </c>
      <c r="BF177" s="114">
        <f t="shared" si="110"/>
        <v>11.004034801522566</v>
      </c>
      <c r="BG177" s="115">
        <v>11.004034801522566</v>
      </c>
      <c r="BI177">
        <f t="shared" si="103"/>
        <v>2017</v>
      </c>
      <c r="BJ177" s="306">
        <v>43069</v>
      </c>
      <c r="BK177">
        <f t="shared" si="104"/>
        <v>5.24</v>
      </c>
      <c r="BL177">
        <v>5.26</v>
      </c>
      <c r="BM177">
        <v>5.22</v>
      </c>
      <c r="BO177">
        <f t="shared" si="105"/>
        <v>2021</v>
      </c>
      <c r="BP177" s="286">
        <v>44470</v>
      </c>
      <c r="BQ177">
        <f t="shared" si="106"/>
        <v>11.695</v>
      </c>
      <c r="BR177">
        <v>11.71</v>
      </c>
      <c r="BS177">
        <v>11.68</v>
      </c>
      <c r="BT177">
        <f t="shared" si="113"/>
        <v>2028</v>
      </c>
      <c r="BU177" s="286">
        <v>46844</v>
      </c>
      <c r="BV177">
        <f t="shared" si="99"/>
        <v>4.4589499999999997</v>
      </c>
      <c r="BW177" s="580">
        <v>4.5068999999999999</v>
      </c>
      <c r="BX177" s="580">
        <v>4.4109999999999996</v>
      </c>
      <c r="BY177">
        <f t="shared" si="114"/>
        <v>2031</v>
      </c>
      <c r="BZ177" s="286">
        <v>47939</v>
      </c>
      <c r="CA177">
        <f t="shared" si="102"/>
        <v>4.7876500000000002</v>
      </c>
      <c r="CB177" s="580">
        <v>4.9862000000000002</v>
      </c>
      <c r="CC177" s="580">
        <v>4.5891000000000002</v>
      </c>
      <c r="CD177" s="364">
        <f t="shared" si="115"/>
        <v>2032</v>
      </c>
      <c r="CE177" s="381">
        <v>48335</v>
      </c>
      <c r="CF177" s="364">
        <f t="shared" si="100"/>
        <v>3.6992500000000001</v>
      </c>
      <c r="CG177" s="411">
        <v>3.7363</v>
      </c>
      <c r="CH177" s="411">
        <v>3.6621999999999999</v>
      </c>
      <c r="CI177" s="364">
        <f t="shared" si="116"/>
        <v>2034</v>
      </c>
      <c r="CJ177" s="381">
        <v>49065</v>
      </c>
      <c r="CK177" s="364">
        <f t="shared" si="101"/>
        <v>5.1568000000000005</v>
      </c>
      <c r="CL177" s="411">
        <v>5.2134</v>
      </c>
      <c r="CM177" s="411">
        <v>5.1002000000000001</v>
      </c>
    </row>
    <row r="178" spans="44:91">
      <c r="AR178">
        <f t="shared" si="107"/>
        <v>2019</v>
      </c>
      <c r="AS178" s="307">
        <f t="shared" si="118"/>
        <v>43497</v>
      </c>
      <c r="AT178" s="115">
        <v>83.94</v>
      </c>
      <c r="AU178" s="115">
        <v>72.39</v>
      </c>
      <c r="AV178" s="287">
        <f t="shared" si="111"/>
        <v>78.973500000000001</v>
      </c>
      <c r="AW178" s="271">
        <v>384</v>
      </c>
      <c r="AX178" s="271">
        <v>288</v>
      </c>
      <c r="AY178" s="271">
        <f t="shared" si="108"/>
        <v>0.5714285714285714</v>
      </c>
      <c r="AZ178" s="271">
        <f t="shared" si="109"/>
        <v>0.42857142857142855</v>
      </c>
      <c r="BD178">
        <f t="shared" si="112"/>
        <v>2019</v>
      </c>
      <c r="BE178" s="306">
        <f t="shared" si="117"/>
        <v>43497</v>
      </c>
      <c r="BF178" s="114">
        <f t="shared" si="110"/>
        <v>10.341310494834149</v>
      </c>
      <c r="BG178" s="115">
        <v>10.341310494834149</v>
      </c>
      <c r="BI178">
        <f t="shared" si="103"/>
        <v>2017</v>
      </c>
      <c r="BJ178" s="306">
        <v>43100</v>
      </c>
      <c r="BK178">
        <f t="shared" si="104"/>
        <v>5.5</v>
      </c>
      <c r="BL178">
        <v>5.48</v>
      </c>
      <c r="BM178">
        <v>5.52</v>
      </c>
      <c r="BO178">
        <f t="shared" si="105"/>
        <v>2021</v>
      </c>
      <c r="BP178" s="286">
        <v>44501</v>
      </c>
      <c r="BQ178">
        <f t="shared" si="106"/>
        <v>11.865</v>
      </c>
      <c r="BR178">
        <v>11.88</v>
      </c>
      <c r="BS178">
        <v>11.85</v>
      </c>
      <c r="BT178">
        <f t="shared" si="113"/>
        <v>2028</v>
      </c>
      <c r="BU178" s="286">
        <v>46874</v>
      </c>
      <c r="BV178">
        <f t="shared" si="99"/>
        <v>4.3493499999999994</v>
      </c>
      <c r="BW178" s="580">
        <v>4.4520999999999997</v>
      </c>
      <c r="BX178" s="580">
        <v>4.2465999999999999</v>
      </c>
      <c r="BY178">
        <f t="shared" si="114"/>
        <v>2031</v>
      </c>
      <c r="BZ178" s="286">
        <v>47969</v>
      </c>
      <c r="CA178">
        <f t="shared" si="102"/>
        <v>4.8096999999999994</v>
      </c>
      <c r="CB178" s="580">
        <v>5.0008999999999997</v>
      </c>
      <c r="CC178" s="580">
        <v>4.6185</v>
      </c>
      <c r="CD178" s="364">
        <f t="shared" si="115"/>
        <v>2032</v>
      </c>
      <c r="CE178" s="381">
        <v>48366</v>
      </c>
      <c r="CF178" s="364">
        <f t="shared" si="100"/>
        <v>3.6992000000000003</v>
      </c>
      <c r="CG178" s="411">
        <v>3.7065999999999999</v>
      </c>
      <c r="CH178" s="411">
        <v>3.6918000000000002</v>
      </c>
      <c r="CI178" s="364">
        <f t="shared" si="116"/>
        <v>2034</v>
      </c>
      <c r="CJ178" s="381">
        <v>49096</v>
      </c>
      <c r="CK178" s="364">
        <f t="shared" si="101"/>
        <v>5.1760000000000002</v>
      </c>
      <c r="CL178" s="411">
        <v>5.3015999999999996</v>
      </c>
      <c r="CM178" s="411">
        <v>5.0503999999999998</v>
      </c>
    </row>
    <row r="179" spans="44:91">
      <c r="AR179">
        <f t="shared" si="107"/>
        <v>2019</v>
      </c>
      <c r="AS179" s="307">
        <f t="shared" si="118"/>
        <v>43525</v>
      </c>
      <c r="AT179" s="115">
        <v>77.650000000000006</v>
      </c>
      <c r="AU179" s="115">
        <v>70.63</v>
      </c>
      <c r="AV179" s="287">
        <f t="shared" si="111"/>
        <v>74.631399999999999</v>
      </c>
      <c r="AW179" s="271">
        <v>416</v>
      </c>
      <c r="AX179" s="271">
        <v>328</v>
      </c>
      <c r="AY179" s="271">
        <f t="shared" si="108"/>
        <v>0.55913978494623651</v>
      </c>
      <c r="AZ179" s="271">
        <f t="shared" si="109"/>
        <v>0.44086021505376344</v>
      </c>
      <c r="BD179">
        <f t="shared" si="112"/>
        <v>2019</v>
      </c>
      <c r="BE179" s="306">
        <f t="shared" si="117"/>
        <v>43525</v>
      </c>
      <c r="BF179" s="114">
        <f t="shared" si="110"/>
        <v>9.7261663947797707</v>
      </c>
      <c r="BG179" s="115">
        <v>9.7261663947797707</v>
      </c>
      <c r="BI179">
        <f t="shared" si="103"/>
        <v>2018</v>
      </c>
      <c r="BJ179" s="306">
        <v>43131</v>
      </c>
      <c r="BK179">
        <f t="shared" si="104"/>
        <v>6.1050000000000004</v>
      </c>
      <c r="BL179">
        <v>6.04</v>
      </c>
      <c r="BM179">
        <v>6.17</v>
      </c>
      <c r="BO179">
        <f t="shared" si="105"/>
        <v>2021</v>
      </c>
      <c r="BP179" s="286">
        <v>44531</v>
      </c>
      <c r="BQ179">
        <f t="shared" si="106"/>
        <v>12.455</v>
      </c>
      <c r="BR179">
        <v>12.38</v>
      </c>
      <c r="BS179">
        <v>12.53</v>
      </c>
      <c r="BT179">
        <f t="shared" si="113"/>
        <v>2028</v>
      </c>
      <c r="BU179" s="286">
        <v>46905</v>
      </c>
      <c r="BV179">
        <f t="shared" si="99"/>
        <v>4.3561999999999994</v>
      </c>
      <c r="BW179" s="580">
        <v>4.4383999999999997</v>
      </c>
      <c r="BX179" s="580">
        <v>4.274</v>
      </c>
      <c r="BY179">
        <f t="shared" si="114"/>
        <v>2031</v>
      </c>
      <c r="BZ179" s="286">
        <v>48000</v>
      </c>
      <c r="CA179">
        <f t="shared" si="102"/>
        <v>4.8317500000000004</v>
      </c>
      <c r="CB179" s="580">
        <v>5.0303000000000004</v>
      </c>
      <c r="CC179" s="580">
        <v>4.6332000000000004</v>
      </c>
      <c r="CD179" s="364">
        <f t="shared" si="115"/>
        <v>2032</v>
      </c>
      <c r="CE179" s="381">
        <v>48396</v>
      </c>
      <c r="CF179" s="364">
        <f t="shared" si="100"/>
        <v>3.7733500000000002</v>
      </c>
      <c r="CG179" s="411">
        <v>3.8549000000000002</v>
      </c>
      <c r="CH179" s="411">
        <v>3.6918000000000002</v>
      </c>
      <c r="CI179" s="364">
        <f t="shared" si="116"/>
        <v>2034</v>
      </c>
      <c r="CJ179" s="381">
        <v>49126</v>
      </c>
      <c r="CK179" s="364">
        <f t="shared" si="101"/>
        <v>5.4193999999999996</v>
      </c>
      <c r="CL179" s="411">
        <v>5.6429999999999998</v>
      </c>
      <c r="CM179" s="411">
        <v>5.1958000000000002</v>
      </c>
    </row>
    <row r="180" spans="44:91">
      <c r="AR180">
        <f t="shared" si="107"/>
        <v>2019</v>
      </c>
      <c r="AS180" s="307">
        <f t="shared" si="118"/>
        <v>43556</v>
      </c>
      <c r="AT180" s="115">
        <v>78.900000000000006</v>
      </c>
      <c r="AU180" s="115">
        <v>68.09</v>
      </c>
      <c r="AV180" s="287">
        <f t="shared" si="111"/>
        <v>74.2517</v>
      </c>
      <c r="AW180" s="271">
        <v>416</v>
      </c>
      <c r="AX180" s="271">
        <v>304</v>
      </c>
      <c r="AY180" s="271">
        <f t="shared" si="108"/>
        <v>0.57777777777777772</v>
      </c>
      <c r="AZ180" s="271">
        <f t="shared" si="109"/>
        <v>0.42222222222222222</v>
      </c>
      <c r="BD180">
        <f t="shared" si="112"/>
        <v>2019</v>
      </c>
      <c r="BE180" s="306">
        <f t="shared" si="117"/>
        <v>43556</v>
      </c>
      <c r="BF180" s="114">
        <f t="shared" si="110"/>
        <v>9.2061827079934737</v>
      </c>
      <c r="BG180" s="115">
        <v>9.2061827079934737</v>
      </c>
      <c r="BI180">
        <f t="shared" si="103"/>
        <v>2018</v>
      </c>
      <c r="BJ180" s="306">
        <v>43159</v>
      </c>
      <c r="BK180">
        <f t="shared" si="104"/>
        <v>5.68</v>
      </c>
      <c r="BL180">
        <v>5.66</v>
      </c>
      <c r="BM180">
        <v>5.7</v>
      </c>
      <c r="BO180">
        <f t="shared" si="105"/>
        <v>2022</v>
      </c>
      <c r="BP180" s="286">
        <v>44562</v>
      </c>
      <c r="BQ180">
        <f t="shared" si="106"/>
        <v>13.64</v>
      </c>
      <c r="BR180">
        <v>13.46</v>
      </c>
      <c r="BS180">
        <v>13.82</v>
      </c>
      <c r="BT180">
        <f t="shared" si="113"/>
        <v>2028</v>
      </c>
      <c r="BU180" s="286">
        <v>46935</v>
      </c>
      <c r="BV180">
        <f t="shared" si="99"/>
        <v>4.4109999999999996</v>
      </c>
      <c r="BW180" s="580">
        <v>4.4931999999999999</v>
      </c>
      <c r="BX180" s="580">
        <v>4.3288000000000002</v>
      </c>
      <c r="BY180">
        <f t="shared" si="114"/>
        <v>2031</v>
      </c>
      <c r="BZ180" s="286">
        <v>48030</v>
      </c>
      <c r="CA180">
        <f t="shared" si="102"/>
        <v>4.9935499999999999</v>
      </c>
      <c r="CB180" s="580">
        <v>5.1773999999999996</v>
      </c>
      <c r="CC180" s="580">
        <v>4.8097000000000003</v>
      </c>
      <c r="CD180" s="364">
        <f t="shared" si="115"/>
        <v>2032</v>
      </c>
      <c r="CE180" s="381">
        <v>48427</v>
      </c>
      <c r="CF180" s="364">
        <f t="shared" si="100"/>
        <v>3.8474500000000003</v>
      </c>
      <c r="CG180" s="411">
        <v>3.9883000000000002</v>
      </c>
      <c r="CH180" s="411">
        <v>3.7065999999999999</v>
      </c>
      <c r="CI180" s="364">
        <f t="shared" si="116"/>
        <v>2034</v>
      </c>
      <c r="CJ180" s="381">
        <v>49157</v>
      </c>
      <c r="CK180" s="364">
        <f t="shared" si="101"/>
        <v>5.8894000000000002</v>
      </c>
      <c r="CL180" s="411">
        <v>6.0689000000000002</v>
      </c>
      <c r="CM180" s="411">
        <v>5.7099000000000002</v>
      </c>
    </row>
    <row r="181" spans="44:91">
      <c r="AR181">
        <f t="shared" si="107"/>
        <v>2019</v>
      </c>
      <c r="AS181" s="307">
        <f t="shared" si="118"/>
        <v>43586</v>
      </c>
      <c r="AT181" s="115">
        <v>80.52</v>
      </c>
      <c r="AU181" s="115">
        <v>64.7</v>
      </c>
      <c r="AV181" s="287">
        <f t="shared" si="111"/>
        <v>73.717399999999998</v>
      </c>
      <c r="AW181" s="271">
        <v>416</v>
      </c>
      <c r="AX181" s="271">
        <v>328</v>
      </c>
      <c r="AY181" s="271">
        <f t="shared" si="108"/>
        <v>0.55913978494623651</v>
      </c>
      <c r="AZ181" s="271">
        <f t="shared" si="109"/>
        <v>0.44086021505376344</v>
      </c>
      <c r="BD181">
        <f t="shared" si="112"/>
        <v>2019</v>
      </c>
      <c r="BE181" s="306">
        <f t="shared" si="117"/>
        <v>43586</v>
      </c>
      <c r="BF181" s="114">
        <f t="shared" si="110"/>
        <v>9.1110222947253927</v>
      </c>
      <c r="BG181" s="115">
        <v>9.1110222947253927</v>
      </c>
      <c r="BI181">
        <f t="shared" si="103"/>
        <v>2018</v>
      </c>
      <c r="BJ181" s="306">
        <v>43190</v>
      </c>
      <c r="BK181">
        <f t="shared" si="104"/>
        <v>5.335</v>
      </c>
      <c r="BL181">
        <v>5.36</v>
      </c>
      <c r="BM181">
        <v>5.31</v>
      </c>
      <c r="BO181">
        <f t="shared" si="105"/>
        <v>2022</v>
      </c>
      <c r="BP181" s="286">
        <v>44593</v>
      </c>
      <c r="BQ181">
        <f t="shared" si="106"/>
        <v>12.69</v>
      </c>
      <c r="BR181">
        <v>12.61</v>
      </c>
      <c r="BS181">
        <v>12.77</v>
      </c>
      <c r="BT181">
        <f t="shared" si="113"/>
        <v>2028</v>
      </c>
      <c r="BU181" s="286">
        <v>46966</v>
      </c>
      <c r="BV181">
        <f t="shared" si="99"/>
        <v>4.5343</v>
      </c>
      <c r="BW181" s="580">
        <v>4.5617000000000001</v>
      </c>
      <c r="BX181" s="580">
        <v>4.5068999999999999</v>
      </c>
      <c r="BY181">
        <f t="shared" si="114"/>
        <v>2031</v>
      </c>
      <c r="BZ181" s="286">
        <v>48061</v>
      </c>
      <c r="CA181">
        <f t="shared" si="102"/>
        <v>5.0450499999999998</v>
      </c>
      <c r="CB181" s="580">
        <v>5.2215999999999996</v>
      </c>
      <c r="CC181" s="580">
        <v>4.8685</v>
      </c>
      <c r="CD181" s="364">
        <f t="shared" si="115"/>
        <v>2032</v>
      </c>
      <c r="CE181" s="381">
        <v>48458</v>
      </c>
      <c r="CF181" s="364">
        <f t="shared" si="100"/>
        <v>3.7807999999999997</v>
      </c>
      <c r="CG181" s="411">
        <v>4.0031999999999996</v>
      </c>
      <c r="CH181" s="411">
        <v>3.5583999999999998</v>
      </c>
      <c r="CI181" s="364">
        <f t="shared" si="116"/>
        <v>2034</v>
      </c>
      <c r="CJ181" s="381">
        <v>49188</v>
      </c>
      <c r="CK181" s="364">
        <f t="shared" si="101"/>
        <v>5.9476499999999994</v>
      </c>
      <c r="CL181" s="411">
        <v>6.1284000000000001</v>
      </c>
      <c r="CM181" s="411">
        <v>5.7668999999999997</v>
      </c>
    </row>
    <row r="182" spans="44:91">
      <c r="AR182">
        <f t="shared" si="107"/>
        <v>2019</v>
      </c>
      <c r="AS182" s="307">
        <f t="shared" si="118"/>
        <v>43617</v>
      </c>
      <c r="AT182" s="115">
        <v>84.14</v>
      </c>
      <c r="AU182" s="115">
        <v>62.89</v>
      </c>
      <c r="AV182" s="287">
        <f t="shared" si="111"/>
        <v>75.002499999999998</v>
      </c>
      <c r="AW182" s="271">
        <v>400</v>
      </c>
      <c r="AX182" s="271">
        <v>320</v>
      </c>
      <c r="AY182" s="271">
        <f t="shared" si="108"/>
        <v>0.55555555555555558</v>
      </c>
      <c r="AZ182" s="271">
        <f t="shared" si="109"/>
        <v>0.44444444444444442</v>
      </c>
      <c r="BD182">
        <f t="shared" si="112"/>
        <v>2019</v>
      </c>
      <c r="BE182" s="306">
        <f t="shared" si="117"/>
        <v>43617</v>
      </c>
      <c r="BF182" s="114">
        <f t="shared" si="110"/>
        <v>9.2537629146275151</v>
      </c>
      <c r="BG182" s="115">
        <v>9.2537629146275151</v>
      </c>
      <c r="BI182">
        <f t="shared" si="103"/>
        <v>2018</v>
      </c>
      <c r="BJ182" s="306">
        <v>43220</v>
      </c>
      <c r="BK182">
        <f t="shared" si="104"/>
        <v>4.9849999999999994</v>
      </c>
      <c r="BL182">
        <v>5.05</v>
      </c>
      <c r="BM182">
        <v>4.92</v>
      </c>
      <c r="BO182">
        <f t="shared" si="105"/>
        <v>2022</v>
      </c>
      <c r="BP182" s="286">
        <v>44621</v>
      </c>
      <c r="BQ182">
        <f t="shared" si="106"/>
        <v>11.914999999999999</v>
      </c>
      <c r="BR182">
        <v>11.93</v>
      </c>
      <c r="BS182">
        <v>11.9</v>
      </c>
      <c r="BT182">
        <f t="shared" si="113"/>
        <v>2028</v>
      </c>
      <c r="BU182" s="286">
        <v>46997</v>
      </c>
      <c r="BV182">
        <f t="shared" si="99"/>
        <v>4.5343</v>
      </c>
      <c r="BW182" s="580">
        <v>4.548</v>
      </c>
      <c r="BX182" s="580">
        <v>4.5206</v>
      </c>
      <c r="BY182">
        <f t="shared" si="114"/>
        <v>2031</v>
      </c>
      <c r="BZ182" s="286">
        <v>48092</v>
      </c>
      <c r="CA182">
        <f t="shared" si="102"/>
        <v>4.9935999999999998</v>
      </c>
      <c r="CB182" s="580">
        <v>5.2215999999999996</v>
      </c>
      <c r="CC182" s="580">
        <v>4.7656000000000001</v>
      </c>
      <c r="CD182" s="364">
        <f t="shared" si="115"/>
        <v>2032</v>
      </c>
      <c r="CE182" s="381">
        <v>48488</v>
      </c>
      <c r="CF182" s="364">
        <f t="shared" si="100"/>
        <v>4.1218000000000004</v>
      </c>
      <c r="CG182" s="411">
        <v>4.1070000000000002</v>
      </c>
      <c r="CH182" s="411">
        <v>4.1365999999999996</v>
      </c>
      <c r="CI182" s="364">
        <f t="shared" si="116"/>
        <v>2034</v>
      </c>
      <c r="CJ182" s="381">
        <v>49218</v>
      </c>
      <c r="CK182" s="364">
        <f t="shared" si="101"/>
        <v>6.1054500000000003</v>
      </c>
      <c r="CL182" s="411">
        <v>6.1657000000000002</v>
      </c>
      <c r="CM182" s="411">
        <v>6.0452000000000004</v>
      </c>
    </row>
    <row r="183" spans="44:91">
      <c r="AR183">
        <f t="shared" si="107"/>
        <v>2019</v>
      </c>
      <c r="AS183" s="307">
        <f t="shared" si="118"/>
        <v>43647</v>
      </c>
      <c r="AT183" s="115">
        <v>85.02</v>
      </c>
      <c r="AU183" s="115">
        <v>71.39</v>
      </c>
      <c r="AV183" s="287">
        <f t="shared" si="111"/>
        <v>79.159099999999995</v>
      </c>
      <c r="AW183" s="271">
        <v>416</v>
      </c>
      <c r="AX183" s="271">
        <v>328</v>
      </c>
      <c r="AY183" s="271">
        <f t="shared" si="108"/>
        <v>0.55913978494623651</v>
      </c>
      <c r="AZ183" s="271">
        <f t="shared" si="109"/>
        <v>0.44086021505376344</v>
      </c>
      <c r="BD183">
        <f t="shared" si="112"/>
        <v>2019</v>
      </c>
      <c r="BE183" s="306">
        <f t="shared" si="117"/>
        <v>43647</v>
      </c>
      <c r="BF183" s="114">
        <f t="shared" si="110"/>
        <v>9.3965035345296339</v>
      </c>
      <c r="BG183" s="115">
        <v>9.3965035345296339</v>
      </c>
      <c r="BI183">
        <f t="shared" si="103"/>
        <v>2018</v>
      </c>
      <c r="BJ183" s="306">
        <v>43251</v>
      </c>
      <c r="BK183">
        <f t="shared" si="104"/>
        <v>4.9849999999999994</v>
      </c>
      <c r="BL183">
        <v>5.05</v>
      </c>
      <c r="BM183">
        <v>4.92</v>
      </c>
      <c r="BO183">
        <f t="shared" si="105"/>
        <v>2022</v>
      </c>
      <c r="BP183" s="286">
        <v>44652</v>
      </c>
      <c r="BQ183">
        <f t="shared" si="106"/>
        <v>11.135</v>
      </c>
      <c r="BR183">
        <v>11.25</v>
      </c>
      <c r="BS183">
        <v>11.02</v>
      </c>
      <c r="BT183">
        <f t="shared" si="113"/>
        <v>2028</v>
      </c>
      <c r="BU183" s="286">
        <v>47027</v>
      </c>
      <c r="BV183">
        <f t="shared" si="99"/>
        <v>4.6027500000000003</v>
      </c>
      <c r="BW183" s="580">
        <v>4.6163999999999996</v>
      </c>
      <c r="BX183" s="580">
        <v>4.5891000000000002</v>
      </c>
      <c r="BY183">
        <f t="shared" si="114"/>
        <v>2031</v>
      </c>
      <c r="BZ183" s="286">
        <v>48122</v>
      </c>
      <c r="CA183">
        <f t="shared" si="102"/>
        <v>5.0524000000000004</v>
      </c>
      <c r="CB183" s="580">
        <v>5.2804000000000002</v>
      </c>
      <c r="CC183" s="580">
        <v>4.8243999999999998</v>
      </c>
      <c r="CD183" s="364">
        <f t="shared" si="115"/>
        <v>2032</v>
      </c>
      <c r="CE183" s="381">
        <v>48519</v>
      </c>
      <c r="CF183" s="364">
        <f t="shared" si="100"/>
        <v>4.7222500000000007</v>
      </c>
      <c r="CG183" s="411">
        <v>4.5666000000000002</v>
      </c>
      <c r="CH183" s="411">
        <v>4.8779000000000003</v>
      </c>
      <c r="CI183" s="364">
        <f t="shared" si="116"/>
        <v>2034</v>
      </c>
      <c r="CJ183" s="381">
        <v>49249</v>
      </c>
      <c r="CK183" s="364">
        <f t="shared" si="101"/>
        <v>6.6766500000000004</v>
      </c>
      <c r="CL183" s="411">
        <v>6.6755000000000004</v>
      </c>
      <c r="CM183" s="411">
        <v>6.6778000000000004</v>
      </c>
    </row>
    <row r="184" spans="44:91">
      <c r="AR184">
        <f t="shared" si="107"/>
        <v>2019</v>
      </c>
      <c r="AS184" s="307">
        <f t="shared" si="118"/>
        <v>43678</v>
      </c>
      <c r="AT184" s="115">
        <v>96.57</v>
      </c>
      <c r="AU184" s="115">
        <v>73.39</v>
      </c>
      <c r="AV184" s="287">
        <f t="shared" si="111"/>
        <v>86.602599999999995</v>
      </c>
      <c r="AW184" s="271">
        <v>432</v>
      </c>
      <c r="AX184" s="271">
        <v>312</v>
      </c>
      <c r="AY184" s="271">
        <f t="shared" si="108"/>
        <v>0.58064516129032262</v>
      </c>
      <c r="AZ184" s="271">
        <f t="shared" si="109"/>
        <v>0.41935483870967744</v>
      </c>
      <c r="BD184">
        <f t="shared" si="112"/>
        <v>2019</v>
      </c>
      <c r="BE184" s="306">
        <f t="shared" si="117"/>
        <v>43678</v>
      </c>
      <c r="BF184" s="114">
        <f t="shared" si="110"/>
        <v>9.3965035345296339</v>
      </c>
      <c r="BG184" s="115">
        <v>9.3965035345296339</v>
      </c>
      <c r="BI184">
        <f t="shared" si="103"/>
        <v>2018</v>
      </c>
      <c r="BJ184" s="306">
        <v>43281</v>
      </c>
      <c r="BK184">
        <f t="shared" si="104"/>
        <v>5.0649999999999995</v>
      </c>
      <c r="BL184">
        <v>5.13</v>
      </c>
      <c r="BM184">
        <v>5</v>
      </c>
      <c r="BO184">
        <f t="shared" si="105"/>
        <v>2022</v>
      </c>
      <c r="BP184" s="286">
        <v>44682</v>
      </c>
      <c r="BQ184">
        <f t="shared" si="106"/>
        <v>11.135</v>
      </c>
      <c r="BR184">
        <v>11.25</v>
      </c>
      <c r="BS184">
        <v>11.02</v>
      </c>
      <c r="BT184">
        <f t="shared" si="113"/>
        <v>2028</v>
      </c>
      <c r="BU184" s="286">
        <v>47058</v>
      </c>
      <c r="BV184">
        <f t="shared" si="99"/>
        <v>4.8356000000000003</v>
      </c>
      <c r="BW184" s="580">
        <v>4.8356000000000003</v>
      </c>
      <c r="BX184" s="580">
        <v>4.8356000000000003</v>
      </c>
      <c r="BY184">
        <f t="shared" si="114"/>
        <v>2031</v>
      </c>
      <c r="BZ184" s="286">
        <v>48153</v>
      </c>
      <c r="CA184">
        <f t="shared" si="102"/>
        <v>5.2435999999999998</v>
      </c>
      <c r="CB184" s="580">
        <v>5.4863</v>
      </c>
      <c r="CC184" s="580">
        <v>5.0008999999999997</v>
      </c>
      <c r="CD184" s="364">
        <f t="shared" si="115"/>
        <v>2032</v>
      </c>
      <c r="CE184" s="381">
        <v>48549</v>
      </c>
      <c r="CF184" s="364">
        <f t="shared" si="100"/>
        <v>5.1892499999999995</v>
      </c>
      <c r="CG184" s="411">
        <v>4.9371999999999998</v>
      </c>
      <c r="CH184" s="411">
        <v>5.4413</v>
      </c>
      <c r="CI184" s="364">
        <f t="shared" si="116"/>
        <v>2034</v>
      </c>
      <c r="CJ184" s="381">
        <v>49279</v>
      </c>
      <c r="CK184" s="364">
        <f t="shared" si="101"/>
        <v>6.9268999999999998</v>
      </c>
      <c r="CL184" s="411">
        <v>6.9531000000000001</v>
      </c>
      <c r="CM184" s="411">
        <v>6.9006999999999996</v>
      </c>
    </row>
    <row r="185" spans="44:91">
      <c r="AR185">
        <f t="shared" si="107"/>
        <v>2019</v>
      </c>
      <c r="AS185" s="307">
        <f t="shared" si="118"/>
        <v>43709</v>
      </c>
      <c r="AT185" s="115">
        <v>84.98</v>
      </c>
      <c r="AU185" s="115">
        <v>71.78</v>
      </c>
      <c r="AV185" s="287">
        <f t="shared" si="111"/>
        <v>79.304000000000002</v>
      </c>
      <c r="AW185" s="271">
        <v>384</v>
      </c>
      <c r="AX185" s="271">
        <v>336</v>
      </c>
      <c r="AY185" s="271">
        <f t="shared" si="108"/>
        <v>0.53333333333333333</v>
      </c>
      <c r="AZ185" s="271">
        <f t="shared" si="109"/>
        <v>0.46666666666666667</v>
      </c>
      <c r="BD185">
        <f t="shared" si="112"/>
        <v>2019</v>
      </c>
      <c r="BE185" s="306">
        <f t="shared" si="117"/>
        <v>43709</v>
      </c>
      <c r="BF185" s="114">
        <f t="shared" si="110"/>
        <v>9.3965035345296339</v>
      </c>
      <c r="BG185" s="115">
        <v>9.3965035345296339</v>
      </c>
      <c r="BI185">
        <f t="shared" si="103"/>
        <v>2018</v>
      </c>
      <c r="BJ185" s="306">
        <v>43312</v>
      </c>
      <c r="BK185">
        <f t="shared" si="104"/>
        <v>5.1400000000000006</v>
      </c>
      <c r="BL185">
        <v>5.2</v>
      </c>
      <c r="BM185">
        <v>5.08</v>
      </c>
      <c r="BO185">
        <f t="shared" si="105"/>
        <v>2022</v>
      </c>
      <c r="BP185" s="286">
        <v>44713</v>
      </c>
      <c r="BQ185">
        <f t="shared" si="106"/>
        <v>11.309999999999999</v>
      </c>
      <c r="BR185">
        <v>11.42</v>
      </c>
      <c r="BS185">
        <v>11.2</v>
      </c>
      <c r="BT185">
        <f t="shared" si="113"/>
        <v>2028</v>
      </c>
      <c r="BU185" s="286">
        <v>47088</v>
      </c>
      <c r="BV185">
        <f t="shared" si="99"/>
        <v>5.0616500000000002</v>
      </c>
      <c r="BW185" s="580">
        <v>5.0548000000000002</v>
      </c>
      <c r="BX185" s="580">
        <v>5.0685000000000002</v>
      </c>
      <c r="BY185">
        <f t="shared" si="114"/>
        <v>2031</v>
      </c>
      <c r="BZ185" s="286">
        <v>48183</v>
      </c>
      <c r="CA185">
        <f t="shared" si="102"/>
        <v>5.5892999999999997</v>
      </c>
      <c r="CB185" s="580">
        <v>5.7805</v>
      </c>
      <c r="CC185" s="580">
        <v>5.3981000000000003</v>
      </c>
      <c r="CD185" s="364">
        <f t="shared" si="115"/>
        <v>2033</v>
      </c>
      <c r="CE185" s="381">
        <v>48580</v>
      </c>
      <c r="CF185" s="364">
        <f t="shared" si="100"/>
        <v>5.2934999999999999</v>
      </c>
      <c r="CG185" s="411">
        <v>5.0053000000000001</v>
      </c>
      <c r="CH185" s="411">
        <v>5.5816999999999997</v>
      </c>
      <c r="CI185" s="364">
        <f t="shared" si="116"/>
        <v>2035</v>
      </c>
      <c r="CJ185" s="381">
        <v>49310</v>
      </c>
      <c r="CK185" s="364">
        <f t="shared" si="101"/>
        <v>7.2814499999999995</v>
      </c>
      <c r="CL185" s="411">
        <v>7.3181000000000003</v>
      </c>
      <c r="CM185" s="411">
        <v>7.2447999999999997</v>
      </c>
    </row>
    <row r="186" spans="44:91">
      <c r="AR186">
        <f t="shared" si="107"/>
        <v>2019</v>
      </c>
      <c r="AS186" s="307">
        <f t="shared" si="118"/>
        <v>43739</v>
      </c>
      <c r="AT186" s="115">
        <v>81.56</v>
      </c>
      <c r="AU186" s="115">
        <v>73.36</v>
      </c>
      <c r="AV186" s="287">
        <f t="shared" si="111"/>
        <v>78.033999999999992</v>
      </c>
      <c r="AW186" s="271">
        <v>432</v>
      </c>
      <c r="AX186" s="271">
        <v>312</v>
      </c>
      <c r="AY186" s="271">
        <f t="shared" si="108"/>
        <v>0.58064516129032262</v>
      </c>
      <c r="AZ186" s="271">
        <f t="shared" si="109"/>
        <v>0.41935483870967744</v>
      </c>
      <c r="BD186">
        <f t="shared" si="112"/>
        <v>2019</v>
      </c>
      <c r="BE186" s="306">
        <f t="shared" si="117"/>
        <v>43739</v>
      </c>
      <c r="BF186" s="114">
        <f t="shared" si="110"/>
        <v>9.7261663947797707</v>
      </c>
      <c r="BG186" s="115">
        <v>9.7261663947797707</v>
      </c>
      <c r="BI186">
        <f t="shared" si="103"/>
        <v>2018</v>
      </c>
      <c r="BJ186" s="306">
        <v>43343</v>
      </c>
      <c r="BK186">
        <f t="shared" si="104"/>
        <v>5.1400000000000006</v>
      </c>
      <c r="BL186">
        <v>5.2</v>
      </c>
      <c r="BM186">
        <v>5.08</v>
      </c>
      <c r="BO186">
        <f t="shared" si="105"/>
        <v>2022</v>
      </c>
      <c r="BP186" s="286">
        <v>44743</v>
      </c>
      <c r="BQ186">
        <f t="shared" si="106"/>
        <v>11.48</v>
      </c>
      <c r="BR186">
        <v>11.59</v>
      </c>
      <c r="BS186">
        <v>11.37</v>
      </c>
      <c r="BT186">
        <f t="shared" si="113"/>
        <v>2029</v>
      </c>
      <c r="BU186" s="286">
        <v>47119</v>
      </c>
      <c r="BV186">
        <f t="shared" si="99"/>
        <v>5.1379999999999999</v>
      </c>
      <c r="BW186" s="580">
        <v>5.1239999999999997</v>
      </c>
      <c r="BX186" s="580">
        <v>5.1520000000000001</v>
      </c>
      <c r="BY186">
        <f t="shared" si="114"/>
        <v>2032</v>
      </c>
      <c r="BZ186" s="286">
        <v>48214</v>
      </c>
      <c r="CA186">
        <f t="shared" si="102"/>
        <v>5.6124999999999998</v>
      </c>
      <c r="CB186" s="580">
        <v>5.8381999999999996</v>
      </c>
      <c r="CC186" s="580">
        <v>5.3868</v>
      </c>
      <c r="CD186" s="364">
        <f t="shared" si="115"/>
        <v>2033</v>
      </c>
      <c r="CE186" s="381">
        <v>48611</v>
      </c>
      <c r="CF186" s="364">
        <f t="shared" si="100"/>
        <v>4.8232999999999997</v>
      </c>
      <c r="CG186" s="411">
        <v>4.5957999999999997</v>
      </c>
      <c r="CH186" s="411">
        <v>5.0507999999999997</v>
      </c>
      <c r="CI186" s="364">
        <f t="shared" si="116"/>
        <v>2035</v>
      </c>
      <c r="CJ186" s="381">
        <v>49341</v>
      </c>
      <c r="CK186" s="364">
        <f t="shared" si="101"/>
        <v>7.0727000000000002</v>
      </c>
      <c r="CL186" s="411">
        <v>7.0727000000000002</v>
      </c>
      <c r="CM186" s="411">
        <v>7.0727000000000002</v>
      </c>
    </row>
    <row r="187" spans="44:91">
      <c r="AR187">
        <f t="shared" si="107"/>
        <v>2019</v>
      </c>
      <c r="AS187" s="307">
        <f t="shared" si="118"/>
        <v>43770</v>
      </c>
      <c r="AT187" s="115">
        <v>84.97</v>
      </c>
      <c r="AU187" s="115">
        <v>57.39</v>
      </c>
      <c r="AV187" s="287">
        <f t="shared" si="111"/>
        <v>73.110600000000005</v>
      </c>
      <c r="AW187" s="271">
        <v>400</v>
      </c>
      <c r="AX187" s="271">
        <v>320</v>
      </c>
      <c r="AY187" s="271">
        <f t="shared" si="108"/>
        <v>0.55555555555555558</v>
      </c>
      <c r="AZ187" s="271">
        <f t="shared" si="109"/>
        <v>0.44444444444444442</v>
      </c>
      <c r="BD187">
        <f t="shared" si="112"/>
        <v>2019</v>
      </c>
      <c r="BE187" s="306">
        <f t="shared" si="117"/>
        <v>43770</v>
      </c>
      <c r="BF187" s="114">
        <f t="shared" si="110"/>
        <v>9.8689070146818896</v>
      </c>
      <c r="BG187" s="115">
        <v>9.8689070146818896</v>
      </c>
      <c r="BI187">
        <f t="shared" si="103"/>
        <v>2018</v>
      </c>
      <c r="BJ187" s="306">
        <v>43373</v>
      </c>
      <c r="BK187">
        <f t="shared" si="104"/>
        <v>5.1400000000000006</v>
      </c>
      <c r="BL187">
        <v>5.2</v>
      </c>
      <c r="BM187">
        <v>5.08</v>
      </c>
      <c r="BO187">
        <f t="shared" si="105"/>
        <v>2022</v>
      </c>
      <c r="BP187" s="286">
        <v>44774</v>
      </c>
      <c r="BQ187">
        <f t="shared" si="106"/>
        <v>11.48</v>
      </c>
      <c r="BR187">
        <v>11.59</v>
      </c>
      <c r="BS187">
        <v>11.37</v>
      </c>
      <c r="BT187">
        <f t="shared" si="113"/>
        <v>2029</v>
      </c>
      <c r="BU187" s="286">
        <v>47150</v>
      </c>
      <c r="BV187">
        <f t="shared" si="99"/>
        <v>5.173</v>
      </c>
      <c r="BW187" s="580">
        <v>5.1660000000000004</v>
      </c>
      <c r="BX187" s="580">
        <v>5.18</v>
      </c>
      <c r="BY187">
        <f t="shared" si="114"/>
        <v>2032</v>
      </c>
      <c r="BZ187" s="286">
        <v>48245</v>
      </c>
      <c r="CA187">
        <f t="shared" si="102"/>
        <v>5.6275499999999994</v>
      </c>
      <c r="CB187" s="580">
        <v>5.8682999999999996</v>
      </c>
      <c r="CC187" s="580">
        <v>5.3868</v>
      </c>
      <c r="CD187" s="364">
        <f t="shared" si="115"/>
        <v>2033</v>
      </c>
      <c r="CE187" s="381">
        <v>48639</v>
      </c>
      <c r="CF187" s="364">
        <f t="shared" si="100"/>
        <v>4.3834499999999998</v>
      </c>
      <c r="CG187" s="411">
        <v>4.2773000000000003</v>
      </c>
      <c r="CH187" s="411">
        <v>4.4896000000000003</v>
      </c>
      <c r="CI187" s="364">
        <f t="shared" si="116"/>
        <v>2035</v>
      </c>
      <c r="CJ187" s="381">
        <v>49369</v>
      </c>
      <c r="CK187" s="364">
        <f t="shared" si="101"/>
        <v>5.7214</v>
      </c>
      <c r="CL187" s="411">
        <v>5.7491000000000003</v>
      </c>
      <c r="CM187" s="411">
        <v>5.6936999999999998</v>
      </c>
    </row>
    <row r="188" spans="44:91">
      <c r="AR188">
        <f t="shared" si="107"/>
        <v>2019</v>
      </c>
      <c r="AS188" s="307">
        <f t="shared" si="118"/>
        <v>43800</v>
      </c>
      <c r="AT188" s="115">
        <v>87.56</v>
      </c>
      <c r="AU188" s="115">
        <v>64.66</v>
      </c>
      <c r="AV188" s="287">
        <f t="shared" si="111"/>
        <v>77.712999999999994</v>
      </c>
      <c r="AW188" s="271">
        <v>400</v>
      </c>
      <c r="AX188" s="271">
        <v>344</v>
      </c>
      <c r="AY188" s="271">
        <f t="shared" si="108"/>
        <v>0.5376344086021505</v>
      </c>
      <c r="AZ188" s="271">
        <f t="shared" si="109"/>
        <v>0.46236559139784944</v>
      </c>
      <c r="BD188">
        <f t="shared" si="112"/>
        <v>2019</v>
      </c>
      <c r="BE188" s="306">
        <f t="shared" si="117"/>
        <v>43800</v>
      </c>
      <c r="BF188" s="114">
        <f t="shared" si="110"/>
        <v>10.341310494834149</v>
      </c>
      <c r="BG188" s="115">
        <v>10.341310494834149</v>
      </c>
      <c r="BI188">
        <f t="shared" si="103"/>
        <v>2018</v>
      </c>
      <c r="BJ188" s="306">
        <v>43404</v>
      </c>
      <c r="BK188">
        <f t="shared" si="104"/>
        <v>5.335</v>
      </c>
      <c r="BL188">
        <v>5.36</v>
      </c>
      <c r="BM188">
        <v>5.31</v>
      </c>
      <c r="BO188">
        <f t="shared" si="105"/>
        <v>2022</v>
      </c>
      <c r="BP188" s="286">
        <v>44805</v>
      </c>
      <c r="BQ188">
        <f t="shared" si="106"/>
        <v>11.48</v>
      </c>
      <c r="BR188">
        <v>11.59</v>
      </c>
      <c r="BS188">
        <v>11.37</v>
      </c>
      <c r="BT188">
        <f t="shared" si="113"/>
        <v>2029</v>
      </c>
      <c r="BU188" s="286">
        <v>47178</v>
      </c>
      <c r="BV188">
        <f t="shared" si="99"/>
        <v>4.9560000000000004</v>
      </c>
      <c r="BW188" s="580">
        <v>4.9560000000000004</v>
      </c>
      <c r="BX188" s="580">
        <v>4.9560000000000004</v>
      </c>
      <c r="BY188">
        <f t="shared" si="114"/>
        <v>2032</v>
      </c>
      <c r="BZ188" s="286">
        <v>48274</v>
      </c>
      <c r="CA188">
        <f t="shared" si="102"/>
        <v>5.4846000000000004</v>
      </c>
      <c r="CB188" s="580">
        <v>5.7178000000000004</v>
      </c>
      <c r="CC188" s="580">
        <v>5.2514000000000003</v>
      </c>
      <c r="CD188" s="364">
        <f t="shared" si="115"/>
        <v>2033</v>
      </c>
      <c r="CE188" s="381">
        <v>48670</v>
      </c>
      <c r="CF188" s="364">
        <f t="shared" si="100"/>
        <v>3.9208499999999997</v>
      </c>
      <c r="CG188" s="411">
        <v>3.8980999999999999</v>
      </c>
      <c r="CH188" s="411">
        <v>3.9436</v>
      </c>
      <c r="CI188" s="364">
        <f t="shared" si="116"/>
        <v>2035</v>
      </c>
      <c r="CJ188" s="381">
        <v>49400</v>
      </c>
      <c r="CK188" s="364">
        <f t="shared" si="101"/>
        <v>5.2763499999999999</v>
      </c>
      <c r="CL188" s="411">
        <v>5.2733999999999996</v>
      </c>
      <c r="CM188" s="411">
        <v>5.2793000000000001</v>
      </c>
    </row>
    <row r="189" spans="44:91">
      <c r="AR189">
        <f t="shared" si="107"/>
        <v>2020</v>
      </c>
      <c r="AS189" s="307">
        <f t="shared" si="118"/>
        <v>43831</v>
      </c>
      <c r="AT189" s="115">
        <v>96.21</v>
      </c>
      <c r="AU189" s="115">
        <v>82.28</v>
      </c>
      <c r="AV189" s="287">
        <f t="shared" si="111"/>
        <v>90.220100000000002</v>
      </c>
      <c r="AW189" s="271">
        <v>416</v>
      </c>
      <c r="AX189" s="271">
        <v>328</v>
      </c>
      <c r="AY189" s="271">
        <f t="shared" si="108"/>
        <v>0.55913978494623651</v>
      </c>
      <c r="AZ189" s="271">
        <f t="shared" si="109"/>
        <v>0.44086021505376344</v>
      </c>
      <c r="BD189">
        <f t="shared" si="112"/>
        <v>2020</v>
      </c>
      <c r="BE189" s="306">
        <f t="shared" si="117"/>
        <v>43831</v>
      </c>
      <c r="BF189" s="114">
        <f t="shared" si="110"/>
        <v>11.428858075040782</v>
      </c>
      <c r="BG189" s="115">
        <v>11.428858075040782</v>
      </c>
      <c r="BI189">
        <f t="shared" si="103"/>
        <v>2018</v>
      </c>
      <c r="BJ189" s="306">
        <v>43434</v>
      </c>
      <c r="BK189">
        <f t="shared" si="104"/>
        <v>5.41</v>
      </c>
      <c r="BL189">
        <v>5.43</v>
      </c>
      <c r="BM189">
        <v>5.39</v>
      </c>
      <c r="BO189">
        <f t="shared" si="105"/>
        <v>2022</v>
      </c>
      <c r="BP189" s="286">
        <v>44835</v>
      </c>
      <c r="BQ189">
        <f t="shared" si="106"/>
        <v>11.914999999999999</v>
      </c>
      <c r="BR189">
        <v>11.93</v>
      </c>
      <c r="BS189">
        <v>11.9</v>
      </c>
      <c r="BT189">
        <f t="shared" si="113"/>
        <v>2029</v>
      </c>
      <c r="BU189" s="286">
        <v>47209</v>
      </c>
      <c r="BV189">
        <f t="shared" si="99"/>
        <v>4.7110000000000003</v>
      </c>
      <c r="BW189" s="580">
        <v>4.7460000000000004</v>
      </c>
      <c r="BX189" s="580">
        <v>4.6760000000000002</v>
      </c>
      <c r="BY189">
        <f t="shared" si="114"/>
        <v>2032</v>
      </c>
      <c r="BZ189" s="286">
        <v>48305</v>
      </c>
      <c r="CA189">
        <f t="shared" si="102"/>
        <v>5.0783500000000004</v>
      </c>
      <c r="CB189" s="580">
        <v>5.2815000000000003</v>
      </c>
      <c r="CC189" s="580">
        <v>4.8752000000000004</v>
      </c>
      <c r="CD189" s="364">
        <f t="shared" si="115"/>
        <v>2033</v>
      </c>
      <c r="CE189" s="381">
        <v>48700</v>
      </c>
      <c r="CF189" s="364">
        <f t="shared" si="100"/>
        <v>3.8070500000000003</v>
      </c>
      <c r="CG189" s="411">
        <v>3.8677000000000001</v>
      </c>
      <c r="CH189" s="411">
        <v>3.7464</v>
      </c>
      <c r="CI189" s="364">
        <f t="shared" si="116"/>
        <v>2035</v>
      </c>
      <c r="CJ189" s="381">
        <v>49430</v>
      </c>
      <c r="CK189" s="364">
        <f t="shared" si="101"/>
        <v>5.2372500000000004</v>
      </c>
      <c r="CL189" s="411">
        <v>5.2967000000000004</v>
      </c>
      <c r="CM189" s="411">
        <v>5.1778000000000004</v>
      </c>
    </row>
    <row r="190" spans="44:91">
      <c r="AR190">
        <f t="shared" si="107"/>
        <v>2020</v>
      </c>
      <c r="AS190" s="307">
        <f t="shared" si="118"/>
        <v>43862</v>
      </c>
      <c r="AT190" s="115">
        <v>93.39</v>
      </c>
      <c r="AU190" s="115">
        <v>79.709999999999994</v>
      </c>
      <c r="AV190" s="287">
        <f t="shared" si="111"/>
        <v>87.507599999999996</v>
      </c>
      <c r="AW190" s="271">
        <v>400</v>
      </c>
      <c r="AX190" s="271">
        <v>296</v>
      </c>
      <c r="AY190" s="271">
        <f t="shared" si="108"/>
        <v>0.57471264367816088</v>
      </c>
      <c r="AZ190" s="271">
        <f t="shared" si="109"/>
        <v>0.42528735632183906</v>
      </c>
      <c r="BD190">
        <f t="shared" si="112"/>
        <v>2020</v>
      </c>
      <c r="BE190" s="306">
        <f t="shared" si="117"/>
        <v>43862</v>
      </c>
      <c r="BF190" s="114">
        <f t="shared" si="110"/>
        <v>10.742343665035344</v>
      </c>
      <c r="BG190" s="115">
        <v>10.742343665035344</v>
      </c>
      <c r="BI190">
        <f t="shared" si="103"/>
        <v>2018</v>
      </c>
      <c r="BJ190" s="306">
        <v>43465</v>
      </c>
      <c r="BK190">
        <f t="shared" si="104"/>
        <v>5.68</v>
      </c>
      <c r="BL190">
        <v>5.66</v>
      </c>
      <c r="BM190">
        <v>5.7</v>
      </c>
      <c r="BO190">
        <f t="shared" si="105"/>
        <v>2022</v>
      </c>
      <c r="BP190" s="286">
        <v>44866</v>
      </c>
      <c r="BQ190">
        <f t="shared" si="106"/>
        <v>12.085000000000001</v>
      </c>
      <c r="BR190">
        <v>12.1</v>
      </c>
      <c r="BS190">
        <v>12.07</v>
      </c>
      <c r="BT190">
        <f t="shared" si="113"/>
        <v>2029</v>
      </c>
      <c r="BU190" s="286">
        <v>47239</v>
      </c>
      <c r="BV190">
        <f t="shared" si="99"/>
        <v>4.452</v>
      </c>
      <c r="BW190" s="580">
        <v>4.55</v>
      </c>
      <c r="BX190" s="580">
        <v>4.3540000000000001</v>
      </c>
      <c r="BY190">
        <f t="shared" si="114"/>
        <v>2032</v>
      </c>
      <c r="BZ190" s="286">
        <v>48335</v>
      </c>
      <c r="CA190">
        <f t="shared" si="102"/>
        <v>5.1009000000000002</v>
      </c>
      <c r="CB190" s="580">
        <v>5.2965</v>
      </c>
      <c r="CC190" s="580">
        <v>4.9053000000000004</v>
      </c>
      <c r="CD190" s="364">
        <f t="shared" si="115"/>
        <v>2033</v>
      </c>
      <c r="CE190" s="381">
        <v>48731</v>
      </c>
      <c r="CF190" s="364">
        <f t="shared" si="100"/>
        <v>3.7539499999999997</v>
      </c>
      <c r="CG190" s="411">
        <v>3.7311999999999999</v>
      </c>
      <c r="CH190" s="411">
        <v>3.7766999999999999</v>
      </c>
      <c r="CI190" s="364">
        <f t="shared" si="116"/>
        <v>2035</v>
      </c>
      <c r="CJ190" s="381">
        <v>49461</v>
      </c>
      <c r="CK190" s="364">
        <f t="shared" si="101"/>
        <v>5.3014000000000001</v>
      </c>
      <c r="CL190" s="411">
        <v>5.4089</v>
      </c>
      <c r="CM190" s="411">
        <v>5.1939000000000002</v>
      </c>
    </row>
    <row r="191" spans="44:91">
      <c r="AR191">
        <f t="shared" si="107"/>
        <v>2020</v>
      </c>
      <c r="AS191" s="307">
        <f t="shared" si="118"/>
        <v>43891</v>
      </c>
      <c r="AT191" s="115">
        <v>81.08</v>
      </c>
      <c r="AU191" s="115">
        <v>73.84</v>
      </c>
      <c r="AV191" s="287">
        <f t="shared" si="111"/>
        <v>77.966799999999992</v>
      </c>
      <c r="AW191" s="271">
        <v>416</v>
      </c>
      <c r="AX191" s="271">
        <v>328</v>
      </c>
      <c r="AY191" s="271">
        <f t="shared" si="108"/>
        <v>0.55913978494623651</v>
      </c>
      <c r="AZ191" s="271">
        <f t="shared" si="109"/>
        <v>0.44086021505376344</v>
      </c>
      <c r="BD191">
        <f t="shared" si="112"/>
        <v>2020</v>
      </c>
      <c r="BE191" s="306">
        <f t="shared" si="117"/>
        <v>43891</v>
      </c>
      <c r="BF191" s="114">
        <f t="shared" si="110"/>
        <v>10.103409461663947</v>
      </c>
      <c r="BG191" s="115">
        <v>10.103409461663947</v>
      </c>
      <c r="BI191">
        <f t="shared" si="103"/>
        <v>2019</v>
      </c>
      <c r="BJ191" s="306">
        <v>43496</v>
      </c>
      <c r="BK191">
        <f t="shared" si="104"/>
        <v>6.3149999999999995</v>
      </c>
      <c r="BL191">
        <v>6.25</v>
      </c>
      <c r="BM191">
        <v>6.38</v>
      </c>
      <c r="BO191">
        <f t="shared" si="105"/>
        <v>2022</v>
      </c>
      <c r="BP191" s="286">
        <v>44896</v>
      </c>
      <c r="BQ191">
        <f t="shared" si="106"/>
        <v>12.69</v>
      </c>
      <c r="BR191">
        <v>12.61</v>
      </c>
      <c r="BS191">
        <v>12.77</v>
      </c>
      <c r="BT191">
        <f t="shared" si="113"/>
        <v>2029</v>
      </c>
      <c r="BU191" s="286">
        <v>47270</v>
      </c>
      <c r="BV191">
        <f t="shared" si="99"/>
        <v>4.4659999999999993</v>
      </c>
      <c r="BW191" s="580">
        <v>4.55</v>
      </c>
      <c r="BX191" s="580">
        <v>4.3819999999999997</v>
      </c>
      <c r="BY191">
        <f t="shared" si="114"/>
        <v>2032</v>
      </c>
      <c r="BZ191" s="286">
        <v>48366</v>
      </c>
      <c r="CA191">
        <f t="shared" si="102"/>
        <v>5.1685999999999996</v>
      </c>
      <c r="CB191" s="580">
        <v>5.3567</v>
      </c>
      <c r="CC191" s="580">
        <v>4.9805000000000001</v>
      </c>
      <c r="CD191" s="364">
        <f t="shared" si="115"/>
        <v>2033</v>
      </c>
      <c r="CE191" s="381">
        <v>48761</v>
      </c>
      <c r="CF191" s="364">
        <f t="shared" si="100"/>
        <v>3.8905000000000003</v>
      </c>
      <c r="CG191" s="411">
        <v>3.9739</v>
      </c>
      <c r="CH191" s="411">
        <v>3.8071000000000002</v>
      </c>
      <c r="CI191" s="364">
        <f t="shared" si="116"/>
        <v>2035</v>
      </c>
      <c r="CJ191" s="381">
        <v>49491</v>
      </c>
      <c r="CK191" s="364">
        <f t="shared" si="101"/>
        <v>5.4649000000000001</v>
      </c>
      <c r="CL191" s="411">
        <v>5.7055999999999996</v>
      </c>
      <c r="CM191" s="411">
        <v>5.2241999999999997</v>
      </c>
    </row>
    <row r="192" spans="44:91">
      <c r="AR192">
        <f t="shared" si="107"/>
        <v>2020</v>
      </c>
      <c r="AS192" s="307">
        <f t="shared" si="118"/>
        <v>43922</v>
      </c>
      <c r="AT192" s="115">
        <v>79.58</v>
      </c>
      <c r="AU192" s="115">
        <v>70.930000000000007</v>
      </c>
      <c r="AV192" s="287">
        <f t="shared" si="111"/>
        <v>75.860500000000002</v>
      </c>
      <c r="AW192" s="271">
        <v>416</v>
      </c>
      <c r="AX192" s="271">
        <v>304</v>
      </c>
      <c r="AY192" s="271">
        <f t="shared" si="108"/>
        <v>0.57777777777777772</v>
      </c>
      <c r="AZ192" s="271">
        <f t="shared" si="109"/>
        <v>0.42222222222222222</v>
      </c>
      <c r="BD192">
        <f t="shared" si="112"/>
        <v>2020</v>
      </c>
      <c r="BE192" s="306">
        <f t="shared" si="117"/>
        <v>43922</v>
      </c>
      <c r="BF192" s="114">
        <f t="shared" si="110"/>
        <v>9.5630342577487752</v>
      </c>
      <c r="BG192" s="115">
        <v>9.5630342577487752</v>
      </c>
      <c r="BI192">
        <f t="shared" si="103"/>
        <v>2019</v>
      </c>
      <c r="BJ192" s="306">
        <v>43524</v>
      </c>
      <c r="BK192">
        <f t="shared" si="104"/>
        <v>5.875</v>
      </c>
      <c r="BL192">
        <v>5.85</v>
      </c>
      <c r="BM192">
        <v>5.9</v>
      </c>
      <c r="BO192">
        <f t="shared" si="105"/>
        <v>2023</v>
      </c>
      <c r="BP192" s="286">
        <v>44927</v>
      </c>
      <c r="BQ192">
        <f t="shared" si="106"/>
        <v>13.9</v>
      </c>
      <c r="BR192">
        <v>13.72</v>
      </c>
      <c r="BS192">
        <v>14.08</v>
      </c>
      <c r="BT192">
        <f t="shared" si="113"/>
        <v>2029</v>
      </c>
      <c r="BU192" s="286">
        <v>47300</v>
      </c>
      <c r="BV192">
        <f t="shared" si="99"/>
        <v>4.4589999999999996</v>
      </c>
      <c r="BW192" s="580">
        <v>4.5220000000000002</v>
      </c>
      <c r="BX192" s="580">
        <v>4.3959999999999999</v>
      </c>
      <c r="BY192">
        <f t="shared" si="114"/>
        <v>2032</v>
      </c>
      <c r="BZ192" s="286">
        <v>48396</v>
      </c>
      <c r="CA192">
        <f t="shared" si="102"/>
        <v>5.3717500000000005</v>
      </c>
      <c r="CB192" s="580">
        <v>5.5522999999999998</v>
      </c>
      <c r="CC192" s="580">
        <v>5.1912000000000003</v>
      </c>
      <c r="CD192" s="364">
        <f t="shared" si="115"/>
        <v>2033</v>
      </c>
      <c r="CE192" s="381">
        <v>48792</v>
      </c>
      <c r="CF192" s="364">
        <f t="shared" si="100"/>
        <v>3.9663000000000004</v>
      </c>
      <c r="CG192" s="411">
        <v>4.0952000000000002</v>
      </c>
      <c r="CH192" s="411">
        <v>3.8374000000000001</v>
      </c>
      <c r="CI192" s="364">
        <f t="shared" si="116"/>
        <v>2035</v>
      </c>
      <c r="CJ192" s="381">
        <v>49522</v>
      </c>
      <c r="CK192" s="364">
        <f t="shared" si="101"/>
        <v>5.85215</v>
      </c>
      <c r="CL192" s="411">
        <v>6.0286999999999997</v>
      </c>
      <c r="CM192" s="411">
        <v>5.6756000000000002</v>
      </c>
    </row>
    <row r="193" spans="44:91">
      <c r="AR193">
        <f t="shared" si="107"/>
        <v>2020</v>
      </c>
      <c r="AS193" s="307">
        <f t="shared" si="118"/>
        <v>43952</v>
      </c>
      <c r="AT193" s="115">
        <v>80.45</v>
      </c>
      <c r="AU193" s="115">
        <v>62.17</v>
      </c>
      <c r="AV193" s="287">
        <f t="shared" si="111"/>
        <v>72.58959999999999</v>
      </c>
      <c r="AW193" s="271">
        <v>400</v>
      </c>
      <c r="AX193" s="271">
        <v>344</v>
      </c>
      <c r="AY193" s="271">
        <f t="shared" si="108"/>
        <v>0.5376344086021505</v>
      </c>
      <c r="AZ193" s="271">
        <f t="shared" si="109"/>
        <v>0.46236559139784944</v>
      </c>
      <c r="BD193">
        <f t="shared" si="112"/>
        <v>2020</v>
      </c>
      <c r="BE193" s="306">
        <f t="shared" si="117"/>
        <v>43952</v>
      </c>
      <c r="BF193" s="114">
        <f t="shared" si="110"/>
        <v>9.4644752582925484</v>
      </c>
      <c r="BG193" s="115">
        <v>9.4644752582925484</v>
      </c>
      <c r="BI193">
        <f t="shared" si="103"/>
        <v>2019</v>
      </c>
      <c r="BJ193" s="306">
        <v>43555</v>
      </c>
      <c r="BK193">
        <f t="shared" si="104"/>
        <v>5.5150000000000006</v>
      </c>
      <c r="BL193">
        <v>5.54</v>
      </c>
      <c r="BM193">
        <v>5.49</v>
      </c>
      <c r="BO193">
        <f t="shared" si="105"/>
        <v>2023</v>
      </c>
      <c r="BP193" s="286">
        <v>44958</v>
      </c>
      <c r="BQ193">
        <f t="shared" si="106"/>
        <v>12.93</v>
      </c>
      <c r="BR193">
        <v>12.85</v>
      </c>
      <c r="BS193">
        <v>13.01</v>
      </c>
      <c r="BT193">
        <f t="shared" si="113"/>
        <v>2029</v>
      </c>
      <c r="BU193" s="286">
        <v>47331</v>
      </c>
      <c r="BV193">
        <f t="shared" si="99"/>
        <v>4.6059999999999999</v>
      </c>
      <c r="BW193" s="580">
        <v>4.6340000000000003</v>
      </c>
      <c r="BX193" s="580">
        <v>4.5780000000000003</v>
      </c>
      <c r="BY193">
        <f t="shared" si="114"/>
        <v>2032</v>
      </c>
      <c r="BZ193" s="286">
        <v>48427</v>
      </c>
      <c r="CA193">
        <f t="shared" si="102"/>
        <v>5.3943500000000002</v>
      </c>
      <c r="CB193" s="580">
        <v>5.5674000000000001</v>
      </c>
      <c r="CC193" s="580">
        <v>5.2213000000000003</v>
      </c>
      <c r="CD193" s="364">
        <f t="shared" si="115"/>
        <v>2033</v>
      </c>
      <c r="CE193" s="381">
        <v>48823</v>
      </c>
      <c r="CF193" s="364">
        <f t="shared" si="100"/>
        <v>3.8449499999999999</v>
      </c>
      <c r="CG193" s="411">
        <v>4.0648999999999997</v>
      </c>
      <c r="CH193" s="411">
        <v>3.625</v>
      </c>
      <c r="CI193" s="364">
        <f t="shared" si="116"/>
        <v>2035</v>
      </c>
      <c r="CJ193" s="381">
        <v>49553</v>
      </c>
      <c r="CK193" s="364">
        <f t="shared" si="101"/>
        <v>5.9016500000000001</v>
      </c>
      <c r="CL193" s="411">
        <v>6.0639000000000003</v>
      </c>
      <c r="CM193" s="411">
        <v>5.7393999999999998</v>
      </c>
    </row>
    <row r="194" spans="44:91">
      <c r="AR194">
        <f t="shared" si="107"/>
        <v>2020</v>
      </c>
      <c r="AS194" s="307">
        <f t="shared" si="118"/>
        <v>43983</v>
      </c>
      <c r="AT194" s="115">
        <v>84.91</v>
      </c>
      <c r="AU194" s="115">
        <v>64.19</v>
      </c>
      <c r="AV194" s="287">
        <f t="shared" si="111"/>
        <v>76.000399999999985</v>
      </c>
      <c r="AW194" s="271">
        <v>416</v>
      </c>
      <c r="AX194" s="271">
        <v>304</v>
      </c>
      <c r="AY194" s="271">
        <f t="shared" si="108"/>
        <v>0.57777777777777772</v>
      </c>
      <c r="AZ194" s="271">
        <f t="shared" si="109"/>
        <v>0.42222222222222222</v>
      </c>
      <c r="BD194">
        <f t="shared" si="112"/>
        <v>2020</v>
      </c>
      <c r="BE194" s="306">
        <f t="shared" si="117"/>
        <v>43983</v>
      </c>
      <c r="BF194" s="114">
        <f t="shared" si="110"/>
        <v>9.6106144643828166</v>
      </c>
      <c r="BG194" s="115">
        <v>9.6106144643828166</v>
      </c>
      <c r="BI194">
        <f t="shared" si="103"/>
        <v>2019</v>
      </c>
      <c r="BJ194" s="306">
        <v>43585</v>
      </c>
      <c r="BK194">
        <f t="shared" si="104"/>
        <v>5.1549999999999994</v>
      </c>
      <c r="BL194">
        <v>5.22</v>
      </c>
      <c r="BM194">
        <v>5.09</v>
      </c>
      <c r="BO194">
        <f t="shared" si="105"/>
        <v>2023</v>
      </c>
      <c r="BP194" s="286">
        <v>44986</v>
      </c>
      <c r="BQ194">
        <f t="shared" si="106"/>
        <v>12.14</v>
      </c>
      <c r="BR194">
        <v>12.16</v>
      </c>
      <c r="BS194">
        <v>12.12</v>
      </c>
      <c r="BT194">
        <f t="shared" si="113"/>
        <v>2029</v>
      </c>
      <c r="BU194" s="286">
        <v>47362</v>
      </c>
      <c r="BV194">
        <f t="shared" si="99"/>
        <v>4.5289999999999999</v>
      </c>
      <c r="BW194" s="580">
        <v>4.55</v>
      </c>
      <c r="BX194" s="580">
        <v>4.508</v>
      </c>
      <c r="BY194">
        <f t="shared" si="114"/>
        <v>2032</v>
      </c>
      <c r="BZ194" s="286">
        <v>48458</v>
      </c>
      <c r="CA194">
        <f t="shared" si="102"/>
        <v>5.3416499999999996</v>
      </c>
      <c r="CB194" s="580">
        <v>5.6124999999999998</v>
      </c>
      <c r="CC194" s="580">
        <v>5.0708000000000002</v>
      </c>
      <c r="CD194" s="364">
        <f t="shared" si="115"/>
        <v>2033</v>
      </c>
      <c r="CE194" s="381">
        <v>48853</v>
      </c>
      <c r="CF194" s="364">
        <f t="shared" si="100"/>
        <v>4.1862500000000002</v>
      </c>
      <c r="CG194" s="411">
        <v>4.2469000000000001</v>
      </c>
      <c r="CH194" s="411">
        <v>4.1256000000000004</v>
      </c>
      <c r="CI194" s="364">
        <f t="shared" si="116"/>
        <v>2035</v>
      </c>
      <c r="CJ194" s="381">
        <v>49583</v>
      </c>
      <c r="CK194" s="364">
        <f t="shared" si="101"/>
        <v>6.0895000000000001</v>
      </c>
      <c r="CL194" s="411">
        <v>6.1356000000000002</v>
      </c>
      <c r="CM194" s="411">
        <v>6.0434000000000001</v>
      </c>
    </row>
    <row r="195" spans="44:91">
      <c r="AR195">
        <f t="shared" si="107"/>
        <v>2020</v>
      </c>
      <c r="AS195" s="307">
        <f t="shared" si="118"/>
        <v>44013</v>
      </c>
      <c r="AT195" s="115">
        <v>83.1</v>
      </c>
      <c r="AU195" s="115">
        <v>74.44</v>
      </c>
      <c r="AV195" s="287">
        <f t="shared" si="111"/>
        <v>79.376199999999983</v>
      </c>
      <c r="AW195" s="271">
        <v>416</v>
      </c>
      <c r="AX195" s="271">
        <v>328</v>
      </c>
      <c r="AY195" s="271">
        <f t="shared" si="108"/>
        <v>0.55913978494623651</v>
      </c>
      <c r="AZ195" s="271">
        <f t="shared" si="109"/>
        <v>0.44086021505376344</v>
      </c>
      <c r="BD195">
        <f t="shared" si="112"/>
        <v>2020</v>
      </c>
      <c r="BE195" s="306">
        <f t="shared" si="117"/>
        <v>44013</v>
      </c>
      <c r="BF195" s="114">
        <f t="shared" si="110"/>
        <v>9.7601522566612289</v>
      </c>
      <c r="BG195" s="115">
        <v>9.7601522566612289</v>
      </c>
      <c r="BI195">
        <f t="shared" si="103"/>
        <v>2019</v>
      </c>
      <c r="BJ195" s="306">
        <v>43616</v>
      </c>
      <c r="BK195">
        <f t="shared" si="104"/>
        <v>5.1549999999999994</v>
      </c>
      <c r="BL195">
        <v>5.22</v>
      </c>
      <c r="BM195">
        <v>5.09</v>
      </c>
      <c r="BO195">
        <f t="shared" si="105"/>
        <v>2023</v>
      </c>
      <c r="BP195" s="286">
        <v>45017</v>
      </c>
      <c r="BQ195">
        <f t="shared" si="106"/>
        <v>11.345000000000001</v>
      </c>
      <c r="BR195">
        <v>11.46</v>
      </c>
      <c r="BS195">
        <v>11.23</v>
      </c>
      <c r="BT195">
        <f t="shared" si="113"/>
        <v>2029</v>
      </c>
      <c r="BU195" s="286">
        <v>47392</v>
      </c>
      <c r="BV195">
        <f t="shared" si="99"/>
        <v>4.62</v>
      </c>
      <c r="BW195" s="580">
        <v>4.6340000000000003</v>
      </c>
      <c r="BX195" s="580">
        <v>4.6059999999999999</v>
      </c>
      <c r="BY195">
        <f t="shared" si="114"/>
        <v>2032</v>
      </c>
      <c r="BZ195" s="286">
        <v>48488</v>
      </c>
      <c r="CA195">
        <f t="shared" si="102"/>
        <v>5.4168500000000002</v>
      </c>
      <c r="CB195" s="580">
        <v>5.6576000000000004</v>
      </c>
      <c r="CC195" s="580">
        <v>5.1760999999999999</v>
      </c>
      <c r="CD195" s="364">
        <f t="shared" si="115"/>
        <v>2033</v>
      </c>
      <c r="CE195" s="381">
        <v>48884</v>
      </c>
      <c r="CF195" s="364">
        <f t="shared" si="100"/>
        <v>4.9445999999999994</v>
      </c>
      <c r="CG195" s="411">
        <v>4.7625999999999999</v>
      </c>
      <c r="CH195" s="411">
        <v>5.1265999999999998</v>
      </c>
      <c r="CI195" s="364">
        <f t="shared" si="116"/>
        <v>2035</v>
      </c>
      <c r="CJ195" s="381">
        <v>49614</v>
      </c>
      <c r="CK195" s="364">
        <f t="shared" si="101"/>
        <v>6.6707999999999998</v>
      </c>
      <c r="CL195" s="411">
        <v>6.6778000000000004</v>
      </c>
      <c r="CM195" s="411">
        <v>6.6638000000000002</v>
      </c>
    </row>
    <row r="196" spans="44:91">
      <c r="AR196">
        <f t="shared" si="107"/>
        <v>2020</v>
      </c>
      <c r="AS196" s="307">
        <f t="shared" si="118"/>
        <v>44044</v>
      </c>
      <c r="AT196" s="115">
        <v>87.27</v>
      </c>
      <c r="AU196" s="115">
        <v>75.37</v>
      </c>
      <c r="AV196" s="287">
        <f t="shared" si="111"/>
        <v>82.152999999999992</v>
      </c>
      <c r="AW196" s="271">
        <v>416</v>
      </c>
      <c r="AX196" s="271">
        <v>328</v>
      </c>
      <c r="AY196" s="271">
        <f t="shared" si="108"/>
        <v>0.55913978494623651</v>
      </c>
      <c r="AZ196" s="271">
        <f t="shared" si="109"/>
        <v>0.44086021505376344</v>
      </c>
      <c r="BD196">
        <f t="shared" si="112"/>
        <v>2020</v>
      </c>
      <c r="BE196" s="306">
        <f t="shared" si="117"/>
        <v>44044</v>
      </c>
      <c r="BF196" s="114">
        <f t="shared" si="110"/>
        <v>9.7601522566612289</v>
      </c>
      <c r="BG196" s="115">
        <v>9.7601522566612289</v>
      </c>
      <c r="BI196">
        <f t="shared" si="103"/>
        <v>2019</v>
      </c>
      <c r="BJ196" s="306">
        <v>43646</v>
      </c>
      <c r="BK196">
        <f t="shared" si="104"/>
        <v>5.2349999999999994</v>
      </c>
      <c r="BL196">
        <v>5.3</v>
      </c>
      <c r="BM196">
        <v>5.17</v>
      </c>
      <c r="BO196">
        <f t="shared" si="105"/>
        <v>2023</v>
      </c>
      <c r="BP196" s="286">
        <v>45047</v>
      </c>
      <c r="BQ196">
        <f t="shared" si="106"/>
        <v>11.345000000000001</v>
      </c>
      <c r="BR196">
        <v>11.46</v>
      </c>
      <c r="BS196">
        <v>11.23</v>
      </c>
      <c r="BT196">
        <f t="shared" si="113"/>
        <v>2029</v>
      </c>
      <c r="BU196" s="286">
        <v>47423</v>
      </c>
      <c r="BV196">
        <f t="shared" si="99"/>
        <v>4.851</v>
      </c>
      <c r="BW196" s="580">
        <v>4.8440000000000003</v>
      </c>
      <c r="BX196" s="580">
        <v>4.8579999999999997</v>
      </c>
      <c r="BY196">
        <f t="shared" si="114"/>
        <v>2032</v>
      </c>
      <c r="BZ196" s="286">
        <v>48519</v>
      </c>
      <c r="CA196">
        <f t="shared" si="102"/>
        <v>5.5673499999999994</v>
      </c>
      <c r="CB196" s="580">
        <v>5.8080999999999996</v>
      </c>
      <c r="CC196" s="580">
        <v>5.3266</v>
      </c>
      <c r="CD196" s="364">
        <f t="shared" si="115"/>
        <v>2033</v>
      </c>
      <c r="CE196" s="381">
        <v>48914</v>
      </c>
      <c r="CF196" s="364">
        <f t="shared" si="100"/>
        <v>5.4831000000000003</v>
      </c>
      <c r="CG196" s="411">
        <v>5.2480000000000002</v>
      </c>
      <c r="CH196" s="411">
        <v>5.7182000000000004</v>
      </c>
      <c r="CI196" s="364">
        <f t="shared" si="116"/>
        <v>2035</v>
      </c>
      <c r="CJ196" s="381">
        <v>49644</v>
      </c>
      <c r="CK196" s="364">
        <f t="shared" si="101"/>
        <v>6.8933999999999997</v>
      </c>
      <c r="CL196" s="411">
        <v>6.9048999999999996</v>
      </c>
      <c r="CM196" s="411">
        <v>6.8818999999999999</v>
      </c>
    </row>
    <row r="197" spans="44:91">
      <c r="AR197">
        <f t="shared" si="107"/>
        <v>2020</v>
      </c>
      <c r="AS197" s="307">
        <f t="shared" si="118"/>
        <v>44075</v>
      </c>
      <c r="AT197" s="115">
        <v>85.08</v>
      </c>
      <c r="AU197" s="115">
        <v>73.92</v>
      </c>
      <c r="AV197" s="287">
        <f t="shared" si="111"/>
        <v>80.281199999999998</v>
      </c>
      <c r="AW197" s="271">
        <v>400</v>
      </c>
      <c r="AX197" s="271">
        <v>320</v>
      </c>
      <c r="AY197" s="271">
        <f t="shared" si="108"/>
        <v>0.55555555555555558</v>
      </c>
      <c r="AZ197" s="271">
        <f t="shared" si="109"/>
        <v>0.44444444444444442</v>
      </c>
      <c r="BD197">
        <f t="shared" si="112"/>
        <v>2020</v>
      </c>
      <c r="BE197" s="306">
        <f t="shared" si="117"/>
        <v>44075</v>
      </c>
      <c r="BF197" s="114">
        <f t="shared" si="110"/>
        <v>9.7601522566612289</v>
      </c>
      <c r="BG197" s="115">
        <v>9.7601522566612289</v>
      </c>
      <c r="BI197">
        <f t="shared" si="103"/>
        <v>2019</v>
      </c>
      <c r="BJ197" s="306">
        <v>43677</v>
      </c>
      <c r="BK197">
        <f t="shared" si="104"/>
        <v>5.3149999999999995</v>
      </c>
      <c r="BL197">
        <v>5.38</v>
      </c>
      <c r="BM197">
        <v>5.25</v>
      </c>
      <c r="BO197">
        <f t="shared" si="105"/>
        <v>2023</v>
      </c>
      <c r="BP197" s="286">
        <v>45078</v>
      </c>
      <c r="BQ197">
        <f t="shared" si="106"/>
        <v>11.525</v>
      </c>
      <c r="BR197">
        <v>11.64</v>
      </c>
      <c r="BS197">
        <v>11.41</v>
      </c>
      <c r="BT197">
        <f t="shared" si="113"/>
        <v>2029</v>
      </c>
      <c r="BU197" s="286">
        <v>47453</v>
      </c>
      <c r="BV197">
        <f t="shared" ref="BV197:BV260" si="119">AVERAGE(BW197:BX197)</f>
        <v>5.0890000000000004</v>
      </c>
      <c r="BW197" s="580">
        <v>5.0819999999999999</v>
      </c>
      <c r="BX197" s="580">
        <v>5.0960000000000001</v>
      </c>
      <c r="BY197">
        <f t="shared" si="114"/>
        <v>2032</v>
      </c>
      <c r="BZ197" s="286">
        <v>48549</v>
      </c>
      <c r="CA197">
        <f t="shared" si="102"/>
        <v>5.9133999999999993</v>
      </c>
      <c r="CB197" s="580">
        <v>6.0789</v>
      </c>
      <c r="CC197" s="580">
        <v>5.7478999999999996</v>
      </c>
      <c r="CD197" s="364">
        <f t="shared" si="115"/>
        <v>2034</v>
      </c>
      <c r="CE197" s="381">
        <v>48945</v>
      </c>
      <c r="CF197" s="364">
        <f t="shared" si="100"/>
        <v>5.5913500000000003</v>
      </c>
      <c r="CG197" s="411">
        <v>5.3117999999999999</v>
      </c>
      <c r="CH197" s="411">
        <v>5.8708999999999998</v>
      </c>
      <c r="CI197" s="364">
        <f t="shared" si="116"/>
        <v>2036</v>
      </c>
      <c r="CJ197" s="381">
        <v>49675</v>
      </c>
      <c r="CK197" s="364">
        <f t="shared" si="101"/>
        <v>7.1073000000000004</v>
      </c>
      <c r="CL197" s="411">
        <v>7.1395999999999997</v>
      </c>
      <c r="CM197" s="411">
        <v>7.0750000000000002</v>
      </c>
    </row>
    <row r="198" spans="44:91">
      <c r="AR198">
        <f t="shared" si="107"/>
        <v>2020</v>
      </c>
      <c r="AS198" s="307">
        <f t="shared" si="118"/>
        <v>44105</v>
      </c>
      <c r="AT198" s="115">
        <v>80.75</v>
      </c>
      <c r="AU198" s="115">
        <v>73.77</v>
      </c>
      <c r="AV198" s="287">
        <f t="shared" si="111"/>
        <v>77.748599999999996</v>
      </c>
      <c r="AW198" s="271">
        <v>432</v>
      </c>
      <c r="AX198" s="271">
        <v>312</v>
      </c>
      <c r="AY198" s="271">
        <f t="shared" si="108"/>
        <v>0.58064516129032262</v>
      </c>
      <c r="AZ198" s="271">
        <f t="shared" si="109"/>
        <v>0.41935483870967744</v>
      </c>
      <c r="BD198">
        <f t="shared" si="112"/>
        <v>2020</v>
      </c>
      <c r="BE198" s="306">
        <f t="shared" si="117"/>
        <v>44105</v>
      </c>
      <c r="BF198" s="114">
        <f t="shared" si="110"/>
        <v>10.103409461663947</v>
      </c>
      <c r="BG198" s="115">
        <v>10.103409461663947</v>
      </c>
      <c r="BI198">
        <f t="shared" si="103"/>
        <v>2019</v>
      </c>
      <c r="BJ198" s="306">
        <v>43708</v>
      </c>
      <c r="BK198">
        <f t="shared" si="104"/>
        <v>5.3149999999999995</v>
      </c>
      <c r="BL198">
        <v>5.38</v>
      </c>
      <c r="BM198">
        <v>5.25</v>
      </c>
      <c r="BO198">
        <f t="shared" si="105"/>
        <v>2023</v>
      </c>
      <c r="BP198" s="286">
        <v>45108</v>
      </c>
      <c r="BQ198">
        <f t="shared" si="106"/>
        <v>11.7</v>
      </c>
      <c r="BR198">
        <v>11.81</v>
      </c>
      <c r="BS198">
        <v>11.59</v>
      </c>
      <c r="BT198">
        <f t="shared" si="113"/>
        <v>2030</v>
      </c>
      <c r="BU198" s="286">
        <v>47484</v>
      </c>
      <c r="BV198">
        <f t="shared" si="119"/>
        <v>5.2295499999999997</v>
      </c>
      <c r="BW198" s="580">
        <v>5.2224000000000004</v>
      </c>
      <c r="BX198" s="580">
        <v>5.2366999999999999</v>
      </c>
      <c r="BY198">
        <f t="shared" si="114"/>
        <v>2033</v>
      </c>
      <c r="BZ198" s="286">
        <v>48580</v>
      </c>
      <c r="CA198">
        <f t="shared" si="102"/>
        <v>5.9801500000000001</v>
      </c>
      <c r="CB198" s="580">
        <v>6.1417999999999999</v>
      </c>
      <c r="CC198" s="580">
        <v>5.8185000000000002</v>
      </c>
      <c r="CD198" s="364">
        <f t="shared" si="115"/>
        <v>2034</v>
      </c>
      <c r="CE198" s="381">
        <v>48976</v>
      </c>
      <c r="CF198" s="364">
        <f t="shared" si="100"/>
        <v>5.00115</v>
      </c>
      <c r="CG198" s="411">
        <v>4.7682000000000002</v>
      </c>
      <c r="CH198" s="411">
        <v>5.2340999999999998</v>
      </c>
      <c r="CI198" s="364">
        <f t="shared" si="116"/>
        <v>2036</v>
      </c>
      <c r="CJ198" s="381">
        <v>49706</v>
      </c>
      <c r="CK198" s="364">
        <f t="shared" si="101"/>
        <v>6.3703500000000002</v>
      </c>
      <c r="CL198" s="411">
        <v>6.4008000000000003</v>
      </c>
      <c r="CM198" s="411">
        <v>6.3399000000000001</v>
      </c>
    </row>
    <row r="199" spans="44:91">
      <c r="AR199">
        <f t="shared" si="107"/>
        <v>2020</v>
      </c>
      <c r="AS199" s="307">
        <f t="shared" si="118"/>
        <v>44136</v>
      </c>
      <c r="AT199" s="115">
        <v>88.51</v>
      </c>
      <c r="AU199" s="115">
        <v>67.099999999999994</v>
      </c>
      <c r="AV199" s="287">
        <f t="shared" si="111"/>
        <v>79.303699999999992</v>
      </c>
      <c r="AW199" s="271">
        <v>384</v>
      </c>
      <c r="AX199" s="271">
        <v>336</v>
      </c>
      <c r="AY199" s="271">
        <f t="shared" si="108"/>
        <v>0.53333333333333333</v>
      </c>
      <c r="AZ199" s="271">
        <f t="shared" si="109"/>
        <v>0.46666666666666667</v>
      </c>
      <c r="BD199">
        <f t="shared" si="112"/>
        <v>2020</v>
      </c>
      <c r="BE199" s="306">
        <f t="shared" si="117"/>
        <v>44136</v>
      </c>
      <c r="BF199" s="114">
        <f t="shared" si="110"/>
        <v>10.249548667754214</v>
      </c>
      <c r="BG199" s="115">
        <v>10.249548667754214</v>
      </c>
      <c r="BI199">
        <f t="shared" si="103"/>
        <v>2019</v>
      </c>
      <c r="BJ199" s="306">
        <v>43738</v>
      </c>
      <c r="BK199">
        <f t="shared" si="104"/>
        <v>5.3149999999999995</v>
      </c>
      <c r="BL199">
        <v>5.38</v>
      </c>
      <c r="BM199">
        <v>5.25</v>
      </c>
      <c r="BO199">
        <f t="shared" si="105"/>
        <v>2023</v>
      </c>
      <c r="BP199" s="286">
        <v>45139</v>
      </c>
      <c r="BQ199">
        <f t="shared" si="106"/>
        <v>11.7</v>
      </c>
      <c r="BR199">
        <v>11.81</v>
      </c>
      <c r="BS199">
        <v>11.59</v>
      </c>
      <c r="BT199">
        <f t="shared" si="113"/>
        <v>2030</v>
      </c>
      <c r="BU199" s="286">
        <v>47515</v>
      </c>
      <c r="BV199">
        <f t="shared" si="119"/>
        <v>5.2582000000000004</v>
      </c>
      <c r="BW199" s="580">
        <v>5.2510000000000003</v>
      </c>
      <c r="BX199" s="580">
        <v>5.2653999999999996</v>
      </c>
      <c r="BY199">
        <f t="shared" si="114"/>
        <v>2033</v>
      </c>
      <c r="BZ199" s="286">
        <v>48611</v>
      </c>
      <c r="CA199">
        <f t="shared" si="102"/>
        <v>6.0109500000000002</v>
      </c>
      <c r="CB199" s="580">
        <v>6.1726000000000001</v>
      </c>
      <c r="CC199" s="580">
        <v>5.8493000000000004</v>
      </c>
      <c r="CD199" s="364">
        <f t="shared" si="115"/>
        <v>2034</v>
      </c>
      <c r="CE199" s="381">
        <v>49004</v>
      </c>
      <c r="CF199" s="364">
        <f t="shared" si="100"/>
        <v>4.4963499999999996</v>
      </c>
      <c r="CG199" s="411">
        <v>4.3954000000000004</v>
      </c>
      <c r="CH199" s="411">
        <v>4.5972999999999997</v>
      </c>
      <c r="CI199" s="364">
        <f t="shared" si="116"/>
        <v>2036</v>
      </c>
      <c r="CJ199" s="381">
        <v>49735</v>
      </c>
      <c r="CK199" s="364">
        <f t="shared" si="101"/>
        <v>5.6436999999999999</v>
      </c>
      <c r="CL199" s="411">
        <v>5.6775000000000002</v>
      </c>
      <c r="CM199" s="411">
        <v>5.6098999999999997</v>
      </c>
    </row>
    <row r="200" spans="44:91">
      <c r="AR200">
        <f t="shared" si="107"/>
        <v>2020</v>
      </c>
      <c r="AS200" s="307">
        <f t="shared" si="118"/>
        <v>44166</v>
      </c>
      <c r="AT200" s="115">
        <v>89.48</v>
      </c>
      <c r="AU200" s="115">
        <v>76.489999999999995</v>
      </c>
      <c r="AV200" s="287">
        <f t="shared" si="111"/>
        <v>83.894299999999987</v>
      </c>
      <c r="AW200" s="271">
        <v>416</v>
      </c>
      <c r="AX200" s="271">
        <v>328</v>
      </c>
      <c r="AY200" s="271">
        <f t="shared" si="108"/>
        <v>0.55913978494623651</v>
      </c>
      <c r="AZ200" s="271">
        <f t="shared" si="109"/>
        <v>0.44086021505376344</v>
      </c>
      <c r="BD200">
        <f t="shared" si="112"/>
        <v>2020</v>
      </c>
      <c r="BE200" s="306">
        <f t="shared" si="117"/>
        <v>44166</v>
      </c>
      <c r="BF200" s="114">
        <f t="shared" si="110"/>
        <v>10.742343665035344</v>
      </c>
      <c r="BG200" s="115">
        <v>10.742343665035344</v>
      </c>
      <c r="BI200">
        <f t="shared" si="103"/>
        <v>2019</v>
      </c>
      <c r="BJ200" s="306">
        <v>43769</v>
      </c>
      <c r="BK200">
        <f t="shared" si="104"/>
        <v>5.5150000000000006</v>
      </c>
      <c r="BL200">
        <v>5.54</v>
      </c>
      <c r="BM200">
        <v>5.49</v>
      </c>
      <c r="BO200">
        <f t="shared" si="105"/>
        <v>2023</v>
      </c>
      <c r="BP200" s="286">
        <v>45170</v>
      </c>
      <c r="BQ200">
        <f t="shared" si="106"/>
        <v>11.7</v>
      </c>
      <c r="BR200">
        <v>11.81</v>
      </c>
      <c r="BS200">
        <v>11.59</v>
      </c>
      <c r="BT200">
        <f t="shared" si="113"/>
        <v>2030</v>
      </c>
      <c r="BU200" s="286">
        <v>47543</v>
      </c>
      <c r="BV200">
        <f t="shared" si="119"/>
        <v>5.1151499999999999</v>
      </c>
      <c r="BW200" s="580">
        <v>5.1079999999999997</v>
      </c>
      <c r="BX200" s="580">
        <v>5.1223000000000001</v>
      </c>
      <c r="BY200">
        <f t="shared" si="114"/>
        <v>2033</v>
      </c>
      <c r="BZ200" s="286">
        <v>48639</v>
      </c>
      <c r="CA200">
        <f t="shared" si="102"/>
        <v>5.78775</v>
      </c>
      <c r="CB200" s="580">
        <v>5.9725000000000001</v>
      </c>
      <c r="CC200" s="580">
        <v>5.6029999999999998</v>
      </c>
      <c r="CD200" s="364">
        <f t="shared" si="115"/>
        <v>2034</v>
      </c>
      <c r="CE200" s="381">
        <v>49035</v>
      </c>
      <c r="CF200" s="364">
        <f t="shared" si="100"/>
        <v>3.9450500000000002</v>
      </c>
      <c r="CG200" s="411">
        <v>3.9605999999999999</v>
      </c>
      <c r="CH200" s="411">
        <v>3.9295</v>
      </c>
      <c r="CI200" s="364">
        <f t="shared" si="116"/>
        <v>2036</v>
      </c>
      <c r="CJ200" s="381">
        <v>49766</v>
      </c>
      <c r="CK200" s="364">
        <f t="shared" si="101"/>
        <v>5.28355</v>
      </c>
      <c r="CL200" s="411">
        <v>5.2929000000000004</v>
      </c>
      <c r="CM200" s="411">
        <v>5.2742000000000004</v>
      </c>
    </row>
    <row r="201" spans="44:91">
      <c r="AR201">
        <f t="shared" si="107"/>
        <v>2021</v>
      </c>
      <c r="AS201" s="307">
        <f t="shared" si="118"/>
        <v>44197</v>
      </c>
      <c r="AT201" s="115">
        <v>98.12</v>
      </c>
      <c r="AU201" s="115">
        <v>85.14</v>
      </c>
      <c r="AV201" s="287">
        <f t="shared" si="111"/>
        <v>92.538600000000002</v>
      </c>
      <c r="AW201" s="271">
        <v>400</v>
      </c>
      <c r="AX201" s="271">
        <v>344</v>
      </c>
      <c r="AY201" s="271">
        <f t="shared" si="108"/>
        <v>0.5376344086021505</v>
      </c>
      <c r="AZ201" s="271">
        <f t="shared" si="109"/>
        <v>0.46236559139784944</v>
      </c>
      <c r="BD201">
        <f t="shared" si="112"/>
        <v>2021</v>
      </c>
      <c r="BE201" s="306">
        <f t="shared" si="117"/>
        <v>44197</v>
      </c>
      <c r="BF201" s="114">
        <f t="shared" si="110"/>
        <v>11.632773246329528</v>
      </c>
      <c r="BG201" s="115">
        <v>11.632773246329528</v>
      </c>
      <c r="BI201">
        <f t="shared" si="103"/>
        <v>2019</v>
      </c>
      <c r="BJ201" s="306">
        <v>43799</v>
      </c>
      <c r="BK201">
        <f t="shared" si="104"/>
        <v>5.5950000000000006</v>
      </c>
      <c r="BL201">
        <v>5.62</v>
      </c>
      <c r="BM201">
        <v>5.57</v>
      </c>
      <c r="BO201">
        <f t="shared" si="105"/>
        <v>2023</v>
      </c>
      <c r="BP201" s="286">
        <v>45200</v>
      </c>
      <c r="BQ201">
        <f t="shared" si="106"/>
        <v>12.14</v>
      </c>
      <c r="BR201">
        <v>12.16</v>
      </c>
      <c r="BS201">
        <v>12.12</v>
      </c>
      <c r="BT201">
        <f t="shared" si="113"/>
        <v>2030</v>
      </c>
      <c r="BU201" s="286">
        <v>47574</v>
      </c>
      <c r="BV201">
        <f t="shared" si="119"/>
        <v>4.8719000000000001</v>
      </c>
      <c r="BW201" s="580">
        <v>4.9077000000000002</v>
      </c>
      <c r="BX201" s="580">
        <v>4.8361000000000001</v>
      </c>
      <c r="BY201">
        <f t="shared" si="114"/>
        <v>2033</v>
      </c>
      <c r="BZ201" s="286">
        <v>48670</v>
      </c>
      <c r="CA201">
        <f t="shared" si="102"/>
        <v>5.4260000000000002</v>
      </c>
      <c r="CB201" s="580">
        <v>5.6337999999999999</v>
      </c>
      <c r="CC201" s="580">
        <v>5.2182000000000004</v>
      </c>
      <c r="CD201" s="364">
        <f t="shared" si="115"/>
        <v>2034</v>
      </c>
      <c r="CE201" s="381">
        <v>49065</v>
      </c>
      <c r="CF201" s="364">
        <f t="shared" ref="CF201:CF264" si="120">AVERAGE(CG201:CH201)</f>
        <v>3.8518499999999998</v>
      </c>
      <c r="CG201" s="411">
        <v>3.9295</v>
      </c>
      <c r="CH201" s="411">
        <v>3.7742</v>
      </c>
      <c r="CI201" s="364">
        <f t="shared" si="116"/>
        <v>2036</v>
      </c>
      <c r="CJ201" s="381">
        <v>49796</v>
      </c>
      <c r="CK201" s="364">
        <f t="shared" si="101"/>
        <v>5.2570499999999996</v>
      </c>
      <c r="CL201" s="411">
        <v>5.3238000000000003</v>
      </c>
      <c r="CM201" s="411">
        <v>5.1902999999999997</v>
      </c>
    </row>
    <row r="202" spans="44:91">
      <c r="AR202">
        <f t="shared" si="107"/>
        <v>2021</v>
      </c>
      <c r="AS202" s="307">
        <f t="shared" si="118"/>
        <v>44228</v>
      </c>
      <c r="AT202" s="115">
        <v>92.51</v>
      </c>
      <c r="AU202" s="115">
        <v>80.180000000000007</v>
      </c>
      <c r="AV202" s="287">
        <f t="shared" si="111"/>
        <v>87.208100000000002</v>
      </c>
      <c r="AW202" s="271">
        <v>384</v>
      </c>
      <c r="AX202" s="271">
        <v>288</v>
      </c>
      <c r="AY202" s="271">
        <f t="shared" si="108"/>
        <v>0.5714285714285714</v>
      </c>
      <c r="AZ202" s="271">
        <f t="shared" si="109"/>
        <v>0.42857142857142855</v>
      </c>
      <c r="BD202">
        <f t="shared" si="112"/>
        <v>2021</v>
      </c>
      <c r="BE202" s="306">
        <f t="shared" si="117"/>
        <v>44228</v>
      </c>
      <c r="BF202" s="114">
        <f t="shared" si="110"/>
        <v>10.932664491571506</v>
      </c>
      <c r="BG202" s="115">
        <v>10.932664491571506</v>
      </c>
      <c r="BI202">
        <f t="shared" si="103"/>
        <v>2019</v>
      </c>
      <c r="BJ202" s="306">
        <v>43830</v>
      </c>
      <c r="BK202">
        <f t="shared" si="104"/>
        <v>5.875</v>
      </c>
      <c r="BL202">
        <v>5.85</v>
      </c>
      <c r="BM202">
        <v>5.9</v>
      </c>
      <c r="BO202">
        <f t="shared" si="105"/>
        <v>2023</v>
      </c>
      <c r="BP202" s="286">
        <v>45231</v>
      </c>
      <c r="BQ202">
        <f t="shared" si="106"/>
        <v>12.315000000000001</v>
      </c>
      <c r="BR202">
        <v>12.33</v>
      </c>
      <c r="BS202">
        <v>12.3</v>
      </c>
      <c r="BT202">
        <f t="shared" si="113"/>
        <v>2030</v>
      </c>
      <c r="BU202" s="286">
        <v>47604</v>
      </c>
      <c r="BV202">
        <f t="shared" si="119"/>
        <v>4.7860499999999995</v>
      </c>
      <c r="BW202" s="580">
        <v>4.8503999999999996</v>
      </c>
      <c r="BX202" s="580">
        <v>4.7217000000000002</v>
      </c>
      <c r="BY202">
        <f t="shared" si="114"/>
        <v>2033</v>
      </c>
      <c r="BZ202" s="286">
        <v>48700</v>
      </c>
      <c r="CA202">
        <f t="shared" si="102"/>
        <v>5.3952499999999999</v>
      </c>
      <c r="CB202" s="580">
        <v>5.5876999999999999</v>
      </c>
      <c r="CC202" s="580">
        <v>5.2027999999999999</v>
      </c>
      <c r="CD202" s="364">
        <f t="shared" si="115"/>
        <v>2034</v>
      </c>
      <c r="CE202" s="381">
        <v>49096</v>
      </c>
      <c r="CF202" s="364">
        <f t="shared" si="120"/>
        <v>3.8517999999999999</v>
      </c>
      <c r="CG202" s="411">
        <v>3.8984000000000001</v>
      </c>
      <c r="CH202" s="411">
        <v>3.8052000000000001</v>
      </c>
      <c r="CI202" s="364">
        <f t="shared" si="116"/>
        <v>2036</v>
      </c>
      <c r="CJ202" s="381">
        <v>49827</v>
      </c>
      <c r="CK202" s="364">
        <f t="shared" si="101"/>
        <v>5.3121499999999999</v>
      </c>
      <c r="CL202" s="411">
        <v>5.4581</v>
      </c>
      <c r="CM202" s="411">
        <v>5.1661999999999999</v>
      </c>
    </row>
    <row r="203" spans="44:91">
      <c r="AR203">
        <f t="shared" si="107"/>
        <v>2021</v>
      </c>
      <c r="AS203" s="307">
        <f t="shared" si="118"/>
        <v>44256</v>
      </c>
      <c r="AT203" s="115">
        <v>80.59</v>
      </c>
      <c r="AU203" s="115">
        <v>73.95</v>
      </c>
      <c r="AV203" s="287">
        <f t="shared" si="111"/>
        <v>77.734799999999993</v>
      </c>
      <c r="AW203" s="271">
        <v>432</v>
      </c>
      <c r="AX203" s="271">
        <v>312</v>
      </c>
      <c r="AY203" s="271">
        <f t="shared" si="108"/>
        <v>0.58064516129032262</v>
      </c>
      <c r="AZ203" s="271">
        <f>AX203/(AW203+AX203)</f>
        <v>0.41935483870967744</v>
      </c>
      <c r="BD203">
        <f t="shared" si="112"/>
        <v>2021</v>
      </c>
      <c r="BE203" s="306">
        <f t="shared" si="117"/>
        <v>44256</v>
      </c>
      <c r="BF203" s="114">
        <f t="shared" si="110"/>
        <v>10.283534529635672</v>
      </c>
      <c r="BG203" s="115">
        <v>10.283534529635672</v>
      </c>
      <c r="BI203">
        <f t="shared" si="103"/>
        <v>2020</v>
      </c>
      <c r="BJ203" s="306">
        <v>43861</v>
      </c>
      <c r="BK203">
        <f t="shared" si="104"/>
        <v>6.5299999999999994</v>
      </c>
      <c r="BL203">
        <v>6.46</v>
      </c>
      <c r="BM203">
        <v>6.6</v>
      </c>
      <c r="BO203">
        <f t="shared" si="105"/>
        <v>2023</v>
      </c>
      <c r="BP203" s="286">
        <v>45261</v>
      </c>
      <c r="BQ203">
        <f t="shared" si="106"/>
        <v>12.93</v>
      </c>
      <c r="BR203">
        <v>12.85</v>
      </c>
      <c r="BS203">
        <v>13.01</v>
      </c>
      <c r="BT203">
        <f t="shared" si="113"/>
        <v>2030</v>
      </c>
      <c r="BU203" s="286">
        <v>47635</v>
      </c>
      <c r="BV203">
        <f t="shared" si="119"/>
        <v>4.8003499999999999</v>
      </c>
      <c r="BW203" s="580">
        <v>4.8503999999999996</v>
      </c>
      <c r="BX203" s="580">
        <v>4.7503000000000002</v>
      </c>
      <c r="BY203">
        <f t="shared" si="114"/>
        <v>2033</v>
      </c>
      <c r="BZ203" s="286">
        <v>48731</v>
      </c>
      <c r="CA203">
        <f t="shared" si="102"/>
        <v>5.4490999999999996</v>
      </c>
      <c r="CB203" s="580">
        <v>5.6337999999999999</v>
      </c>
      <c r="CC203" s="580">
        <v>5.2644000000000002</v>
      </c>
      <c r="CD203" s="364">
        <f t="shared" si="115"/>
        <v>2034</v>
      </c>
      <c r="CE203" s="381">
        <v>49126</v>
      </c>
      <c r="CF203" s="364">
        <f t="shared" si="120"/>
        <v>3.8906499999999999</v>
      </c>
      <c r="CG203" s="411">
        <v>3.9761000000000002</v>
      </c>
      <c r="CH203" s="411">
        <v>3.8052000000000001</v>
      </c>
      <c r="CI203" s="364">
        <f t="shared" si="116"/>
        <v>2036</v>
      </c>
      <c r="CJ203" s="381">
        <v>49857</v>
      </c>
      <c r="CK203" s="364">
        <f t="shared" si="101"/>
        <v>5.4801500000000001</v>
      </c>
      <c r="CL203" s="411">
        <v>5.7640000000000002</v>
      </c>
      <c r="CM203" s="411">
        <v>5.1962999999999999</v>
      </c>
    </row>
    <row r="204" spans="44:91">
      <c r="AR204">
        <f t="shared" si="107"/>
        <v>2021</v>
      </c>
      <c r="AS204" s="307">
        <f t="shared" si="118"/>
        <v>44287</v>
      </c>
      <c r="AT204" s="115">
        <v>78.48</v>
      </c>
      <c r="AU204" s="115">
        <v>72.069999999999993</v>
      </c>
      <c r="AV204" s="287">
        <f t="shared" si="111"/>
        <v>75.723699999999994</v>
      </c>
      <c r="AW204" s="271">
        <v>416</v>
      </c>
      <c r="AX204" s="271">
        <v>304</v>
      </c>
      <c r="AY204" s="271">
        <f t="shared" si="108"/>
        <v>0.57777777777777772</v>
      </c>
      <c r="AZ204" s="271">
        <f t="shared" si="109"/>
        <v>0.42222222222222222</v>
      </c>
      <c r="BD204">
        <f t="shared" si="112"/>
        <v>2021</v>
      </c>
      <c r="BE204" s="306">
        <f t="shared" si="117"/>
        <v>44287</v>
      </c>
      <c r="BF204" s="114">
        <f t="shared" si="110"/>
        <v>9.7363621533442082</v>
      </c>
      <c r="BG204" s="115">
        <v>9.7363621533442082</v>
      </c>
      <c r="BI204">
        <f t="shared" si="103"/>
        <v>2020</v>
      </c>
      <c r="BJ204" s="306">
        <v>43890</v>
      </c>
      <c r="BK204">
        <f t="shared" si="104"/>
        <v>6.0749999999999993</v>
      </c>
      <c r="BL204">
        <v>6.05</v>
      </c>
      <c r="BM204">
        <v>6.1</v>
      </c>
      <c r="BO204">
        <f t="shared" si="105"/>
        <v>2024</v>
      </c>
      <c r="BP204" s="286">
        <v>45292</v>
      </c>
      <c r="BQ204">
        <f t="shared" si="106"/>
        <v>14.164999999999999</v>
      </c>
      <c r="BR204">
        <v>13.98</v>
      </c>
      <c r="BS204">
        <v>14.35</v>
      </c>
      <c r="BT204">
        <f t="shared" si="113"/>
        <v>2030</v>
      </c>
      <c r="BU204" s="286">
        <v>47665</v>
      </c>
      <c r="BV204">
        <f t="shared" si="119"/>
        <v>4.8074999999999992</v>
      </c>
      <c r="BW204" s="580">
        <v>4.8789999999999996</v>
      </c>
      <c r="BX204" s="580">
        <v>4.7359999999999998</v>
      </c>
      <c r="BY204">
        <f t="shared" si="114"/>
        <v>2033</v>
      </c>
      <c r="BZ204" s="286">
        <v>48761</v>
      </c>
      <c r="CA204">
        <f t="shared" si="102"/>
        <v>5.6414999999999997</v>
      </c>
      <c r="CB204" s="580">
        <v>5.8338999999999999</v>
      </c>
      <c r="CC204" s="580">
        <v>5.4490999999999996</v>
      </c>
      <c r="CD204" s="364">
        <f t="shared" si="115"/>
        <v>2034</v>
      </c>
      <c r="CE204" s="381">
        <v>49157</v>
      </c>
      <c r="CF204" s="364">
        <f t="shared" si="120"/>
        <v>3.9760999999999997</v>
      </c>
      <c r="CG204" s="411">
        <v>4.1158999999999999</v>
      </c>
      <c r="CH204" s="411">
        <v>3.8363</v>
      </c>
      <c r="CI204" s="364">
        <f t="shared" si="116"/>
        <v>2036</v>
      </c>
      <c r="CJ204" s="381">
        <v>49888</v>
      </c>
      <c r="CK204" s="364">
        <f t="shared" si="101"/>
        <v>5.9251000000000005</v>
      </c>
      <c r="CL204" s="411">
        <v>6.1486000000000001</v>
      </c>
      <c r="CM204" s="411">
        <v>5.7016</v>
      </c>
    </row>
    <row r="205" spans="44:91">
      <c r="AR205">
        <f t="shared" si="107"/>
        <v>2021</v>
      </c>
      <c r="AS205" s="307">
        <f t="shared" si="118"/>
        <v>44317</v>
      </c>
      <c r="AT205" s="115">
        <v>82.61</v>
      </c>
      <c r="AU205" s="115">
        <v>66.36</v>
      </c>
      <c r="AV205" s="287">
        <f t="shared" si="111"/>
        <v>75.622500000000002</v>
      </c>
      <c r="AW205" s="271">
        <v>400</v>
      </c>
      <c r="AX205" s="271">
        <v>344</v>
      </c>
      <c r="AY205" s="271">
        <f t="shared" si="108"/>
        <v>0.5376344086021505</v>
      </c>
      <c r="AZ205" s="271">
        <f t="shared" si="109"/>
        <v>0.46236559139784944</v>
      </c>
      <c r="BD205">
        <f t="shared" si="112"/>
        <v>2021</v>
      </c>
      <c r="BE205" s="306">
        <f t="shared" si="117"/>
        <v>44317</v>
      </c>
      <c r="BF205" s="114">
        <f t="shared" si="110"/>
        <v>9.6344045676998356</v>
      </c>
      <c r="BG205" s="115">
        <v>9.6344045676998356</v>
      </c>
      <c r="BI205">
        <f t="shared" si="103"/>
        <v>2020</v>
      </c>
      <c r="BJ205" s="306">
        <v>43921</v>
      </c>
      <c r="BK205">
        <f t="shared" si="104"/>
        <v>5.7050000000000001</v>
      </c>
      <c r="BL205">
        <v>5.73</v>
      </c>
      <c r="BM205">
        <v>5.68</v>
      </c>
      <c r="BO205">
        <f t="shared" si="105"/>
        <v>2024</v>
      </c>
      <c r="BP205" s="286">
        <v>45323</v>
      </c>
      <c r="BQ205">
        <f t="shared" si="106"/>
        <v>13.18</v>
      </c>
      <c r="BR205">
        <v>13.1</v>
      </c>
      <c r="BS205">
        <v>13.26</v>
      </c>
      <c r="BT205">
        <f t="shared" si="113"/>
        <v>2030</v>
      </c>
      <c r="BU205" s="286">
        <v>47696</v>
      </c>
      <c r="BV205">
        <f t="shared" si="119"/>
        <v>4.9363000000000001</v>
      </c>
      <c r="BW205" s="580">
        <v>4.9649000000000001</v>
      </c>
      <c r="BX205" s="580">
        <v>4.9077000000000002</v>
      </c>
      <c r="BY205">
        <f t="shared" si="114"/>
        <v>2033</v>
      </c>
      <c r="BZ205" s="286">
        <v>48792</v>
      </c>
      <c r="CA205">
        <f t="shared" si="102"/>
        <v>5.6876999999999995</v>
      </c>
      <c r="CB205" s="580">
        <v>5.8647</v>
      </c>
      <c r="CC205" s="580">
        <v>5.5106999999999999</v>
      </c>
      <c r="CD205" s="364">
        <f t="shared" si="115"/>
        <v>2034</v>
      </c>
      <c r="CE205" s="381">
        <v>49188</v>
      </c>
      <c r="CF205" s="364">
        <f t="shared" si="120"/>
        <v>3.8285499999999999</v>
      </c>
      <c r="CG205" s="411">
        <v>4.0381999999999998</v>
      </c>
      <c r="CH205" s="411">
        <v>3.6189</v>
      </c>
      <c r="CI205" s="364">
        <f t="shared" si="116"/>
        <v>2036</v>
      </c>
      <c r="CJ205" s="381">
        <v>49919</v>
      </c>
      <c r="CK205" s="364">
        <f t="shared" si="101"/>
        <v>5.9992000000000001</v>
      </c>
      <c r="CL205" s="411">
        <v>6.1858000000000004</v>
      </c>
      <c r="CM205" s="411">
        <v>5.8125999999999998</v>
      </c>
    </row>
    <row r="206" spans="44:91">
      <c r="AR206">
        <f t="shared" si="107"/>
        <v>2021</v>
      </c>
      <c r="AS206" s="307">
        <f t="shared" si="118"/>
        <v>44348</v>
      </c>
      <c r="AT206" s="115">
        <v>89.54</v>
      </c>
      <c r="AU206" s="115">
        <v>70.75</v>
      </c>
      <c r="AV206" s="287">
        <f t="shared" si="111"/>
        <v>81.460299999999989</v>
      </c>
      <c r="AW206" s="271">
        <v>416</v>
      </c>
      <c r="AX206" s="271">
        <v>304</v>
      </c>
      <c r="AY206" s="271">
        <f t="shared" si="108"/>
        <v>0.57777777777777772</v>
      </c>
      <c r="AZ206" s="271">
        <f t="shared" si="109"/>
        <v>0.42222222222222222</v>
      </c>
      <c r="BD206">
        <f t="shared" si="112"/>
        <v>2021</v>
      </c>
      <c r="BE206" s="306">
        <f t="shared" si="117"/>
        <v>44348</v>
      </c>
      <c r="BF206" s="114">
        <f t="shared" si="110"/>
        <v>9.783942359978246</v>
      </c>
      <c r="BG206" s="115">
        <v>9.783942359978246</v>
      </c>
      <c r="BI206">
        <f t="shared" si="103"/>
        <v>2020</v>
      </c>
      <c r="BJ206" s="306">
        <v>43951</v>
      </c>
      <c r="BK206">
        <f t="shared" si="104"/>
        <v>5.33</v>
      </c>
      <c r="BL206">
        <v>5.4</v>
      </c>
      <c r="BM206">
        <v>5.26</v>
      </c>
      <c r="BO206">
        <f t="shared" si="105"/>
        <v>2024</v>
      </c>
      <c r="BP206" s="286">
        <v>45352</v>
      </c>
      <c r="BQ206">
        <f t="shared" si="106"/>
        <v>12.370000000000001</v>
      </c>
      <c r="BR206">
        <v>12.39</v>
      </c>
      <c r="BS206">
        <v>12.35</v>
      </c>
      <c r="BT206">
        <f t="shared" si="113"/>
        <v>2030</v>
      </c>
      <c r="BU206" s="286">
        <v>47727</v>
      </c>
      <c r="BV206">
        <f t="shared" si="119"/>
        <v>5.0149499999999998</v>
      </c>
      <c r="BW206" s="580">
        <v>5.0221</v>
      </c>
      <c r="BX206" s="580">
        <v>5.0077999999999996</v>
      </c>
      <c r="BY206">
        <f t="shared" si="114"/>
        <v>2033</v>
      </c>
      <c r="BZ206" s="286">
        <v>48823</v>
      </c>
      <c r="CA206">
        <f t="shared" si="102"/>
        <v>5.6337999999999999</v>
      </c>
      <c r="CB206" s="580">
        <v>5.8800999999999997</v>
      </c>
      <c r="CC206" s="580">
        <v>5.3875000000000002</v>
      </c>
      <c r="CD206" s="364">
        <f t="shared" si="115"/>
        <v>2034</v>
      </c>
      <c r="CE206" s="381">
        <v>49218</v>
      </c>
      <c r="CF206" s="364">
        <f t="shared" si="120"/>
        <v>4.1547000000000001</v>
      </c>
      <c r="CG206" s="411">
        <v>4.1935000000000002</v>
      </c>
      <c r="CH206" s="411">
        <v>4.1158999999999999</v>
      </c>
      <c r="CI206" s="364">
        <f t="shared" si="116"/>
        <v>2036</v>
      </c>
      <c r="CJ206" s="381">
        <v>49949</v>
      </c>
      <c r="CK206" s="364">
        <f t="shared" si="101"/>
        <v>6.1701499999999996</v>
      </c>
      <c r="CL206" s="411">
        <v>6.2381000000000002</v>
      </c>
      <c r="CM206" s="411">
        <v>6.1021999999999998</v>
      </c>
    </row>
    <row r="207" spans="44:91">
      <c r="AR207">
        <f t="shared" si="107"/>
        <v>2021</v>
      </c>
      <c r="AS207" s="307">
        <f t="shared" si="118"/>
        <v>44378</v>
      </c>
      <c r="AT207" s="115">
        <v>82.21</v>
      </c>
      <c r="AU207" s="115">
        <v>76.510000000000005</v>
      </c>
      <c r="AV207" s="287">
        <f t="shared" si="111"/>
        <v>79.758999999999986</v>
      </c>
      <c r="AW207" s="271">
        <v>416</v>
      </c>
      <c r="AX207" s="271">
        <v>328</v>
      </c>
      <c r="AY207" s="271">
        <f t="shared" si="108"/>
        <v>0.55913978494623651</v>
      </c>
      <c r="AZ207" s="271">
        <f t="shared" si="109"/>
        <v>0.44086021505376344</v>
      </c>
      <c r="BD207">
        <f t="shared" si="112"/>
        <v>2021</v>
      </c>
      <c r="BE207" s="306">
        <f t="shared" si="117"/>
        <v>44378</v>
      </c>
      <c r="BF207" s="114">
        <f t="shared" si="110"/>
        <v>9.93348015225666</v>
      </c>
      <c r="BG207" s="115">
        <v>9.93348015225666</v>
      </c>
      <c r="BI207">
        <f t="shared" si="103"/>
        <v>2020</v>
      </c>
      <c r="BJ207" s="306">
        <v>43982</v>
      </c>
      <c r="BK207">
        <f t="shared" si="104"/>
        <v>5.33</v>
      </c>
      <c r="BL207">
        <v>5.4</v>
      </c>
      <c r="BM207">
        <v>5.26</v>
      </c>
      <c r="BO207">
        <f t="shared" si="105"/>
        <v>2024</v>
      </c>
      <c r="BP207" s="286">
        <v>45383</v>
      </c>
      <c r="BQ207">
        <f t="shared" si="106"/>
        <v>11.565</v>
      </c>
      <c r="BR207">
        <v>11.68</v>
      </c>
      <c r="BS207">
        <v>11.45</v>
      </c>
      <c r="BT207">
        <f t="shared" si="113"/>
        <v>2030</v>
      </c>
      <c r="BU207" s="286">
        <v>47757</v>
      </c>
      <c r="BV207">
        <f t="shared" si="119"/>
        <v>5.0579000000000001</v>
      </c>
      <c r="BW207" s="580">
        <v>5.0364000000000004</v>
      </c>
      <c r="BX207" s="580">
        <v>5.0793999999999997</v>
      </c>
      <c r="BY207">
        <f t="shared" si="114"/>
        <v>2033</v>
      </c>
      <c r="BZ207" s="286">
        <v>48853</v>
      </c>
      <c r="CA207">
        <f t="shared" si="102"/>
        <v>5.6876999999999995</v>
      </c>
      <c r="CB207" s="580">
        <v>5.9417</v>
      </c>
      <c r="CC207" s="580">
        <v>5.4337</v>
      </c>
      <c r="CD207" s="364">
        <f t="shared" si="115"/>
        <v>2034</v>
      </c>
      <c r="CE207" s="381">
        <v>49249</v>
      </c>
      <c r="CF207" s="364">
        <f t="shared" si="120"/>
        <v>4.8225499999999997</v>
      </c>
      <c r="CG207" s="411">
        <v>4.5972999999999997</v>
      </c>
      <c r="CH207" s="411">
        <v>5.0477999999999996</v>
      </c>
      <c r="CI207" s="364">
        <f t="shared" si="116"/>
        <v>2036</v>
      </c>
      <c r="CJ207" s="381">
        <v>49980</v>
      </c>
      <c r="CK207" s="364">
        <f t="shared" si="101"/>
        <v>6.7495500000000002</v>
      </c>
      <c r="CL207" s="411">
        <v>6.7815000000000003</v>
      </c>
      <c r="CM207" s="411">
        <v>6.7176</v>
      </c>
    </row>
    <row r="208" spans="44:91">
      <c r="AR208">
        <f t="shared" si="107"/>
        <v>2021</v>
      </c>
      <c r="AS208" s="307">
        <f t="shared" si="118"/>
        <v>44409</v>
      </c>
      <c r="AT208" s="115">
        <v>84.98</v>
      </c>
      <c r="AU208" s="115">
        <v>76.510000000000005</v>
      </c>
      <c r="AV208" s="287">
        <f t="shared" si="111"/>
        <v>81.337900000000005</v>
      </c>
      <c r="AW208" s="271">
        <v>416</v>
      </c>
      <c r="AX208" s="271">
        <v>328</v>
      </c>
      <c r="AY208" s="271">
        <f t="shared" si="108"/>
        <v>0.55913978494623651</v>
      </c>
      <c r="AZ208" s="271">
        <f t="shared" si="109"/>
        <v>0.44086021505376344</v>
      </c>
      <c r="BD208">
        <f t="shared" si="112"/>
        <v>2021</v>
      </c>
      <c r="BE208" s="306">
        <f t="shared" si="117"/>
        <v>44409</v>
      </c>
      <c r="BF208" s="114">
        <f t="shared" si="110"/>
        <v>9.93348015225666</v>
      </c>
      <c r="BG208" s="115">
        <v>9.93348015225666</v>
      </c>
      <c r="BI208">
        <f t="shared" si="103"/>
        <v>2020</v>
      </c>
      <c r="BJ208" s="306">
        <v>44012</v>
      </c>
      <c r="BK208">
        <f t="shared" si="104"/>
        <v>5.41</v>
      </c>
      <c r="BL208">
        <v>5.48</v>
      </c>
      <c r="BM208">
        <v>5.34</v>
      </c>
      <c r="BO208">
        <f t="shared" si="105"/>
        <v>2024</v>
      </c>
      <c r="BP208" s="286">
        <v>45413</v>
      </c>
      <c r="BQ208">
        <f t="shared" si="106"/>
        <v>11.565</v>
      </c>
      <c r="BR208">
        <v>11.68</v>
      </c>
      <c r="BS208">
        <v>11.45</v>
      </c>
      <c r="BT208">
        <f t="shared" si="113"/>
        <v>2030</v>
      </c>
      <c r="BU208" s="286">
        <v>47788</v>
      </c>
      <c r="BV208">
        <f t="shared" si="119"/>
        <v>5.2582000000000004</v>
      </c>
      <c r="BW208" s="580">
        <v>5.2366999999999999</v>
      </c>
      <c r="BX208" s="580">
        <v>5.2797000000000001</v>
      </c>
      <c r="BY208">
        <f t="shared" si="114"/>
        <v>2033</v>
      </c>
      <c r="BZ208" s="286">
        <v>48884</v>
      </c>
      <c r="CA208">
        <f t="shared" si="102"/>
        <v>5.9032</v>
      </c>
      <c r="CB208" s="580">
        <v>6.1109999999999998</v>
      </c>
      <c r="CC208" s="580">
        <v>5.6954000000000002</v>
      </c>
      <c r="CD208" s="364">
        <f t="shared" si="115"/>
        <v>2034</v>
      </c>
      <c r="CE208" s="381">
        <v>49279</v>
      </c>
      <c r="CF208" s="364">
        <f t="shared" si="120"/>
        <v>5.3117999999999999</v>
      </c>
      <c r="CG208" s="411">
        <v>5.0788000000000002</v>
      </c>
      <c r="CH208" s="411">
        <v>5.5448000000000004</v>
      </c>
      <c r="CI208" s="364">
        <f t="shared" si="116"/>
        <v>2036</v>
      </c>
      <c r="CJ208" s="381">
        <v>50010</v>
      </c>
      <c r="CK208" s="364">
        <f t="shared" si="101"/>
        <v>6.9717000000000002</v>
      </c>
      <c r="CL208" s="411">
        <v>6.9859999999999998</v>
      </c>
      <c r="CM208" s="411">
        <v>6.9573999999999998</v>
      </c>
    </row>
    <row r="209" spans="44:91">
      <c r="AR209">
        <f t="shared" si="107"/>
        <v>2021</v>
      </c>
      <c r="AS209" s="307">
        <f t="shared" si="118"/>
        <v>44440</v>
      </c>
      <c r="AT209" s="115">
        <v>83.53</v>
      </c>
      <c r="AU209" s="115">
        <v>74.64</v>
      </c>
      <c r="AV209" s="287">
        <f t="shared" si="111"/>
        <v>79.707300000000004</v>
      </c>
      <c r="AW209" s="271">
        <v>400</v>
      </c>
      <c r="AX209" s="271">
        <v>320</v>
      </c>
      <c r="AY209" s="271">
        <f t="shared" si="108"/>
        <v>0.55555555555555558</v>
      </c>
      <c r="AZ209" s="271">
        <f t="shared" si="109"/>
        <v>0.44444444444444442</v>
      </c>
      <c r="BD209">
        <f t="shared" si="112"/>
        <v>2021</v>
      </c>
      <c r="BE209" s="306">
        <f t="shared" si="117"/>
        <v>44440</v>
      </c>
      <c r="BF209" s="114">
        <f t="shared" si="110"/>
        <v>9.93348015225666</v>
      </c>
      <c r="BG209" s="115">
        <v>9.93348015225666</v>
      </c>
      <c r="BI209">
        <f t="shared" si="103"/>
        <v>2020</v>
      </c>
      <c r="BJ209" s="306">
        <v>44043</v>
      </c>
      <c r="BK209">
        <f t="shared" si="104"/>
        <v>5.4949999999999992</v>
      </c>
      <c r="BL209">
        <v>5.56</v>
      </c>
      <c r="BM209">
        <v>5.43</v>
      </c>
      <c r="BO209">
        <f t="shared" si="105"/>
        <v>2024</v>
      </c>
      <c r="BP209" s="286">
        <v>45444</v>
      </c>
      <c r="BQ209">
        <f t="shared" si="106"/>
        <v>11.745000000000001</v>
      </c>
      <c r="BR209">
        <v>11.86</v>
      </c>
      <c r="BS209">
        <v>11.63</v>
      </c>
      <c r="BT209">
        <f t="shared" si="113"/>
        <v>2030</v>
      </c>
      <c r="BU209" s="286">
        <v>47818</v>
      </c>
      <c r="BV209">
        <f t="shared" si="119"/>
        <v>5.4943000000000008</v>
      </c>
      <c r="BW209" s="580">
        <v>5.48</v>
      </c>
      <c r="BX209" s="580">
        <v>5.5086000000000004</v>
      </c>
      <c r="BY209">
        <f t="shared" si="114"/>
        <v>2033</v>
      </c>
      <c r="BZ209" s="286">
        <v>48914</v>
      </c>
      <c r="CA209">
        <f t="shared" si="102"/>
        <v>6.2803000000000004</v>
      </c>
      <c r="CB209" s="580">
        <v>6.4649999999999999</v>
      </c>
      <c r="CC209" s="580">
        <v>6.0956000000000001</v>
      </c>
      <c r="CD209" s="364">
        <f t="shared" si="115"/>
        <v>2035</v>
      </c>
      <c r="CE209" s="381">
        <v>49310</v>
      </c>
      <c r="CF209" s="364">
        <f t="shared" si="120"/>
        <v>5.3677000000000001</v>
      </c>
      <c r="CG209" s="411">
        <v>5.1371000000000002</v>
      </c>
      <c r="CH209" s="411">
        <v>5.5983000000000001</v>
      </c>
      <c r="CI209" s="364">
        <f t="shared" si="116"/>
        <v>2037</v>
      </c>
      <c r="CJ209" s="381">
        <v>50041</v>
      </c>
      <c r="CK209" s="364">
        <f t="shared" ref="CK209:CK272" si="121">AVERAGE(CL209:CM209)</f>
        <v>7.3283500000000004</v>
      </c>
      <c r="CL209" s="411">
        <v>7.4009999999999998</v>
      </c>
      <c r="CM209" s="411">
        <v>7.2557</v>
      </c>
    </row>
    <row r="210" spans="44:91">
      <c r="AR210">
        <f t="shared" si="107"/>
        <v>2021</v>
      </c>
      <c r="AS210" s="307">
        <f t="shared" si="118"/>
        <v>44470</v>
      </c>
      <c r="AT210" s="115">
        <v>81.45</v>
      </c>
      <c r="AU210" s="115">
        <v>74.209999999999994</v>
      </c>
      <c r="AV210" s="287">
        <f t="shared" si="111"/>
        <v>78.336799999999997</v>
      </c>
      <c r="AW210" s="271">
        <v>416</v>
      </c>
      <c r="AX210" s="271">
        <v>328</v>
      </c>
      <c r="AY210" s="271">
        <f t="shared" si="108"/>
        <v>0.55913978494623651</v>
      </c>
      <c r="AZ210" s="271">
        <f t="shared" si="109"/>
        <v>0.44086021505376344</v>
      </c>
      <c r="BD210">
        <f t="shared" si="112"/>
        <v>2021</v>
      </c>
      <c r="BE210" s="306">
        <f t="shared" si="117"/>
        <v>44470</v>
      </c>
      <c r="BF210" s="114">
        <f t="shared" si="110"/>
        <v>10.283534529635672</v>
      </c>
      <c r="BG210" s="115">
        <v>10.283534529635672</v>
      </c>
      <c r="BI210">
        <f t="shared" si="103"/>
        <v>2020</v>
      </c>
      <c r="BJ210" s="306">
        <v>44074</v>
      </c>
      <c r="BK210">
        <f t="shared" si="104"/>
        <v>5.4949999999999992</v>
      </c>
      <c r="BL210">
        <v>5.56</v>
      </c>
      <c r="BM210">
        <v>5.43</v>
      </c>
      <c r="BO210">
        <f t="shared" si="105"/>
        <v>2024</v>
      </c>
      <c r="BP210" s="286">
        <v>45474</v>
      </c>
      <c r="BQ210">
        <f t="shared" si="106"/>
        <v>11.92</v>
      </c>
      <c r="BR210">
        <v>12.03</v>
      </c>
      <c r="BS210">
        <v>11.81</v>
      </c>
      <c r="BT210">
        <f t="shared" si="113"/>
        <v>2031</v>
      </c>
      <c r="BU210" s="286">
        <v>47849</v>
      </c>
      <c r="BV210">
        <f t="shared" si="119"/>
        <v>5.4031000000000002</v>
      </c>
      <c r="BW210" s="580">
        <v>5.3958000000000004</v>
      </c>
      <c r="BX210" s="580">
        <v>5.4104000000000001</v>
      </c>
      <c r="BY210">
        <f t="shared" si="114"/>
        <v>2034</v>
      </c>
      <c r="BZ210" s="286">
        <v>48945</v>
      </c>
      <c r="CA210">
        <f t="shared" ref="CA210:CA273" si="122">AVERAGE(CB210:CC210)</f>
        <v>6.3382000000000005</v>
      </c>
      <c r="CB210" s="580">
        <v>6.5193000000000003</v>
      </c>
      <c r="CC210" s="580">
        <v>6.1570999999999998</v>
      </c>
      <c r="CD210" s="364">
        <f t="shared" si="115"/>
        <v>2035</v>
      </c>
      <c r="CE210" s="381">
        <v>49341</v>
      </c>
      <c r="CF210" s="364">
        <f t="shared" si="120"/>
        <v>4.8429000000000002</v>
      </c>
      <c r="CG210" s="411">
        <v>4.5964</v>
      </c>
      <c r="CH210" s="411">
        <v>5.0894000000000004</v>
      </c>
      <c r="CI210" s="364">
        <f t="shared" si="116"/>
        <v>2037</v>
      </c>
      <c r="CJ210" s="381">
        <v>50072</v>
      </c>
      <c r="CK210" s="364">
        <f t="shared" si="121"/>
        <v>6.8841000000000001</v>
      </c>
      <c r="CL210" s="411">
        <v>6.9402999999999997</v>
      </c>
      <c r="CM210" s="411">
        <v>6.8278999999999996</v>
      </c>
    </row>
    <row r="211" spans="44:91">
      <c r="AR211">
        <f t="shared" si="107"/>
        <v>2021</v>
      </c>
      <c r="AS211" s="307">
        <f t="shared" si="118"/>
        <v>44501</v>
      </c>
      <c r="AT211" s="115">
        <v>88.01</v>
      </c>
      <c r="AU211" s="115">
        <v>66.94</v>
      </c>
      <c r="AV211" s="287">
        <f t="shared" si="111"/>
        <v>78.9499</v>
      </c>
      <c r="AW211" s="271">
        <v>400</v>
      </c>
      <c r="AX211" s="271">
        <v>320</v>
      </c>
      <c r="AY211" s="271">
        <f t="shared" si="108"/>
        <v>0.55555555555555558</v>
      </c>
      <c r="AZ211" s="271">
        <f t="shared" si="109"/>
        <v>0.44444444444444442</v>
      </c>
      <c r="BD211">
        <f t="shared" si="112"/>
        <v>2021</v>
      </c>
      <c r="BE211" s="306">
        <f t="shared" si="117"/>
        <v>44501</v>
      </c>
      <c r="BF211" s="114">
        <f t="shared" si="110"/>
        <v>10.436470908102228</v>
      </c>
      <c r="BG211" s="115">
        <v>10.436470908102228</v>
      </c>
      <c r="BI211">
        <f t="shared" ref="BI211:BI274" si="123">YEAR(BJ211)</f>
        <v>2020</v>
      </c>
      <c r="BJ211" s="306">
        <v>44104</v>
      </c>
      <c r="BK211">
        <f t="shared" ref="BK211:BK274" si="124">AVERAGE(BL211:BM211)</f>
        <v>5.4949999999999992</v>
      </c>
      <c r="BL211">
        <v>5.56</v>
      </c>
      <c r="BM211">
        <v>5.43</v>
      </c>
      <c r="BO211">
        <f t="shared" ref="BO211:BO274" si="125">YEAR(BP211)</f>
        <v>2024</v>
      </c>
      <c r="BP211" s="286">
        <v>45505</v>
      </c>
      <c r="BQ211">
        <f t="shared" ref="BQ211:BQ274" si="126">AVERAGE(BR211:BS211)</f>
        <v>11.92</v>
      </c>
      <c r="BR211">
        <v>12.03</v>
      </c>
      <c r="BS211">
        <v>11.81</v>
      </c>
      <c r="BT211">
        <f t="shared" si="113"/>
        <v>2031</v>
      </c>
      <c r="BU211" s="286">
        <v>47880</v>
      </c>
      <c r="BV211">
        <f t="shared" si="119"/>
        <v>5.4470000000000001</v>
      </c>
      <c r="BW211" s="580">
        <v>5.4397000000000002</v>
      </c>
      <c r="BX211" s="580">
        <v>5.4542999999999999</v>
      </c>
      <c r="BY211">
        <f t="shared" si="114"/>
        <v>2034</v>
      </c>
      <c r="BZ211" s="286">
        <v>48976</v>
      </c>
      <c r="CA211">
        <f t="shared" si="122"/>
        <v>6.36965</v>
      </c>
      <c r="CB211" s="580">
        <v>6.5664999999999996</v>
      </c>
      <c r="CC211" s="580">
        <v>6.1727999999999996</v>
      </c>
      <c r="CD211" s="364">
        <f t="shared" si="115"/>
        <v>2035</v>
      </c>
      <c r="CE211" s="381">
        <v>49369</v>
      </c>
      <c r="CF211" s="364">
        <f t="shared" si="120"/>
        <v>4.3578000000000001</v>
      </c>
      <c r="CG211" s="411">
        <v>4.2465000000000002</v>
      </c>
      <c r="CH211" s="411">
        <v>4.4691000000000001</v>
      </c>
      <c r="CI211" s="364">
        <f t="shared" si="116"/>
        <v>2037</v>
      </c>
      <c r="CJ211" s="381">
        <v>50100</v>
      </c>
      <c r="CK211" s="364">
        <f t="shared" si="121"/>
        <v>5.8680500000000002</v>
      </c>
      <c r="CL211" s="411">
        <v>5.9646999999999997</v>
      </c>
      <c r="CM211" s="411">
        <v>5.7713999999999999</v>
      </c>
    </row>
    <row r="212" spans="44:91">
      <c r="AR212">
        <f t="shared" si="107"/>
        <v>2021</v>
      </c>
      <c r="AS212" s="307">
        <f t="shared" si="118"/>
        <v>44531</v>
      </c>
      <c r="AT212" s="115">
        <v>90.64</v>
      </c>
      <c r="AU212" s="115">
        <v>75.510000000000005</v>
      </c>
      <c r="AV212" s="287">
        <f t="shared" si="111"/>
        <v>84.134099999999989</v>
      </c>
      <c r="AW212" s="271">
        <v>416</v>
      </c>
      <c r="AX212" s="271">
        <v>328</v>
      </c>
      <c r="AY212" s="271">
        <f t="shared" si="108"/>
        <v>0.55913978494623651</v>
      </c>
      <c r="AZ212" s="271">
        <f t="shared" si="109"/>
        <v>0.44086021505376344</v>
      </c>
      <c r="BD212">
        <f t="shared" si="112"/>
        <v>2021</v>
      </c>
      <c r="BE212" s="306">
        <f t="shared" si="117"/>
        <v>44531</v>
      </c>
      <c r="BF212" s="114">
        <f t="shared" si="110"/>
        <v>10.932664491571506</v>
      </c>
      <c r="BG212" s="115">
        <v>10.932664491571506</v>
      </c>
      <c r="BI212">
        <f t="shared" si="123"/>
        <v>2020</v>
      </c>
      <c r="BJ212" s="306">
        <v>44135</v>
      </c>
      <c r="BK212">
        <f t="shared" si="124"/>
        <v>5.7050000000000001</v>
      </c>
      <c r="BL212">
        <v>5.73</v>
      </c>
      <c r="BM212">
        <v>5.68</v>
      </c>
      <c r="BO212">
        <f t="shared" si="125"/>
        <v>2024</v>
      </c>
      <c r="BP212" s="286">
        <v>45536</v>
      </c>
      <c r="BQ212">
        <f t="shared" si="126"/>
        <v>11.92</v>
      </c>
      <c r="BR212">
        <v>12.03</v>
      </c>
      <c r="BS212">
        <v>11.81</v>
      </c>
      <c r="BT212">
        <f t="shared" si="113"/>
        <v>2031</v>
      </c>
      <c r="BU212" s="286">
        <v>47908</v>
      </c>
      <c r="BV212">
        <f t="shared" si="119"/>
        <v>5.3154000000000003</v>
      </c>
      <c r="BW212" s="580">
        <v>5.3227000000000002</v>
      </c>
      <c r="BX212" s="580">
        <v>5.3080999999999996</v>
      </c>
      <c r="BY212">
        <f t="shared" si="114"/>
        <v>2034</v>
      </c>
      <c r="BZ212" s="286">
        <v>49004</v>
      </c>
      <c r="CA212">
        <f t="shared" si="122"/>
        <v>6.1020000000000003</v>
      </c>
      <c r="CB212" s="580">
        <v>6.3146000000000004</v>
      </c>
      <c r="CC212" s="580">
        <v>5.8894000000000002</v>
      </c>
      <c r="CD212" s="364">
        <f t="shared" si="115"/>
        <v>2035</v>
      </c>
      <c r="CE212" s="381">
        <v>49400</v>
      </c>
      <c r="CF212" s="364">
        <f t="shared" si="120"/>
        <v>3.9601500000000001</v>
      </c>
      <c r="CG212" s="411">
        <v>4.1032999999999999</v>
      </c>
      <c r="CH212" s="411">
        <v>3.8170000000000002</v>
      </c>
      <c r="CI212" s="364">
        <f t="shared" si="116"/>
        <v>2037</v>
      </c>
      <c r="CJ212" s="381">
        <v>50131</v>
      </c>
      <c r="CK212" s="364">
        <f t="shared" si="121"/>
        <v>5.5054999999999996</v>
      </c>
      <c r="CL212" s="411">
        <v>5.5692000000000004</v>
      </c>
      <c r="CM212" s="411">
        <v>5.4417999999999997</v>
      </c>
    </row>
    <row r="213" spans="44:91">
      <c r="AR213">
        <f t="shared" si="107"/>
        <v>2022</v>
      </c>
      <c r="AS213" s="307">
        <f t="shared" si="118"/>
        <v>44562</v>
      </c>
      <c r="AT213" s="115">
        <v>96.97</v>
      </c>
      <c r="AU213" s="115">
        <v>86.9</v>
      </c>
      <c r="AV213" s="287">
        <f t="shared" si="111"/>
        <v>92.639899999999997</v>
      </c>
      <c r="AW213" s="271">
        <v>400</v>
      </c>
      <c r="AX213" s="271">
        <v>344</v>
      </c>
      <c r="AY213" s="271">
        <f t="shared" si="108"/>
        <v>0.5376344086021505</v>
      </c>
      <c r="AZ213" s="271">
        <f t="shared" si="109"/>
        <v>0.46236559139784944</v>
      </c>
      <c r="BD213">
        <f t="shared" si="112"/>
        <v>2022</v>
      </c>
      <c r="BE213" s="306">
        <f t="shared" si="117"/>
        <v>44562</v>
      </c>
      <c r="BF213" s="114">
        <f t="shared" si="110"/>
        <v>11.853681348558998</v>
      </c>
      <c r="BG213" s="115">
        <v>11.853681348558998</v>
      </c>
      <c r="BI213">
        <f t="shared" si="123"/>
        <v>2020</v>
      </c>
      <c r="BJ213" s="306">
        <v>44165</v>
      </c>
      <c r="BK213">
        <f t="shared" si="124"/>
        <v>5.7850000000000001</v>
      </c>
      <c r="BL213">
        <v>5.81</v>
      </c>
      <c r="BM213">
        <v>5.76</v>
      </c>
      <c r="BO213">
        <f t="shared" si="125"/>
        <v>2024</v>
      </c>
      <c r="BP213" s="286">
        <v>45566</v>
      </c>
      <c r="BQ213">
        <f t="shared" si="126"/>
        <v>12.370000000000001</v>
      </c>
      <c r="BR213">
        <v>12.39</v>
      </c>
      <c r="BS213">
        <v>12.35</v>
      </c>
      <c r="BT213">
        <f t="shared" si="113"/>
        <v>2031</v>
      </c>
      <c r="BU213" s="286">
        <v>47939</v>
      </c>
      <c r="BV213">
        <f t="shared" si="119"/>
        <v>5.0521500000000001</v>
      </c>
      <c r="BW213" s="580">
        <v>5.0887000000000002</v>
      </c>
      <c r="BX213" s="580">
        <v>5.0156000000000001</v>
      </c>
      <c r="BY213">
        <f t="shared" si="114"/>
        <v>2034</v>
      </c>
      <c r="BZ213" s="286">
        <v>49035</v>
      </c>
      <c r="CA213">
        <f t="shared" si="122"/>
        <v>5.6768000000000001</v>
      </c>
      <c r="CB213" s="580">
        <v>5.9523999999999999</v>
      </c>
      <c r="CC213" s="580">
        <v>5.4012000000000002</v>
      </c>
      <c r="CD213" s="364">
        <f t="shared" si="115"/>
        <v>2035</v>
      </c>
      <c r="CE213" s="381">
        <v>49430</v>
      </c>
      <c r="CF213" s="364">
        <f t="shared" si="120"/>
        <v>3.9203999999999999</v>
      </c>
      <c r="CG213" s="411">
        <v>4.0715000000000003</v>
      </c>
      <c r="CH213" s="411">
        <v>3.7692999999999999</v>
      </c>
      <c r="CI213" s="364">
        <f t="shared" si="116"/>
        <v>2037</v>
      </c>
      <c r="CJ213" s="381">
        <v>50161</v>
      </c>
      <c r="CK213" s="364">
        <f t="shared" si="121"/>
        <v>5.4896000000000003</v>
      </c>
      <c r="CL213" s="411">
        <v>5.6016000000000004</v>
      </c>
      <c r="CM213" s="411">
        <v>5.3776000000000002</v>
      </c>
    </row>
    <row r="214" spans="44:91">
      <c r="AR214">
        <f t="shared" ref="AR214:AR277" si="127">+YEAR(AS214)</f>
        <v>2022</v>
      </c>
      <c r="AS214" s="307">
        <f t="shared" si="118"/>
        <v>44593</v>
      </c>
      <c r="AT214" s="115">
        <v>92.93</v>
      </c>
      <c r="AU214" s="115">
        <v>79.819999999999993</v>
      </c>
      <c r="AV214" s="287">
        <f t="shared" si="111"/>
        <v>87.292699999999996</v>
      </c>
      <c r="AW214" s="271">
        <v>384</v>
      </c>
      <c r="AX214" s="271">
        <v>288</v>
      </c>
      <c r="AY214" s="271">
        <f t="shared" ref="AY214:AY277" si="128">AW214/(AW214+AX214)</f>
        <v>0.5714285714285714</v>
      </c>
      <c r="AZ214" s="271">
        <f t="shared" ref="AZ214:AZ277" si="129">AX214/(AW214+AX214)</f>
        <v>0.42857142857142855</v>
      </c>
      <c r="BD214">
        <f t="shared" si="112"/>
        <v>2022</v>
      </c>
      <c r="BE214" s="306">
        <f t="shared" si="117"/>
        <v>44593</v>
      </c>
      <c r="BF214" s="114">
        <f t="shared" ref="BF214:BF277" si="130">BG214</f>
        <v>11.143376835236541</v>
      </c>
      <c r="BG214" s="115">
        <v>11.143376835236541</v>
      </c>
      <c r="BI214">
        <f t="shared" si="123"/>
        <v>2020</v>
      </c>
      <c r="BJ214" s="306">
        <v>44196</v>
      </c>
      <c r="BK214">
        <f t="shared" si="124"/>
        <v>6.0749999999999993</v>
      </c>
      <c r="BL214">
        <v>6.05</v>
      </c>
      <c r="BM214">
        <v>6.1</v>
      </c>
      <c r="BO214">
        <f t="shared" si="125"/>
        <v>2024</v>
      </c>
      <c r="BP214" s="286">
        <v>45597</v>
      </c>
      <c r="BQ214">
        <f t="shared" si="126"/>
        <v>12.555</v>
      </c>
      <c r="BR214">
        <v>12.57</v>
      </c>
      <c r="BS214">
        <v>12.54</v>
      </c>
      <c r="BT214">
        <f t="shared" si="113"/>
        <v>2031</v>
      </c>
      <c r="BU214" s="286">
        <v>47969</v>
      </c>
      <c r="BV214">
        <f t="shared" si="119"/>
        <v>4.9132999999999996</v>
      </c>
      <c r="BW214" s="580">
        <v>4.9718</v>
      </c>
      <c r="BX214" s="580">
        <v>4.8548</v>
      </c>
      <c r="BY214">
        <f t="shared" si="114"/>
        <v>2034</v>
      </c>
      <c r="BZ214" s="286">
        <v>49065</v>
      </c>
      <c r="CA214">
        <f t="shared" si="122"/>
        <v>5.6925499999999998</v>
      </c>
      <c r="CB214" s="580">
        <v>5.9523999999999999</v>
      </c>
      <c r="CC214" s="580">
        <v>5.4326999999999996</v>
      </c>
      <c r="CD214" s="364">
        <f t="shared" si="115"/>
        <v>2035</v>
      </c>
      <c r="CE214" s="381">
        <v>49461</v>
      </c>
      <c r="CF214" s="364">
        <f t="shared" si="120"/>
        <v>3.9443000000000001</v>
      </c>
      <c r="CG214" s="411">
        <v>3.992</v>
      </c>
      <c r="CH214" s="411">
        <v>3.8965999999999998</v>
      </c>
      <c r="CI214" s="364">
        <f t="shared" si="116"/>
        <v>2037</v>
      </c>
      <c r="CJ214" s="381">
        <v>50192</v>
      </c>
      <c r="CK214" s="364">
        <f t="shared" si="121"/>
        <v>5.5542499999999997</v>
      </c>
      <c r="CL214" s="411">
        <v>5.7243000000000004</v>
      </c>
      <c r="CM214" s="411">
        <v>5.3841999999999999</v>
      </c>
    </row>
    <row r="215" spans="44:91">
      <c r="AR215">
        <f t="shared" si="127"/>
        <v>2022</v>
      </c>
      <c r="AS215" s="307">
        <f t="shared" si="118"/>
        <v>44621</v>
      </c>
      <c r="AT215" s="115">
        <v>80.760000000000005</v>
      </c>
      <c r="AU215" s="115">
        <v>74.260000000000005</v>
      </c>
      <c r="AV215" s="287">
        <f t="shared" si="111"/>
        <v>77.965000000000003</v>
      </c>
      <c r="AW215" s="271">
        <v>432</v>
      </c>
      <c r="AX215" s="271">
        <v>312</v>
      </c>
      <c r="AY215" s="271">
        <f t="shared" si="128"/>
        <v>0.58064516129032262</v>
      </c>
      <c r="AZ215" s="271">
        <f t="shared" si="129"/>
        <v>0.41935483870967744</v>
      </c>
      <c r="BD215">
        <f t="shared" si="112"/>
        <v>2022</v>
      </c>
      <c r="BE215" s="306">
        <f t="shared" si="117"/>
        <v>44621</v>
      </c>
      <c r="BF215" s="114">
        <f t="shared" si="130"/>
        <v>10.480652528548124</v>
      </c>
      <c r="BG215" s="115">
        <v>10.480652528548124</v>
      </c>
      <c r="BI215">
        <f t="shared" si="123"/>
        <v>2021</v>
      </c>
      <c r="BJ215" s="306">
        <v>44227</v>
      </c>
      <c r="BK215">
        <f t="shared" si="124"/>
        <v>6.75</v>
      </c>
      <c r="BL215">
        <v>6.68</v>
      </c>
      <c r="BM215">
        <v>6.82</v>
      </c>
      <c r="BO215">
        <f t="shared" si="125"/>
        <v>2024</v>
      </c>
      <c r="BP215" s="286">
        <v>45627</v>
      </c>
      <c r="BQ215">
        <f t="shared" si="126"/>
        <v>13.18</v>
      </c>
      <c r="BR215">
        <v>13.1</v>
      </c>
      <c r="BS215">
        <v>13.26</v>
      </c>
      <c r="BT215">
        <f t="shared" si="113"/>
        <v>2031</v>
      </c>
      <c r="BU215" s="286">
        <v>48000</v>
      </c>
      <c r="BV215">
        <f t="shared" si="119"/>
        <v>4.9206000000000003</v>
      </c>
      <c r="BW215" s="580">
        <v>4.9718</v>
      </c>
      <c r="BX215" s="580">
        <v>4.8693999999999997</v>
      </c>
      <c r="BY215">
        <f t="shared" si="114"/>
        <v>2034</v>
      </c>
      <c r="BZ215" s="286">
        <v>49096</v>
      </c>
      <c r="CA215">
        <f t="shared" si="122"/>
        <v>5.7397999999999998</v>
      </c>
      <c r="CB215" s="580">
        <v>6.0153999999999996</v>
      </c>
      <c r="CC215" s="580">
        <v>5.4641999999999999</v>
      </c>
      <c r="CD215" s="364">
        <f t="shared" si="115"/>
        <v>2035</v>
      </c>
      <c r="CE215" s="381">
        <v>49491</v>
      </c>
      <c r="CF215" s="364">
        <f t="shared" si="120"/>
        <v>4.0158500000000004</v>
      </c>
      <c r="CG215" s="411">
        <v>4.1032999999999999</v>
      </c>
      <c r="CH215" s="411">
        <v>3.9283999999999999</v>
      </c>
      <c r="CI215" s="364">
        <f t="shared" si="116"/>
        <v>2037</v>
      </c>
      <c r="CJ215" s="381">
        <v>50222</v>
      </c>
      <c r="CK215" s="364">
        <f t="shared" si="121"/>
        <v>5.7463999999999995</v>
      </c>
      <c r="CL215" s="411">
        <v>6.0537999999999998</v>
      </c>
      <c r="CM215" s="411">
        <v>5.4390000000000001</v>
      </c>
    </row>
    <row r="216" spans="44:91">
      <c r="AR216">
        <f t="shared" si="127"/>
        <v>2022</v>
      </c>
      <c r="AS216" s="307">
        <f t="shared" si="118"/>
        <v>44652</v>
      </c>
      <c r="AT216" s="115">
        <v>77.569999999999993</v>
      </c>
      <c r="AU216" s="115">
        <v>73.2</v>
      </c>
      <c r="AV216" s="287">
        <f t="shared" si="111"/>
        <v>75.690899999999999</v>
      </c>
      <c r="AW216" s="271">
        <v>416</v>
      </c>
      <c r="AX216" s="271">
        <v>304</v>
      </c>
      <c r="AY216" s="271">
        <f t="shared" si="128"/>
        <v>0.57777777777777772</v>
      </c>
      <c r="AZ216" s="271">
        <f t="shared" si="129"/>
        <v>0.42222222222222222</v>
      </c>
      <c r="BD216">
        <f t="shared" si="112"/>
        <v>2022</v>
      </c>
      <c r="BE216" s="306">
        <f t="shared" si="117"/>
        <v>44652</v>
      </c>
      <c r="BF216" s="114">
        <f t="shared" si="130"/>
        <v>9.9164872213159327</v>
      </c>
      <c r="BG216" s="115">
        <v>9.9164872213159327</v>
      </c>
      <c r="BI216">
        <f t="shared" si="123"/>
        <v>2021</v>
      </c>
      <c r="BJ216" s="306">
        <v>44255</v>
      </c>
      <c r="BK216">
        <f t="shared" si="124"/>
        <v>6.2799999999999994</v>
      </c>
      <c r="BL216">
        <v>6.26</v>
      </c>
      <c r="BM216">
        <v>6.3</v>
      </c>
      <c r="BO216">
        <f t="shared" si="125"/>
        <v>2025</v>
      </c>
      <c r="BP216" s="286">
        <v>45658</v>
      </c>
      <c r="BQ216">
        <f t="shared" si="126"/>
        <v>14.42</v>
      </c>
      <c r="BR216">
        <v>14.23</v>
      </c>
      <c r="BS216">
        <v>14.61</v>
      </c>
      <c r="BT216">
        <f t="shared" si="113"/>
        <v>2031</v>
      </c>
      <c r="BU216" s="286">
        <v>48030</v>
      </c>
      <c r="BV216">
        <f t="shared" si="119"/>
        <v>4.9644500000000003</v>
      </c>
      <c r="BW216" s="580">
        <v>5.0449000000000002</v>
      </c>
      <c r="BX216" s="580">
        <v>4.8840000000000003</v>
      </c>
      <c r="BY216">
        <f t="shared" si="114"/>
        <v>2034</v>
      </c>
      <c r="BZ216" s="286">
        <v>49126</v>
      </c>
      <c r="CA216">
        <f t="shared" si="122"/>
        <v>5.92875</v>
      </c>
      <c r="CB216" s="580">
        <v>6.1727999999999996</v>
      </c>
      <c r="CC216" s="580">
        <v>5.6847000000000003</v>
      </c>
      <c r="CD216" s="364">
        <f t="shared" si="115"/>
        <v>2035</v>
      </c>
      <c r="CE216" s="381">
        <v>49522</v>
      </c>
      <c r="CF216" s="364">
        <f t="shared" si="120"/>
        <v>4.0874500000000005</v>
      </c>
      <c r="CG216" s="411">
        <v>4.2305999999999999</v>
      </c>
      <c r="CH216" s="411">
        <v>3.9443000000000001</v>
      </c>
      <c r="CI216" s="364">
        <f t="shared" si="116"/>
        <v>2037</v>
      </c>
      <c r="CJ216" s="381">
        <v>50253</v>
      </c>
      <c r="CK216" s="364">
        <f t="shared" si="121"/>
        <v>6.1100499999999993</v>
      </c>
      <c r="CL216" s="411">
        <v>6.3723999999999998</v>
      </c>
      <c r="CM216" s="411">
        <v>5.8476999999999997</v>
      </c>
    </row>
    <row r="217" spans="44:91">
      <c r="AR217">
        <f t="shared" si="127"/>
        <v>2022</v>
      </c>
      <c r="AS217" s="307">
        <f t="shared" si="118"/>
        <v>44682</v>
      </c>
      <c r="AT217" s="115">
        <v>82.12</v>
      </c>
      <c r="AU217" s="115">
        <v>67.64</v>
      </c>
      <c r="AV217" s="287">
        <f t="shared" si="111"/>
        <v>75.893599999999992</v>
      </c>
      <c r="AW217" s="271">
        <v>400</v>
      </c>
      <c r="AX217" s="271">
        <v>344</v>
      </c>
      <c r="AY217" s="271">
        <f t="shared" si="128"/>
        <v>0.5376344086021505</v>
      </c>
      <c r="AZ217" s="271">
        <f t="shared" si="129"/>
        <v>0.46236559139784944</v>
      </c>
      <c r="BD217">
        <f t="shared" si="112"/>
        <v>2022</v>
      </c>
      <c r="BE217" s="306">
        <f t="shared" si="117"/>
        <v>44682</v>
      </c>
      <c r="BF217" s="114">
        <f t="shared" si="130"/>
        <v>9.8145296356715583</v>
      </c>
      <c r="BG217" s="115">
        <v>9.8145296356715583</v>
      </c>
      <c r="BI217">
        <f t="shared" si="123"/>
        <v>2021</v>
      </c>
      <c r="BJ217" s="306">
        <v>44286</v>
      </c>
      <c r="BK217">
        <f t="shared" si="124"/>
        <v>5.8949999999999996</v>
      </c>
      <c r="BL217">
        <v>5.92</v>
      </c>
      <c r="BM217">
        <v>5.87</v>
      </c>
      <c r="BO217">
        <f t="shared" si="125"/>
        <v>2025</v>
      </c>
      <c r="BP217" s="286">
        <v>45689</v>
      </c>
      <c r="BQ217">
        <f t="shared" si="126"/>
        <v>13.414999999999999</v>
      </c>
      <c r="BR217">
        <v>13.33</v>
      </c>
      <c r="BS217">
        <v>13.5</v>
      </c>
      <c r="BT217">
        <f t="shared" si="113"/>
        <v>2031</v>
      </c>
      <c r="BU217" s="286">
        <v>48061</v>
      </c>
      <c r="BV217">
        <f t="shared" si="119"/>
        <v>5.1033499999999998</v>
      </c>
      <c r="BW217" s="580">
        <v>5.1326000000000001</v>
      </c>
      <c r="BX217" s="580">
        <v>5.0740999999999996</v>
      </c>
      <c r="BY217">
        <f t="shared" si="114"/>
        <v>2034</v>
      </c>
      <c r="BZ217" s="286">
        <v>49157</v>
      </c>
      <c r="CA217">
        <f t="shared" si="122"/>
        <v>5.9917499999999997</v>
      </c>
      <c r="CB217" s="580">
        <v>6.2201000000000004</v>
      </c>
      <c r="CC217" s="580">
        <v>5.7633999999999999</v>
      </c>
      <c r="CD217" s="364">
        <f t="shared" si="115"/>
        <v>2035</v>
      </c>
      <c r="CE217" s="381">
        <v>49553</v>
      </c>
      <c r="CF217" s="364">
        <f t="shared" si="120"/>
        <v>3.9442499999999998</v>
      </c>
      <c r="CG217" s="411">
        <v>4.1509999999999998</v>
      </c>
      <c r="CH217" s="411">
        <v>3.7374999999999998</v>
      </c>
      <c r="CI217" s="364">
        <f t="shared" si="116"/>
        <v>2037</v>
      </c>
      <c r="CJ217" s="381">
        <v>50284</v>
      </c>
      <c r="CK217" s="364">
        <f t="shared" si="121"/>
        <v>6.1582500000000007</v>
      </c>
      <c r="CL217" s="411">
        <v>6.3985000000000003</v>
      </c>
      <c r="CM217" s="411">
        <v>5.9180000000000001</v>
      </c>
    </row>
    <row r="218" spans="44:91">
      <c r="AR218">
        <f t="shared" si="127"/>
        <v>2022</v>
      </c>
      <c r="AS218" s="307">
        <f t="shared" si="118"/>
        <v>44713</v>
      </c>
      <c r="AT218" s="115">
        <v>83.55</v>
      </c>
      <c r="AU218" s="115">
        <v>71.86</v>
      </c>
      <c r="AV218" s="287">
        <f t="shared" si="111"/>
        <v>78.523299999999992</v>
      </c>
      <c r="AW218" s="271">
        <v>416</v>
      </c>
      <c r="AX218" s="271">
        <v>304</v>
      </c>
      <c r="AY218" s="271">
        <f t="shared" si="128"/>
        <v>0.57777777777777772</v>
      </c>
      <c r="AZ218" s="271">
        <f t="shared" si="129"/>
        <v>0.42222222222222222</v>
      </c>
      <c r="BD218">
        <f t="shared" si="112"/>
        <v>2022</v>
      </c>
      <c r="BE218" s="306">
        <f t="shared" si="117"/>
        <v>44713</v>
      </c>
      <c r="BF218" s="114">
        <f t="shared" si="130"/>
        <v>9.970864600326264</v>
      </c>
      <c r="BG218" s="115">
        <v>9.970864600326264</v>
      </c>
      <c r="BI218">
        <f t="shared" si="123"/>
        <v>2021</v>
      </c>
      <c r="BJ218" s="306">
        <v>44316</v>
      </c>
      <c r="BK218">
        <f t="shared" si="124"/>
        <v>5.51</v>
      </c>
      <c r="BL218">
        <v>5.58</v>
      </c>
      <c r="BM218">
        <v>5.44</v>
      </c>
      <c r="BO218">
        <f t="shared" si="125"/>
        <v>2025</v>
      </c>
      <c r="BP218" s="286">
        <v>45717</v>
      </c>
      <c r="BQ218">
        <f t="shared" si="126"/>
        <v>12.594999999999999</v>
      </c>
      <c r="BR218">
        <v>12.61</v>
      </c>
      <c r="BS218">
        <v>12.58</v>
      </c>
      <c r="BT218">
        <f t="shared" si="113"/>
        <v>2031</v>
      </c>
      <c r="BU218" s="286">
        <v>48092</v>
      </c>
      <c r="BV218">
        <f t="shared" si="119"/>
        <v>5.1033999999999997</v>
      </c>
      <c r="BW218" s="580">
        <v>5.1033999999999997</v>
      </c>
      <c r="BX218" s="580">
        <v>5.1033999999999997</v>
      </c>
      <c r="BY218">
        <f t="shared" si="114"/>
        <v>2034</v>
      </c>
      <c r="BZ218" s="286">
        <v>49188</v>
      </c>
      <c r="CA218">
        <f t="shared" si="122"/>
        <v>5.9130000000000003</v>
      </c>
      <c r="CB218" s="580">
        <v>6.2042999999999999</v>
      </c>
      <c r="CC218" s="580">
        <v>5.6216999999999997</v>
      </c>
      <c r="CD218" s="364">
        <f t="shared" si="115"/>
        <v>2035</v>
      </c>
      <c r="CE218" s="381">
        <v>49583</v>
      </c>
      <c r="CF218" s="364">
        <f t="shared" si="120"/>
        <v>4.2464500000000003</v>
      </c>
      <c r="CG218" s="411">
        <v>4.3737000000000004</v>
      </c>
      <c r="CH218" s="411">
        <v>4.1192000000000002</v>
      </c>
      <c r="CI218" s="364">
        <f t="shared" si="116"/>
        <v>2037</v>
      </c>
      <c r="CJ218" s="381">
        <v>50314</v>
      </c>
      <c r="CK218" s="364">
        <f t="shared" si="121"/>
        <v>6.30985</v>
      </c>
      <c r="CL218" s="411">
        <v>6.4492000000000003</v>
      </c>
      <c r="CM218" s="411">
        <v>6.1704999999999997</v>
      </c>
    </row>
    <row r="219" spans="44:91">
      <c r="AR219">
        <f t="shared" si="127"/>
        <v>2022</v>
      </c>
      <c r="AS219" s="307">
        <f t="shared" si="118"/>
        <v>44743</v>
      </c>
      <c r="AT219" s="115">
        <v>80.959999999999994</v>
      </c>
      <c r="AU219" s="115">
        <v>77.08</v>
      </c>
      <c r="AV219" s="287">
        <f t="shared" si="111"/>
        <v>79.291599999999988</v>
      </c>
      <c r="AW219" s="271">
        <v>400</v>
      </c>
      <c r="AX219" s="271">
        <v>344</v>
      </c>
      <c r="AY219" s="271">
        <f t="shared" si="128"/>
        <v>0.5376344086021505</v>
      </c>
      <c r="AZ219" s="271">
        <f t="shared" si="129"/>
        <v>0.46236559139784944</v>
      </c>
      <c r="BD219">
        <f t="shared" si="112"/>
        <v>2022</v>
      </c>
      <c r="BE219" s="306">
        <f t="shared" si="117"/>
        <v>44743</v>
      </c>
      <c r="BF219" s="114">
        <f t="shared" si="130"/>
        <v>10.123800978792822</v>
      </c>
      <c r="BG219" s="115">
        <v>10.123800978792822</v>
      </c>
      <c r="BI219">
        <f t="shared" si="123"/>
        <v>2021</v>
      </c>
      <c r="BJ219" s="306">
        <v>44347</v>
      </c>
      <c r="BK219">
        <f t="shared" si="124"/>
        <v>5.51</v>
      </c>
      <c r="BL219">
        <v>5.58</v>
      </c>
      <c r="BM219">
        <v>5.44</v>
      </c>
      <c r="BO219">
        <f t="shared" si="125"/>
        <v>2025</v>
      </c>
      <c r="BP219" s="286">
        <v>45748</v>
      </c>
      <c r="BQ219">
        <f t="shared" si="126"/>
        <v>11.77</v>
      </c>
      <c r="BR219">
        <v>11.89</v>
      </c>
      <c r="BS219">
        <v>11.65</v>
      </c>
      <c r="BT219">
        <f t="shared" si="113"/>
        <v>2031</v>
      </c>
      <c r="BU219" s="286">
        <v>48122</v>
      </c>
      <c r="BV219">
        <f t="shared" si="119"/>
        <v>5.1691500000000001</v>
      </c>
      <c r="BW219" s="580">
        <v>5.1471999999999998</v>
      </c>
      <c r="BX219" s="580">
        <v>5.1910999999999996</v>
      </c>
      <c r="BY219">
        <f t="shared" si="114"/>
        <v>2034</v>
      </c>
      <c r="BZ219" s="286">
        <v>49218</v>
      </c>
      <c r="CA219">
        <f t="shared" si="122"/>
        <v>5.9917499999999997</v>
      </c>
      <c r="CB219" s="580">
        <v>6.2988</v>
      </c>
      <c r="CC219" s="580">
        <v>5.6847000000000003</v>
      </c>
      <c r="CD219" s="364">
        <f t="shared" si="115"/>
        <v>2035</v>
      </c>
      <c r="CE219" s="381">
        <v>49614</v>
      </c>
      <c r="CF219" s="364">
        <f t="shared" si="120"/>
        <v>4.827</v>
      </c>
      <c r="CG219" s="411">
        <v>4.66</v>
      </c>
      <c r="CH219" s="411">
        <v>4.9939999999999998</v>
      </c>
      <c r="CI219" s="364">
        <f t="shared" si="116"/>
        <v>2037</v>
      </c>
      <c r="CJ219" s="381">
        <v>50345</v>
      </c>
      <c r="CK219" s="364">
        <f t="shared" si="121"/>
        <v>6.9143499999999998</v>
      </c>
      <c r="CL219" s="411">
        <v>6.9962999999999997</v>
      </c>
      <c r="CM219" s="411">
        <v>6.8323999999999998</v>
      </c>
    </row>
    <row r="220" spans="44:91">
      <c r="AR220">
        <f t="shared" si="127"/>
        <v>2022</v>
      </c>
      <c r="AS220" s="307">
        <f t="shared" si="118"/>
        <v>44774</v>
      </c>
      <c r="AT220" s="115">
        <v>82.94</v>
      </c>
      <c r="AU220" s="115">
        <v>77.73</v>
      </c>
      <c r="AV220" s="287">
        <f t="shared" si="111"/>
        <v>80.699700000000007</v>
      </c>
      <c r="AW220" s="271">
        <v>432</v>
      </c>
      <c r="AX220" s="271">
        <v>312</v>
      </c>
      <c r="AY220" s="271">
        <f t="shared" si="128"/>
        <v>0.58064516129032262</v>
      </c>
      <c r="AZ220" s="271">
        <f t="shared" si="129"/>
        <v>0.41935483870967744</v>
      </c>
      <c r="BD220">
        <f t="shared" si="112"/>
        <v>2022</v>
      </c>
      <c r="BE220" s="306">
        <f t="shared" si="117"/>
        <v>44774</v>
      </c>
      <c r="BF220" s="114">
        <f t="shared" si="130"/>
        <v>10.123800978792822</v>
      </c>
      <c r="BG220" s="115">
        <v>10.123800978792822</v>
      </c>
      <c r="BI220">
        <f t="shared" si="123"/>
        <v>2021</v>
      </c>
      <c r="BJ220" s="306">
        <v>44377</v>
      </c>
      <c r="BK220">
        <f t="shared" si="124"/>
        <v>5.6</v>
      </c>
      <c r="BL220">
        <v>5.67</v>
      </c>
      <c r="BM220">
        <v>5.53</v>
      </c>
      <c r="BO220">
        <f t="shared" si="125"/>
        <v>2025</v>
      </c>
      <c r="BP220" s="286">
        <v>45778</v>
      </c>
      <c r="BQ220">
        <f t="shared" si="126"/>
        <v>11.77</v>
      </c>
      <c r="BR220">
        <v>11.89</v>
      </c>
      <c r="BS220">
        <v>11.65</v>
      </c>
      <c r="BT220">
        <f t="shared" si="113"/>
        <v>2031</v>
      </c>
      <c r="BU220" s="286">
        <v>48153</v>
      </c>
      <c r="BV220">
        <f t="shared" si="119"/>
        <v>5.33</v>
      </c>
      <c r="BW220" s="580">
        <v>5.3227000000000002</v>
      </c>
      <c r="BX220" s="580">
        <v>5.3372999999999999</v>
      </c>
      <c r="BY220">
        <f t="shared" si="114"/>
        <v>2034</v>
      </c>
      <c r="BZ220" s="286">
        <v>49249</v>
      </c>
      <c r="CA220">
        <f t="shared" si="122"/>
        <v>6.1964500000000005</v>
      </c>
      <c r="CB220" s="580">
        <v>6.4562999999999997</v>
      </c>
      <c r="CC220" s="580">
        <v>5.9366000000000003</v>
      </c>
      <c r="CD220" s="364">
        <f t="shared" si="115"/>
        <v>2035</v>
      </c>
      <c r="CE220" s="381">
        <v>49644</v>
      </c>
      <c r="CF220" s="364">
        <f t="shared" si="120"/>
        <v>5.4710999999999999</v>
      </c>
      <c r="CG220" s="411">
        <v>5.2165999999999997</v>
      </c>
      <c r="CH220" s="411">
        <v>5.7256</v>
      </c>
      <c r="CI220" s="364">
        <f t="shared" si="116"/>
        <v>2037</v>
      </c>
      <c r="CJ220" s="381">
        <v>50375</v>
      </c>
      <c r="CK220" s="364">
        <f t="shared" si="121"/>
        <v>7.2450999999999999</v>
      </c>
      <c r="CL220" s="411">
        <v>7.2759</v>
      </c>
      <c r="CM220" s="411">
        <v>7.2142999999999997</v>
      </c>
    </row>
    <row r="221" spans="44:91">
      <c r="AR221">
        <f t="shared" si="127"/>
        <v>2022</v>
      </c>
      <c r="AS221" s="307">
        <f t="shared" si="118"/>
        <v>44805</v>
      </c>
      <c r="AT221" s="115">
        <v>81.709999999999994</v>
      </c>
      <c r="AU221" s="115">
        <v>76.489999999999995</v>
      </c>
      <c r="AV221" s="287">
        <f t="shared" si="111"/>
        <v>79.465399999999988</v>
      </c>
      <c r="AW221" s="271">
        <v>400</v>
      </c>
      <c r="AX221" s="271">
        <v>320</v>
      </c>
      <c r="AY221" s="271">
        <f t="shared" si="128"/>
        <v>0.55555555555555558</v>
      </c>
      <c r="AZ221" s="271">
        <f t="shared" si="129"/>
        <v>0.44444444444444442</v>
      </c>
      <c r="BD221">
        <f t="shared" si="112"/>
        <v>2022</v>
      </c>
      <c r="BE221" s="306">
        <f t="shared" si="117"/>
        <v>44805</v>
      </c>
      <c r="BF221" s="114">
        <f t="shared" si="130"/>
        <v>10.123800978792822</v>
      </c>
      <c r="BG221" s="115">
        <v>10.123800978792822</v>
      </c>
      <c r="BI221">
        <f t="shared" si="123"/>
        <v>2021</v>
      </c>
      <c r="BJ221" s="306">
        <v>44408</v>
      </c>
      <c r="BK221">
        <f t="shared" si="124"/>
        <v>5.68</v>
      </c>
      <c r="BL221">
        <v>5.75</v>
      </c>
      <c r="BM221">
        <v>5.61</v>
      </c>
      <c r="BO221">
        <f t="shared" si="125"/>
        <v>2025</v>
      </c>
      <c r="BP221" s="286">
        <v>45809</v>
      </c>
      <c r="BQ221">
        <f t="shared" si="126"/>
        <v>11.955</v>
      </c>
      <c r="BR221">
        <v>12.07</v>
      </c>
      <c r="BS221">
        <v>11.84</v>
      </c>
      <c r="BT221">
        <f t="shared" si="113"/>
        <v>2031</v>
      </c>
      <c r="BU221" s="286">
        <v>48183</v>
      </c>
      <c r="BV221">
        <f t="shared" si="119"/>
        <v>5.5566499999999994</v>
      </c>
      <c r="BW221" s="580">
        <v>5.5419999999999998</v>
      </c>
      <c r="BX221" s="580">
        <v>5.5712999999999999</v>
      </c>
      <c r="BY221">
        <f t="shared" si="114"/>
        <v>2034</v>
      </c>
      <c r="BZ221" s="286">
        <v>49279</v>
      </c>
      <c r="CA221">
        <f t="shared" si="122"/>
        <v>6.6452500000000008</v>
      </c>
      <c r="CB221" s="580">
        <v>6.8185000000000002</v>
      </c>
      <c r="CC221" s="580">
        <v>6.4720000000000004</v>
      </c>
      <c r="CD221" s="364">
        <f t="shared" si="115"/>
        <v>2036</v>
      </c>
      <c r="CE221" s="381">
        <v>49675</v>
      </c>
      <c r="CF221" s="364">
        <f t="shared" si="120"/>
        <v>5.6294500000000003</v>
      </c>
      <c r="CG221" s="411">
        <v>5.2877999999999998</v>
      </c>
      <c r="CH221" s="411">
        <v>5.9710999999999999</v>
      </c>
      <c r="CI221" s="364">
        <f t="shared" si="116"/>
        <v>2038</v>
      </c>
      <c r="CJ221" s="381">
        <v>50406</v>
      </c>
      <c r="CK221" s="364">
        <f t="shared" si="121"/>
        <v>7.5740999999999996</v>
      </c>
      <c r="CL221" s="411">
        <v>7.6683000000000003</v>
      </c>
      <c r="CM221" s="411">
        <v>7.4798999999999998</v>
      </c>
    </row>
    <row r="222" spans="44:91">
      <c r="AR222">
        <f t="shared" si="127"/>
        <v>2022</v>
      </c>
      <c r="AS222" s="307">
        <f t="shared" si="118"/>
        <v>44835</v>
      </c>
      <c r="AT222" s="115">
        <v>81.78</v>
      </c>
      <c r="AU222" s="115">
        <v>74.319999999999993</v>
      </c>
      <c r="AV222" s="287">
        <f t="shared" ref="AV222:AV285" si="131">AT222*0.57+AU222*0.43</f>
        <v>78.572199999999995</v>
      </c>
      <c r="AW222" s="271">
        <v>416</v>
      </c>
      <c r="AX222" s="271">
        <v>328</v>
      </c>
      <c r="AY222" s="271">
        <f t="shared" si="128"/>
        <v>0.55913978494623651</v>
      </c>
      <c r="AZ222" s="271">
        <f t="shared" si="129"/>
        <v>0.44086021505376344</v>
      </c>
      <c r="BD222">
        <f t="shared" si="112"/>
        <v>2022</v>
      </c>
      <c r="BE222" s="306">
        <f t="shared" si="117"/>
        <v>44835</v>
      </c>
      <c r="BF222" s="114">
        <f t="shared" si="130"/>
        <v>10.480652528548124</v>
      </c>
      <c r="BG222" s="115">
        <v>10.480652528548124</v>
      </c>
      <c r="BI222">
        <f t="shared" si="123"/>
        <v>2021</v>
      </c>
      <c r="BJ222" s="306">
        <v>44439</v>
      </c>
      <c r="BK222">
        <f t="shared" si="124"/>
        <v>5.68</v>
      </c>
      <c r="BL222">
        <v>5.75</v>
      </c>
      <c r="BM222">
        <v>5.61</v>
      </c>
      <c r="BO222">
        <f t="shared" si="125"/>
        <v>2025</v>
      </c>
      <c r="BP222" s="286">
        <v>45839</v>
      </c>
      <c r="BQ222">
        <f t="shared" si="126"/>
        <v>12.135</v>
      </c>
      <c r="BR222">
        <v>12.25</v>
      </c>
      <c r="BS222">
        <v>12.02</v>
      </c>
      <c r="BT222">
        <f t="shared" si="113"/>
        <v>2032</v>
      </c>
      <c r="BU222" s="286">
        <v>48214</v>
      </c>
      <c r="BV222">
        <f t="shared" si="119"/>
        <v>5.6938499999999994</v>
      </c>
      <c r="BW222" s="580">
        <v>5.6788999999999996</v>
      </c>
      <c r="BX222" s="580">
        <v>5.7088000000000001</v>
      </c>
      <c r="BY222">
        <f t="shared" si="114"/>
        <v>2035</v>
      </c>
      <c r="BZ222" s="286">
        <v>49310</v>
      </c>
      <c r="CA222">
        <f t="shared" si="122"/>
        <v>6.6224500000000006</v>
      </c>
      <c r="CB222" s="580">
        <v>6.8879999999999999</v>
      </c>
      <c r="CC222" s="580">
        <v>6.3569000000000004</v>
      </c>
      <c r="CD222" s="364">
        <f t="shared" si="115"/>
        <v>2036</v>
      </c>
      <c r="CE222" s="381">
        <v>49706</v>
      </c>
      <c r="CF222" s="364">
        <f t="shared" si="120"/>
        <v>5.0437500000000002</v>
      </c>
      <c r="CG222" s="411">
        <v>4.7834000000000003</v>
      </c>
      <c r="CH222" s="411">
        <v>5.3041</v>
      </c>
      <c r="CI222" s="364">
        <f t="shared" si="116"/>
        <v>2038</v>
      </c>
      <c r="CJ222" s="381">
        <v>50437</v>
      </c>
      <c r="CK222" s="364">
        <f t="shared" si="121"/>
        <v>7.1916000000000002</v>
      </c>
      <c r="CL222" s="411">
        <v>7.2906000000000004</v>
      </c>
      <c r="CM222" s="411">
        <v>7.0926</v>
      </c>
    </row>
    <row r="223" spans="44:91">
      <c r="AR223">
        <f t="shared" si="127"/>
        <v>2022</v>
      </c>
      <c r="AS223" s="307">
        <f t="shared" si="118"/>
        <v>44866</v>
      </c>
      <c r="AT223" s="115">
        <v>90.34</v>
      </c>
      <c r="AU223" s="115">
        <v>72.010000000000005</v>
      </c>
      <c r="AV223" s="287">
        <f t="shared" si="131"/>
        <v>82.458100000000002</v>
      </c>
      <c r="AW223" s="271">
        <v>400</v>
      </c>
      <c r="AX223" s="271">
        <v>320</v>
      </c>
      <c r="AY223" s="271">
        <f t="shared" si="128"/>
        <v>0.55555555555555558</v>
      </c>
      <c r="AZ223" s="271">
        <f t="shared" si="129"/>
        <v>0.44444444444444442</v>
      </c>
      <c r="BD223">
        <f t="shared" si="112"/>
        <v>2022</v>
      </c>
      <c r="BE223" s="306">
        <f t="shared" si="117"/>
        <v>44866</v>
      </c>
      <c r="BF223" s="114">
        <f t="shared" si="130"/>
        <v>10.630190320826536</v>
      </c>
      <c r="BG223" s="115">
        <v>10.630190320826536</v>
      </c>
      <c r="BI223">
        <f t="shared" si="123"/>
        <v>2021</v>
      </c>
      <c r="BJ223" s="306">
        <v>44469</v>
      </c>
      <c r="BK223">
        <f t="shared" si="124"/>
        <v>5.68</v>
      </c>
      <c r="BL223">
        <v>5.75</v>
      </c>
      <c r="BM223">
        <v>5.61</v>
      </c>
      <c r="BO223">
        <f t="shared" si="125"/>
        <v>2025</v>
      </c>
      <c r="BP223" s="286">
        <v>45870</v>
      </c>
      <c r="BQ223">
        <f t="shared" si="126"/>
        <v>12.135</v>
      </c>
      <c r="BR223">
        <v>12.25</v>
      </c>
      <c r="BS223">
        <v>12.02</v>
      </c>
      <c r="BT223">
        <f t="shared" si="113"/>
        <v>2032</v>
      </c>
      <c r="BU223" s="286">
        <v>48245</v>
      </c>
      <c r="BV223">
        <f t="shared" si="119"/>
        <v>5.7386499999999998</v>
      </c>
      <c r="BW223" s="580">
        <v>5.7237</v>
      </c>
      <c r="BX223" s="580">
        <v>5.7535999999999996</v>
      </c>
      <c r="BY223">
        <f t="shared" si="114"/>
        <v>2035</v>
      </c>
      <c r="BZ223" s="286">
        <v>49341</v>
      </c>
      <c r="CA223">
        <f t="shared" si="122"/>
        <v>6.6466000000000003</v>
      </c>
      <c r="CB223" s="580">
        <v>6.9202000000000004</v>
      </c>
      <c r="CC223" s="580">
        <v>6.3730000000000002</v>
      </c>
      <c r="CD223" s="364">
        <f t="shared" si="115"/>
        <v>2036</v>
      </c>
      <c r="CE223" s="381">
        <v>49735</v>
      </c>
      <c r="CF223" s="364">
        <f t="shared" si="120"/>
        <v>4.6857500000000005</v>
      </c>
      <c r="CG223" s="411">
        <v>4.6044</v>
      </c>
      <c r="CH223" s="411">
        <v>4.7671000000000001</v>
      </c>
      <c r="CI223" s="364">
        <f t="shared" si="116"/>
        <v>2038</v>
      </c>
      <c r="CJ223" s="381">
        <v>50465</v>
      </c>
      <c r="CK223" s="364">
        <f t="shared" si="121"/>
        <v>6.0728</v>
      </c>
      <c r="CL223" s="411">
        <v>6.1951999999999998</v>
      </c>
      <c r="CM223" s="411">
        <v>5.9504000000000001</v>
      </c>
    </row>
    <row r="224" spans="44:91">
      <c r="AR224">
        <f t="shared" si="127"/>
        <v>2022</v>
      </c>
      <c r="AS224" s="307">
        <f t="shared" si="118"/>
        <v>44896</v>
      </c>
      <c r="AT224" s="115">
        <v>91.48</v>
      </c>
      <c r="AU224" s="115">
        <v>75.459999999999994</v>
      </c>
      <c r="AV224" s="287">
        <f t="shared" si="131"/>
        <v>84.591399999999993</v>
      </c>
      <c r="AW224" s="271">
        <v>416</v>
      </c>
      <c r="AX224" s="271">
        <v>328</v>
      </c>
      <c r="AY224" s="271">
        <f t="shared" si="128"/>
        <v>0.55913978494623651</v>
      </c>
      <c r="AZ224" s="271">
        <f t="shared" si="129"/>
        <v>0.44086021505376344</v>
      </c>
      <c r="BD224">
        <f t="shared" si="112"/>
        <v>2022</v>
      </c>
      <c r="BE224" s="306">
        <f t="shared" si="117"/>
        <v>44896</v>
      </c>
      <c r="BF224" s="114">
        <f t="shared" si="130"/>
        <v>11.143376835236541</v>
      </c>
      <c r="BG224" s="115">
        <v>11.143376835236541</v>
      </c>
      <c r="BI224">
        <f t="shared" si="123"/>
        <v>2021</v>
      </c>
      <c r="BJ224" s="306">
        <v>44500</v>
      </c>
      <c r="BK224">
        <f t="shared" si="124"/>
        <v>5.8949999999999996</v>
      </c>
      <c r="BL224">
        <v>5.92</v>
      </c>
      <c r="BM224">
        <v>5.87</v>
      </c>
      <c r="BO224">
        <f t="shared" si="125"/>
        <v>2025</v>
      </c>
      <c r="BP224" s="286">
        <v>45901</v>
      </c>
      <c r="BQ224">
        <f t="shared" si="126"/>
        <v>12.135</v>
      </c>
      <c r="BR224">
        <v>12.25</v>
      </c>
      <c r="BS224">
        <v>12.02</v>
      </c>
      <c r="BT224">
        <f t="shared" si="113"/>
        <v>2032</v>
      </c>
      <c r="BU224" s="286">
        <v>48274</v>
      </c>
      <c r="BV224">
        <f t="shared" si="119"/>
        <v>5.5070499999999996</v>
      </c>
      <c r="BW224" s="580">
        <v>5.4996</v>
      </c>
      <c r="BX224" s="580">
        <v>5.5145</v>
      </c>
      <c r="BY224">
        <f t="shared" si="114"/>
        <v>2035</v>
      </c>
      <c r="BZ224" s="286">
        <v>49369</v>
      </c>
      <c r="CA224">
        <f t="shared" si="122"/>
        <v>5.8902000000000001</v>
      </c>
      <c r="CB224" s="580">
        <v>6.1638000000000002</v>
      </c>
      <c r="CC224" s="580">
        <v>5.6166</v>
      </c>
      <c r="CD224" s="364">
        <f t="shared" si="115"/>
        <v>2036</v>
      </c>
      <c r="CE224" s="381">
        <v>49766</v>
      </c>
      <c r="CF224" s="364">
        <f t="shared" si="120"/>
        <v>3.9943</v>
      </c>
      <c r="CG224" s="411">
        <v>4.0350000000000001</v>
      </c>
      <c r="CH224" s="411">
        <v>3.9535999999999998</v>
      </c>
      <c r="CI224" s="364">
        <f t="shared" si="116"/>
        <v>2038</v>
      </c>
      <c r="CJ224" s="381">
        <v>50496</v>
      </c>
      <c r="CK224" s="364">
        <f t="shared" si="121"/>
        <v>5.6816499999999994</v>
      </c>
      <c r="CL224" s="411">
        <v>5.7595999999999998</v>
      </c>
      <c r="CM224" s="411">
        <v>5.6036999999999999</v>
      </c>
    </row>
    <row r="225" spans="44:91">
      <c r="AR225">
        <f t="shared" si="127"/>
        <v>2023</v>
      </c>
      <c r="AS225" s="307">
        <f t="shared" si="118"/>
        <v>44927</v>
      </c>
      <c r="AT225" s="115">
        <v>99.66</v>
      </c>
      <c r="AU225" s="115">
        <v>87.05</v>
      </c>
      <c r="AV225" s="287">
        <f t="shared" si="131"/>
        <v>94.23769999999999</v>
      </c>
      <c r="AW225" s="271">
        <v>400</v>
      </c>
      <c r="AX225" s="271">
        <v>344</v>
      </c>
      <c r="AY225" s="271">
        <f t="shared" si="128"/>
        <v>0.5376344086021505</v>
      </c>
      <c r="AZ225" s="271">
        <f t="shared" si="129"/>
        <v>0.46236559139784944</v>
      </c>
      <c r="BD225">
        <f t="shared" si="112"/>
        <v>2023</v>
      </c>
      <c r="BE225" s="306">
        <f t="shared" si="117"/>
        <v>44927</v>
      </c>
      <c r="BF225" s="114">
        <f t="shared" si="130"/>
        <v>12.081386623164763</v>
      </c>
      <c r="BG225" s="115">
        <v>12.081386623164763</v>
      </c>
      <c r="BI225">
        <f t="shared" si="123"/>
        <v>2021</v>
      </c>
      <c r="BJ225" s="306">
        <v>44530</v>
      </c>
      <c r="BK225">
        <f t="shared" si="124"/>
        <v>5.9849999999999994</v>
      </c>
      <c r="BL225">
        <v>6.01</v>
      </c>
      <c r="BM225">
        <v>5.96</v>
      </c>
      <c r="BO225">
        <f t="shared" si="125"/>
        <v>2025</v>
      </c>
      <c r="BP225" s="286">
        <v>45931</v>
      </c>
      <c r="BQ225">
        <f t="shared" si="126"/>
        <v>12.594999999999999</v>
      </c>
      <c r="BR225">
        <v>12.61</v>
      </c>
      <c r="BS225">
        <v>12.58</v>
      </c>
      <c r="BT225">
        <f t="shared" si="113"/>
        <v>2032</v>
      </c>
      <c r="BU225" s="286">
        <v>48305</v>
      </c>
      <c r="BV225">
        <f t="shared" si="119"/>
        <v>5.2380500000000003</v>
      </c>
      <c r="BW225" s="580">
        <v>5.2754000000000003</v>
      </c>
      <c r="BX225" s="580">
        <v>5.2007000000000003</v>
      </c>
      <c r="BY225">
        <f t="shared" si="114"/>
        <v>2035</v>
      </c>
      <c r="BZ225" s="286">
        <v>49400</v>
      </c>
      <c r="CA225">
        <f t="shared" si="122"/>
        <v>5.2866999999999997</v>
      </c>
      <c r="CB225" s="580">
        <v>5.6005000000000003</v>
      </c>
      <c r="CC225" s="580">
        <v>4.9729000000000001</v>
      </c>
      <c r="CD225" s="364">
        <f t="shared" si="115"/>
        <v>2036</v>
      </c>
      <c r="CE225" s="381">
        <v>49796</v>
      </c>
      <c r="CF225" s="364">
        <f t="shared" si="120"/>
        <v>3.8723000000000001</v>
      </c>
      <c r="CG225" s="411">
        <v>3.9862000000000002</v>
      </c>
      <c r="CH225" s="411">
        <v>3.7584</v>
      </c>
      <c r="CI225" s="364">
        <f t="shared" si="116"/>
        <v>2038</v>
      </c>
      <c r="CJ225" s="381">
        <v>50526</v>
      </c>
      <c r="CK225" s="364">
        <f t="shared" si="121"/>
        <v>5.6802000000000001</v>
      </c>
      <c r="CL225" s="411">
        <v>5.7930999999999999</v>
      </c>
      <c r="CM225" s="411">
        <v>5.5673000000000004</v>
      </c>
    </row>
    <row r="226" spans="44:91">
      <c r="AR226">
        <f t="shared" si="127"/>
        <v>2023</v>
      </c>
      <c r="AS226" s="307">
        <f t="shared" si="118"/>
        <v>44958</v>
      </c>
      <c r="AT226" s="115">
        <v>93.42</v>
      </c>
      <c r="AU226" s="115">
        <v>80.260000000000005</v>
      </c>
      <c r="AV226" s="287">
        <f t="shared" si="131"/>
        <v>87.761200000000002</v>
      </c>
      <c r="AW226" s="271">
        <v>384</v>
      </c>
      <c r="AX226" s="271">
        <v>288</v>
      </c>
      <c r="AY226" s="271">
        <f t="shared" si="128"/>
        <v>0.5714285714285714</v>
      </c>
      <c r="AZ226" s="271">
        <f t="shared" si="129"/>
        <v>0.42857142857142855</v>
      </c>
      <c r="BD226">
        <f t="shared" ref="BD226:BD289" si="132">+YEAR(BE226)</f>
        <v>2023</v>
      </c>
      <c r="BE226" s="306">
        <f t="shared" si="117"/>
        <v>44958</v>
      </c>
      <c r="BF226" s="114">
        <f t="shared" si="130"/>
        <v>11.354089178901576</v>
      </c>
      <c r="BG226" s="115">
        <v>11.354089178901576</v>
      </c>
      <c r="BI226">
        <f t="shared" si="123"/>
        <v>2021</v>
      </c>
      <c r="BJ226" s="306">
        <v>44561</v>
      </c>
      <c r="BK226">
        <f t="shared" si="124"/>
        <v>6.2799999999999994</v>
      </c>
      <c r="BL226">
        <v>6.26</v>
      </c>
      <c r="BM226">
        <v>6.3</v>
      </c>
      <c r="BO226">
        <f t="shared" si="125"/>
        <v>2025</v>
      </c>
      <c r="BP226" s="286">
        <v>45962</v>
      </c>
      <c r="BQ226">
        <f t="shared" si="126"/>
        <v>12.774999999999999</v>
      </c>
      <c r="BR226">
        <v>12.79</v>
      </c>
      <c r="BS226">
        <v>12.76</v>
      </c>
      <c r="BT226">
        <f t="shared" ref="BT226:BT289" si="133">YEAR(BU226)</f>
        <v>2032</v>
      </c>
      <c r="BU226" s="286">
        <v>48335</v>
      </c>
      <c r="BV226">
        <f t="shared" si="119"/>
        <v>4.9764999999999997</v>
      </c>
      <c r="BW226" s="580">
        <v>5.0064000000000002</v>
      </c>
      <c r="BX226" s="580">
        <v>4.9466000000000001</v>
      </c>
      <c r="BY226">
        <f t="shared" ref="BY226:BY289" si="134">YEAR(BZ226)</f>
        <v>2035</v>
      </c>
      <c r="BZ226" s="286">
        <v>49430</v>
      </c>
      <c r="CA226">
        <f t="shared" si="122"/>
        <v>5.2706</v>
      </c>
      <c r="CB226" s="580">
        <v>5.5843999999999996</v>
      </c>
      <c r="CC226" s="580">
        <v>4.9568000000000003</v>
      </c>
      <c r="CD226" s="364">
        <f t="shared" ref="CD226:CD289" si="135">YEAR(CE226)</f>
        <v>2036</v>
      </c>
      <c r="CE226" s="381">
        <v>49827</v>
      </c>
      <c r="CF226" s="364">
        <f t="shared" si="120"/>
        <v>3.8723000000000001</v>
      </c>
      <c r="CG226" s="411">
        <v>3.9699</v>
      </c>
      <c r="CH226" s="411">
        <v>3.7747000000000002</v>
      </c>
      <c r="CI226" s="364">
        <f t="shared" ref="CI226:CI289" si="136">YEAR(CJ226)</f>
        <v>2038</v>
      </c>
      <c r="CJ226" s="381">
        <v>50557</v>
      </c>
      <c r="CK226" s="364">
        <f t="shared" si="121"/>
        <v>5.7809499999999998</v>
      </c>
      <c r="CL226" s="411">
        <v>5.9703999999999997</v>
      </c>
      <c r="CM226" s="411">
        <v>5.5914999999999999</v>
      </c>
    </row>
    <row r="227" spans="44:91">
      <c r="AR227">
        <f t="shared" si="127"/>
        <v>2023</v>
      </c>
      <c r="AS227" s="307">
        <f t="shared" si="118"/>
        <v>44986</v>
      </c>
      <c r="AT227" s="115">
        <v>82.83</v>
      </c>
      <c r="AU227" s="115">
        <v>75.17</v>
      </c>
      <c r="AV227" s="287">
        <f t="shared" si="131"/>
        <v>79.536200000000008</v>
      </c>
      <c r="AW227" s="271">
        <v>432</v>
      </c>
      <c r="AX227" s="271">
        <v>312</v>
      </c>
      <c r="AY227" s="271">
        <f t="shared" si="128"/>
        <v>0.58064516129032262</v>
      </c>
      <c r="AZ227" s="271">
        <f t="shared" si="129"/>
        <v>0.41935483870967744</v>
      </c>
      <c r="BD227">
        <f t="shared" si="132"/>
        <v>2023</v>
      </c>
      <c r="BE227" s="306">
        <f t="shared" ref="BE227:BE290" si="137">EOMONTH(BE226,0)+1</f>
        <v>44986</v>
      </c>
      <c r="BF227" s="114">
        <f t="shared" si="130"/>
        <v>10.677770527460575</v>
      </c>
      <c r="BG227" s="115">
        <v>10.677770527460575</v>
      </c>
      <c r="BI227">
        <f t="shared" si="123"/>
        <v>2022</v>
      </c>
      <c r="BJ227" s="306">
        <v>44592</v>
      </c>
      <c r="BK227">
        <f t="shared" si="124"/>
        <v>6.99</v>
      </c>
      <c r="BL227">
        <v>6.92</v>
      </c>
      <c r="BM227">
        <v>7.06</v>
      </c>
      <c r="BO227">
        <f t="shared" si="125"/>
        <v>2025</v>
      </c>
      <c r="BP227" s="286">
        <v>45992</v>
      </c>
      <c r="BQ227">
        <f t="shared" si="126"/>
        <v>13.414999999999999</v>
      </c>
      <c r="BR227">
        <v>13.33</v>
      </c>
      <c r="BS227">
        <v>13.5</v>
      </c>
      <c r="BT227">
        <f t="shared" si="133"/>
        <v>2032</v>
      </c>
      <c r="BU227" s="286">
        <v>48366</v>
      </c>
      <c r="BV227">
        <f t="shared" si="119"/>
        <v>4.9914500000000004</v>
      </c>
      <c r="BW227" s="580">
        <v>5.0362999999999998</v>
      </c>
      <c r="BX227" s="580">
        <v>4.9466000000000001</v>
      </c>
      <c r="BY227">
        <f t="shared" si="134"/>
        <v>2035</v>
      </c>
      <c r="BZ227" s="286">
        <v>49461</v>
      </c>
      <c r="CA227">
        <f t="shared" si="122"/>
        <v>5.3108500000000003</v>
      </c>
      <c r="CB227" s="580">
        <v>5.6487999999999996</v>
      </c>
      <c r="CC227" s="580">
        <v>4.9729000000000001</v>
      </c>
      <c r="CD227" s="364">
        <f t="shared" si="135"/>
        <v>2036</v>
      </c>
      <c r="CE227" s="381">
        <v>49857</v>
      </c>
      <c r="CF227" s="364">
        <f t="shared" si="120"/>
        <v>3.9455</v>
      </c>
      <c r="CG227" s="411">
        <v>4.0838000000000001</v>
      </c>
      <c r="CH227" s="411">
        <v>3.8071999999999999</v>
      </c>
      <c r="CI227" s="364">
        <f t="shared" si="136"/>
        <v>2038</v>
      </c>
      <c r="CJ227" s="381">
        <v>50587</v>
      </c>
      <c r="CK227" s="364">
        <f t="shared" si="121"/>
        <v>5.9878499999999999</v>
      </c>
      <c r="CL227" s="411">
        <v>6.3292999999999999</v>
      </c>
      <c r="CM227" s="411">
        <v>5.6463999999999999</v>
      </c>
    </row>
    <row r="228" spans="44:91">
      <c r="AR228">
        <f t="shared" si="127"/>
        <v>2023</v>
      </c>
      <c r="AS228" s="307">
        <f t="shared" si="118"/>
        <v>45017</v>
      </c>
      <c r="AT228" s="115">
        <v>79.45</v>
      </c>
      <c r="AU228" s="115">
        <v>74.78</v>
      </c>
      <c r="AV228" s="287">
        <f t="shared" si="131"/>
        <v>77.441900000000004</v>
      </c>
      <c r="AW228" s="271">
        <v>400</v>
      </c>
      <c r="AX228" s="271">
        <v>320</v>
      </c>
      <c r="AY228" s="271">
        <f t="shared" si="128"/>
        <v>0.55555555555555558</v>
      </c>
      <c r="AZ228" s="271">
        <f t="shared" si="129"/>
        <v>0.44444444444444442</v>
      </c>
      <c r="BD228">
        <f t="shared" si="132"/>
        <v>2023</v>
      </c>
      <c r="BE228" s="306">
        <f t="shared" si="137"/>
        <v>45017</v>
      </c>
      <c r="BF228" s="114">
        <f t="shared" si="130"/>
        <v>10.106808047852095</v>
      </c>
      <c r="BG228" s="115">
        <v>10.106808047852095</v>
      </c>
      <c r="BI228">
        <f t="shared" si="123"/>
        <v>2022</v>
      </c>
      <c r="BJ228" s="306">
        <v>44620</v>
      </c>
      <c r="BK228">
        <f t="shared" si="124"/>
        <v>6.5</v>
      </c>
      <c r="BL228">
        <v>6.48</v>
      </c>
      <c r="BM228">
        <v>6.52</v>
      </c>
      <c r="BO228">
        <f t="shared" si="125"/>
        <v>2026</v>
      </c>
      <c r="BP228" s="286">
        <v>46023</v>
      </c>
      <c r="BQ228">
        <f t="shared" si="126"/>
        <v>14.68</v>
      </c>
      <c r="BR228">
        <v>14.49</v>
      </c>
      <c r="BS228">
        <v>14.87</v>
      </c>
      <c r="BT228">
        <f t="shared" si="133"/>
        <v>2032</v>
      </c>
      <c r="BU228" s="286">
        <v>48396</v>
      </c>
      <c r="BV228">
        <f t="shared" si="119"/>
        <v>5.0064000000000002</v>
      </c>
      <c r="BW228" s="580">
        <v>5.0811000000000002</v>
      </c>
      <c r="BX228" s="580">
        <v>4.9317000000000002</v>
      </c>
      <c r="BY228">
        <f t="shared" si="134"/>
        <v>2035</v>
      </c>
      <c r="BZ228" s="286">
        <v>49491</v>
      </c>
      <c r="CA228">
        <f t="shared" si="122"/>
        <v>5.5120000000000005</v>
      </c>
      <c r="CB228" s="580">
        <v>5.8258000000000001</v>
      </c>
      <c r="CC228" s="580">
        <v>5.1981999999999999</v>
      </c>
      <c r="CD228" s="364">
        <f t="shared" si="135"/>
        <v>2036</v>
      </c>
      <c r="CE228" s="381">
        <v>49888</v>
      </c>
      <c r="CF228" s="364">
        <f t="shared" si="120"/>
        <v>4.0106000000000002</v>
      </c>
      <c r="CG228" s="411">
        <v>4.1977000000000002</v>
      </c>
      <c r="CH228" s="411">
        <v>3.8235000000000001</v>
      </c>
      <c r="CI228" s="364">
        <f t="shared" si="136"/>
        <v>2038</v>
      </c>
      <c r="CJ228" s="381">
        <v>50618</v>
      </c>
      <c r="CK228" s="364">
        <f t="shared" si="121"/>
        <v>6.4287000000000001</v>
      </c>
      <c r="CL228" s="411">
        <v>6.7168999999999999</v>
      </c>
      <c r="CM228" s="411">
        <v>6.1405000000000003</v>
      </c>
    </row>
    <row r="229" spans="44:91">
      <c r="AR229">
        <f t="shared" si="127"/>
        <v>2023</v>
      </c>
      <c r="AS229" s="307">
        <f t="shared" si="118"/>
        <v>45047</v>
      </c>
      <c r="AT229" s="115">
        <v>83.71</v>
      </c>
      <c r="AU229" s="115">
        <v>73.58</v>
      </c>
      <c r="AV229" s="287">
        <f t="shared" si="131"/>
        <v>79.354099999999988</v>
      </c>
      <c r="AW229" s="271">
        <v>416</v>
      </c>
      <c r="AX229" s="271">
        <v>328</v>
      </c>
      <c r="AY229" s="271">
        <f t="shared" si="128"/>
        <v>0.55913978494623651</v>
      </c>
      <c r="AZ229" s="271">
        <f t="shared" si="129"/>
        <v>0.44086021505376344</v>
      </c>
      <c r="BD229">
        <f t="shared" si="132"/>
        <v>2023</v>
      </c>
      <c r="BE229" s="306">
        <f t="shared" si="137"/>
        <v>45047</v>
      </c>
      <c r="BF229" s="114">
        <f t="shared" si="130"/>
        <v>10.00485046220772</v>
      </c>
      <c r="BG229" s="115">
        <v>10.00485046220772</v>
      </c>
      <c r="BI229">
        <f t="shared" si="123"/>
        <v>2022</v>
      </c>
      <c r="BJ229" s="306">
        <v>44651</v>
      </c>
      <c r="BK229">
        <f t="shared" si="124"/>
        <v>6.1050000000000004</v>
      </c>
      <c r="BL229">
        <v>6.13</v>
      </c>
      <c r="BM229">
        <v>6.08</v>
      </c>
      <c r="BO229">
        <f t="shared" si="125"/>
        <v>2026</v>
      </c>
      <c r="BP229" s="286">
        <v>46054</v>
      </c>
      <c r="BQ229">
        <f t="shared" si="126"/>
        <v>13.655000000000001</v>
      </c>
      <c r="BR229">
        <v>13.57</v>
      </c>
      <c r="BS229">
        <v>13.74</v>
      </c>
      <c r="BT229">
        <f t="shared" si="133"/>
        <v>2032</v>
      </c>
      <c r="BU229" s="286">
        <v>48427</v>
      </c>
      <c r="BV229">
        <f t="shared" si="119"/>
        <v>5.2006999999999994</v>
      </c>
      <c r="BW229" s="580">
        <v>5.2305999999999999</v>
      </c>
      <c r="BX229" s="580">
        <v>5.1707999999999998</v>
      </c>
      <c r="BY229">
        <f t="shared" si="134"/>
        <v>2035</v>
      </c>
      <c r="BZ229" s="286">
        <v>49522</v>
      </c>
      <c r="CA229">
        <f t="shared" si="122"/>
        <v>5.5602999999999998</v>
      </c>
      <c r="CB229" s="580">
        <v>5.8902000000000001</v>
      </c>
      <c r="CC229" s="580">
        <v>5.2304000000000004</v>
      </c>
      <c r="CD229" s="364">
        <f t="shared" si="135"/>
        <v>2036</v>
      </c>
      <c r="CE229" s="381">
        <v>49919</v>
      </c>
      <c r="CF229" s="364">
        <f t="shared" si="120"/>
        <v>3.8885999999999998</v>
      </c>
      <c r="CG229" s="411">
        <v>4.1651999999999996</v>
      </c>
      <c r="CH229" s="411">
        <v>3.6120000000000001</v>
      </c>
      <c r="CI229" s="364">
        <f t="shared" si="136"/>
        <v>2038</v>
      </c>
      <c r="CJ229" s="381">
        <v>50649</v>
      </c>
      <c r="CK229" s="364">
        <f t="shared" si="121"/>
        <v>6.5050000000000008</v>
      </c>
      <c r="CL229" s="411">
        <v>6.7697000000000003</v>
      </c>
      <c r="CM229" s="411">
        <v>6.2403000000000004</v>
      </c>
    </row>
    <row r="230" spans="44:91">
      <c r="AR230">
        <f t="shared" si="127"/>
        <v>2023</v>
      </c>
      <c r="AS230" s="307">
        <f t="shared" si="118"/>
        <v>45078</v>
      </c>
      <c r="AT230" s="115">
        <v>89.11</v>
      </c>
      <c r="AU230" s="115">
        <v>76.38</v>
      </c>
      <c r="AV230" s="287">
        <f t="shared" si="131"/>
        <v>83.636099999999999</v>
      </c>
      <c r="AW230" s="271">
        <v>416</v>
      </c>
      <c r="AX230" s="271">
        <v>304</v>
      </c>
      <c r="AY230" s="271">
        <f t="shared" si="128"/>
        <v>0.57777777777777772</v>
      </c>
      <c r="AZ230" s="271">
        <f t="shared" si="129"/>
        <v>0.42222222222222222</v>
      </c>
      <c r="BD230">
        <f t="shared" si="132"/>
        <v>2023</v>
      </c>
      <c r="BE230" s="306">
        <f t="shared" si="137"/>
        <v>45078</v>
      </c>
      <c r="BF230" s="114">
        <f t="shared" si="130"/>
        <v>10.157786840674278</v>
      </c>
      <c r="BG230" s="115">
        <v>10.157786840674278</v>
      </c>
      <c r="BI230">
        <f t="shared" si="123"/>
        <v>2022</v>
      </c>
      <c r="BJ230" s="306">
        <v>44681</v>
      </c>
      <c r="BK230">
        <f t="shared" si="124"/>
        <v>5.7050000000000001</v>
      </c>
      <c r="BL230">
        <v>5.78</v>
      </c>
      <c r="BM230">
        <v>5.63</v>
      </c>
      <c r="BO230">
        <f t="shared" si="125"/>
        <v>2026</v>
      </c>
      <c r="BP230" s="286">
        <v>46082</v>
      </c>
      <c r="BQ230">
        <f t="shared" si="126"/>
        <v>12.82</v>
      </c>
      <c r="BR230">
        <v>12.84</v>
      </c>
      <c r="BS230">
        <v>12.8</v>
      </c>
      <c r="BT230">
        <f t="shared" si="133"/>
        <v>2032</v>
      </c>
      <c r="BU230" s="286">
        <v>48458</v>
      </c>
      <c r="BV230">
        <f t="shared" si="119"/>
        <v>5.1932</v>
      </c>
      <c r="BW230" s="580">
        <v>5.2007000000000003</v>
      </c>
      <c r="BX230" s="580">
        <v>5.1856999999999998</v>
      </c>
      <c r="BY230">
        <f t="shared" si="134"/>
        <v>2035</v>
      </c>
      <c r="BZ230" s="286">
        <v>49553</v>
      </c>
      <c r="CA230">
        <f t="shared" si="122"/>
        <v>5.4636999999999993</v>
      </c>
      <c r="CB230" s="580">
        <v>5.8418999999999999</v>
      </c>
      <c r="CC230" s="580">
        <v>5.0854999999999997</v>
      </c>
      <c r="CD230" s="364">
        <f t="shared" si="135"/>
        <v>2036</v>
      </c>
      <c r="CE230" s="381">
        <v>49949</v>
      </c>
      <c r="CF230" s="364">
        <f t="shared" si="120"/>
        <v>4.2058</v>
      </c>
      <c r="CG230" s="411">
        <v>4.4417</v>
      </c>
      <c r="CH230" s="411">
        <v>3.9699</v>
      </c>
      <c r="CI230" s="364">
        <f t="shared" si="136"/>
        <v>2038</v>
      </c>
      <c r="CJ230" s="381">
        <v>50679</v>
      </c>
      <c r="CK230" s="364">
        <f t="shared" si="121"/>
        <v>6.6641499999999994</v>
      </c>
      <c r="CL230" s="411">
        <v>6.8300999999999998</v>
      </c>
      <c r="CM230" s="411">
        <v>6.4981999999999998</v>
      </c>
    </row>
    <row r="231" spans="44:91">
      <c r="AR231">
        <f t="shared" si="127"/>
        <v>2023</v>
      </c>
      <c r="AS231" s="307">
        <f t="shared" si="118"/>
        <v>45108</v>
      </c>
      <c r="AT231" s="115">
        <v>81.98</v>
      </c>
      <c r="AU231" s="115">
        <v>77.400000000000006</v>
      </c>
      <c r="AV231" s="287">
        <f t="shared" si="131"/>
        <v>80.010600000000011</v>
      </c>
      <c r="AW231" s="271">
        <v>400</v>
      </c>
      <c r="AX231" s="271">
        <v>344</v>
      </c>
      <c r="AY231" s="271">
        <f t="shared" si="128"/>
        <v>0.5376344086021505</v>
      </c>
      <c r="AZ231" s="271">
        <f t="shared" si="129"/>
        <v>0.46236559139784944</v>
      </c>
      <c r="BD231">
        <f t="shared" si="132"/>
        <v>2023</v>
      </c>
      <c r="BE231" s="306">
        <f t="shared" si="137"/>
        <v>45108</v>
      </c>
      <c r="BF231" s="114">
        <f t="shared" si="130"/>
        <v>10.310723219140835</v>
      </c>
      <c r="BG231" s="115">
        <v>10.310723219140835</v>
      </c>
      <c r="BI231">
        <f t="shared" si="123"/>
        <v>2022</v>
      </c>
      <c r="BJ231" s="306">
        <v>44712</v>
      </c>
      <c r="BK231">
        <f t="shared" si="124"/>
        <v>5.7050000000000001</v>
      </c>
      <c r="BL231">
        <v>5.78</v>
      </c>
      <c r="BM231">
        <v>5.63</v>
      </c>
      <c r="BO231">
        <f t="shared" si="125"/>
        <v>2026</v>
      </c>
      <c r="BP231" s="286">
        <v>46113</v>
      </c>
      <c r="BQ231">
        <f t="shared" si="126"/>
        <v>11.98</v>
      </c>
      <c r="BR231">
        <v>12.1</v>
      </c>
      <c r="BS231">
        <v>11.86</v>
      </c>
      <c r="BT231">
        <f t="shared" si="133"/>
        <v>2032</v>
      </c>
      <c r="BU231" s="286">
        <v>48488</v>
      </c>
      <c r="BV231">
        <f t="shared" si="119"/>
        <v>5.2754000000000003</v>
      </c>
      <c r="BW231" s="580">
        <v>5.2754000000000003</v>
      </c>
      <c r="BX231" s="580">
        <v>5.2754000000000003</v>
      </c>
      <c r="BY231">
        <f t="shared" si="134"/>
        <v>2035</v>
      </c>
      <c r="BZ231" s="286">
        <v>49583</v>
      </c>
      <c r="CA231">
        <f t="shared" si="122"/>
        <v>5.4798</v>
      </c>
      <c r="CB231" s="580">
        <v>5.8741000000000003</v>
      </c>
      <c r="CC231" s="580">
        <v>5.0854999999999997</v>
      </c>
      <c r="CD231" s="364">
        <f t="shared" si="135"/>
        <v>2036</v>
      </c>
      <c r="CE231" s="381">
        <v>49980</v>
      </c>
      <c r="CF231" s="364">
        <f t="shared" si="120"/>
        <v>5.0112000000000005</v>
      </c>
      <c r="CG231" s="411">
        <v>4.8973000000000004</v>
      </c>
      <c r="CH231" s="411">
        <v>5.1250999999999998</v>
      </c>
      <c r="CI231" s="364">
        <f t="shared" si="136"/>
        <v>2038</v>
      </c>
      <c r="CJ231" s="381">
        <v>50710</v>
      </c>
      <c r="CK231" s="364">
        <f t="shared" si="121"/>
        <v>7.2614999999999998</v>
      </c>
      <c r="CL231" s="411">
        <v>7.3632</v>
      </c>
      <c r="CM231" s="411">
        <v>7.1597999999999997</v>
      </c>
    </row>
    <row r="232" spans="44:91">
      <c r="AR232">
        <f t="shared" si="127"/>
        <v>2023</v>
      </c>
      <c r="AS232" s="307">
        <f t="shared" si="118"/>
        <v>45139</v>
      </c>
      <c r="AT232" s="115">
        <v>84.69</v>
      </c>
      <c r="AU232" s="115">
        <v>78.900000000000006</v>
      </c>
      <c r="AV232" s="287">
        <f t="shared" si="131"/>
        <v>82.200299999999999</v>
      </c>
      <c r="AW232" s="271">
        <v>432</v>
      </c>
      <c r="AX232" s="271">
        <v>312</v>
      </c>
      <c r="AY232" s="271">
        <f t="shared" si="128"/>
        <v>0.58064516129032262</v>
      </c>
      <c r="AZ232" s="271">
        <f t="shared" si="129"/>
        <v>0.41935483870967744</v>
      </c>
      <c r="BD232">
        <f t="shared" si="132"/>
        <v>2023</v>
      </c>
      <c r="BE232" s="306">
        <f t="shared" si="137"/>
        <v>45139</v>
      </c>
      <c r="BF232" s="114">
        <f t="shared" si="130"/>
        <v>10.310723219140835</v>
      </c>
      <c r="BG232" s="115">
        <v>10.310723219140835</v>
      </c>
      <c r="BI232">
        <f t="shared" si="123"/>
        <v>2022</v>
      </c>
      <c r="BJ232" s="306">
        <v>44742</v>
      </c>
      <c r="BK232">
        <f t="shared" si="124"/>
        <v>5.7949999999999999</v>
      </c>
      <c r="BL232">
        <v>5.87</v>
      </c>
      <c r="BM232">
        <v>5.72</v>
      </c>
      <c r="BO232">
        <f t="shared" si="125"/>
        <v>2026</v>
      </c>
      <c r="BP232" s="286">
        <v>46143</v>
      </c>
      <c r="BQ232">
        <f t="shared" si="126"/>
        <v>11.98</v>
      </c>
      <c r="BR232">
        <v>12.1</v>
      </c>
      <c r="BS232">
        <v>11.86</v>
      </c>
      <c r="BT232">
        <f t="shared" si="133"/>
        <v>2032</v>
      </c>
      <c r="BU232" s="286">
        <v>48519</v>
      </c>
      <c r="BV232">
        <f t="shared" si="119"/>
        <v>5.4846000000000004</v>
      </c>
      <c r="BW232" s="580">
        <v>5.4846000000000004</v>
      </c>
      <c r="BX232" s="580">
        <v>5.4846000000000004</v>
      </c>
      <c r="BY232">
        <f t="shared" si="134"/>
        <v>2035</v>
      </c>
      <c r="BZ232" s="286">
        <v>49614</v>
      </c>
      <c r="CA232">
        <f t="shared" si="122"/>
        <v>5.6407500000000006</v>
      </c>
      <c r="CB232" s="580">
        <v>6.0189000000000004</v>
      </c>
      <c r="CC232" s="580">
        <v>5.2625999999999999</v>
      </c>
      <c r="CD232" s="364">
        <f t="shared" si="135"/>
        <v>2036</v>
      </c>
      <c r="CE232" s="381">
        <v>50010</v>
      </c>
      <c r="CF232" s="364">
        <f t="shared" si="120"/>
        <v>5.6375999999999999</v>
      </c>
      <c r="CG232" s="411">
        <v>5.3853999999999997</v>
      </c>
      <c r="CH232" s="411">
        <v>5.8898000000000001</v>
      </c>
      <c r="CI232" s="364">
        <f t="shared" si="136"/>
        <v>2038</v>
      </c>
      <c r="CJ232" s="381">
        <v>50740</v>
      </c>
      <c r="CK232" s="364">
        <f t="shared" si="121"/>
        <v>7.5709</v>
      </c>
      <c r="CL232" s="411">
        <v>7.6525999999999996</v>
      </c>
      <c r="CM232" s="411">
        <v>7.4892000000000003</v>
      </c>
    </row>
    <row r="233" spans="44:91">
      <c r="AR233">
        <f t="shared" si="127"/>
        <v>2023</v>
      </c>
      <c r="AS233" s="307">
        <f t="shared" si="118"/>
        <v>45170</v>
      </c>
      <c r="AT233" s="115">
        <v>85.19</v>
      </c>
      <c r="AU233" s="115">
        <v>77.849999999999994</v>
      </c>
      <c r="AV233" s="287">
        <f t="shared" si="131"/>
        <v>82.033799999999985</v>
      </c>
      <c r="AW233" s="271">
        <v>400</v>
      </c>
      <c r="AX233" s="271">
        <v>320</v>
      </c>
      <c r="AY233" s="271">
        <f t="shared" si="128"/>
        <v>0.55555555555555558</v>
      </c>
      <c r="AZ233" s="271">
        <f t="shared" si="129"/>
        <v>0.44444444444444442</v>
      </c>
      <c r="BD233">
        <f t="shared" si="132"/>
        <v>2023</v>
      </c>
      <c r="BE233" s="306">
        <f t="shared" si="137"/>
        <v>45170</v>
      </c>
      <c r="BF233" s="114">
        <f t="shared" si="130"/>
        <v>10.310723219140835</v>
      </c>
      <c r="BG233" s="115">
        <v>10.310723219140835</v>
      </c>
      <c r="BI233">
        <f t="shared" si="123"/>
        <v>2022</v>
      </c>
      <c r="BJ233" s="306">
        <v>44773</v>
      </c>
      <c r="BK233">
        <f t="shared" si="124"/>
        <v>5.88</v>
      </c>
      <c r="BL233">
        <v>5.95</v>
      </c>
      <c r="BM233">
        <v>5.81</v>
      </c>
      <c r="BO233">
        <f t="shared" si="125"/>
        <v>2026</v>
      </c>
      <c r="BP233" s="286">
        <v>46174</v>
      </c>
      <c r="BQ233">
        <f t="shared" si="126"/>
        <v>12.17</v>
      </c>
      <c r="BR233">
        <v>12.29</v>
      </c>
      <c r="BS233">
        <v>12.05</v>
      </c>
      <c r="BT233">
        <f t="shared" si="133"/>
        <v>2032</v>
      </c>
      <c r="BU233" s="286">
        <v>48549</v>
      </c>
      <c r="BV233">
        <f t="shared" si="119"/>
        <v>5.6863999999999999</v>
      </c>
      <c r="BW233" s="580">
        <v>5.6788999999999996</v>
      </c>
      <c r="BX233" s="580">
        <v>5.6939000000000002</v>
      </c>
      <c r="BY233">
        <f t="shared" si="134"/>
        <v>2035</v>
      </c>
      <c r="BZ233" s="286">
        <v>49644</v>
      </c>
      <c r="CA233">
        <f t="shared" si="122"/>
        <v>6.0753000000000004</v>
      </c>
      <c r="CB233" s="580">
        <v>6.4051999999999998</v>
      </c>
      <c r="CC233" s="580">
        <v>5.7454000000000001</v>
      </c>
      <c r="CD233" s="364">
        <f t="shared" si="135"/>
        <v>2037</v>
      </c>
      <c r="CE233" s="381">
        <v>50041</v>
      </c>
      <c r="CF233" s="364">
        <f t="shared" si="120"/>
        <v>5.8504500000000004</v>
      </c>
      <c r="CG233" s="411">
        <v>5.4592999999999998</v>
      </c>
      <c r="CH233" s="411">
        <v>6.2416</v>
      </c>
      <c r="CI233" s="364">
        <f t="shared" si="136"/>
        <v>2039</v>
      </c>
      <c r="CJ233" s="381">
        <v>50771</v>
      </c>
      <c r="CK233" s="364">
        <f t="shared" si="121"/>
        <v>7.8034999999999997</v>
      </c>
      <c r="CL233" s="411">
        <v>7.9151999999999996</v>
      </c>
      <c r="CM233" s="411">
        <v>7.6917999999999997</v>
      </c>
    </row>
    <row r="234" spans="44:91">
      <c r="AR234">
        <f t="shared" si="127"/>
        <v>2023</v>
      </c>
      <c r="AS234" s="307">
        <f t="shared" si="118"/>
        <v>45200</v>
      </c>
      <c r="AT234" s="115">
        <v>83.47</v>
      </c>
      <c r="AU234" s="115">
        <v>74.62</v>
      </c>
      <c r="AV234" s="287">
        <f t="shared" si="131"/>
        <v>79.664500000000004</v>
      </c>
      <c r="AW234" s="271">
        <v>416</v>
      </c>
      <c r="AX234" s="271">
        <v>328</v>
      </c>
      <c r="AY234" s="271">
        <f t="shared" si="128"/>
        <v>0.55913978494623651</v>
      </c>
      <c r="AZ234" s="271">
        <f t="shared" si="129"/>
        <v>0.44086021505376344</v>
      </c>
      <c r="BD234">
        <f t="shared" si="132"/>
        <v>2023</v>
      </c>
      <c r="BE234" s="306">
        <f t="shared" si="137"/>
        <v>45200</v>
      </c>
      <c r="BF234" s="114">
        <f t="shared" si="130"/>
        <v>10.677770527460575</v>
      </c>
      <c r="BG234" s="115">
        <v>10.677770527460575</v>
      </c>
      <c r="BI234">
        <f t="shared" si="123"/>
        <v>2022</v>
      </c>
      <c r="BJ234" s="306">
        <v>44804</v>
      </c>
      <c r="BK234">
        <f t="shared" si="124"/>
        <v>5.88</v>
      </c>
      <c r="BL234">
        <v>5.95</v>
      </c>
      <c r="BM234">
        <v>5.81</v>
      </c>
      <c r="BO234">
        <f t="shared" si="125"/>
        <v>2026</v>
      </c>
      <c r="BP234" s="286">
        <v>46204</v>
      </c>
      <c r="BQ234">
        <f t="shared" si="126"/>
        <v>12.355</v>
      </c>
      <c r="BR234">
        <v>12.47</v>
      </c>
      <c r="BS234">
        <v>12.24</v>
      </c>
      <c r="BT234">
        <f t="shared" si="133"/>
        <v>2033</v>
      </c>
      <c r="BU234" s="286">
        <v>48580</v>
      </c>
      <c r="BV234">
        <f t="shared" si="119"/>
        <v>5.8038499999999997</v>
      </c>
      <c r="BW234" s="580">
        <v>5.7885999999999997</v>
      </c>
      <c r="BX234" s="580">
        <v>5.8190999999999997</v>
      </c>
      <c r="BY234">
        <f t="shared" si="134"/>
        <v>2036</v>
      </c>
      <c r="BZ234" s="286">
        <v>49675</v>
      </c>
      <c r="CA234">
        <f t="shared" si="122"/>
        <v>6.1184500000000002</v>
      </c>
      <c r="CB234" s="580">
        <v>6.4474</v>
      </c>
      <c r="CC234" s="580">
        <v>5.7895000000000003</v>
      </c>
      <c r="CD234" s="364">
        <f t="shared" si="135"/>
        <v>2037</v>
      </c>
      <c r="CE234" s="381">
        <v>50072</v>
      </c>
      <c r="CF234" s="364">
        <f t="shared" si="120"/>
        <v>5.3095499999999998</v>
      </c>
      <c r="CG234" s="411">
        <v>5.0431999999999997</v>
      </c>
      <c r="CH234" s="411">
        <v>5.5758999999999999</v>
      </c>
      <c r="CI234" s="364">
        <f t="shared" si="136"/>
        <v>2039</v>
      </c>
      <c r="CJ234" s="381">
        <v>50802</v>
      </c>
      <c r="CK234" s="364">
        <f t="shared" si="121"/>
        <v>7.4532000000000007</v>
      </c>
      <c r="CL234" s="411">
        <v>7.5787000000000004</v>
      </c>
      <c r="CM234" s="411">
        <v>7.3277000000000001</v>
      </c>
    </row>
    <row r="235" spans="44:91">
      <c r="AR235">
        <f t="shared" si="127"/>
        <v>2023</v>
      </c>
      <c r="AS235" s="307">
        <f t="shared" si="118"/>
        <v>45231</v>
      </c>
      <c r="AT235" s="115">
        <v>90.25</v>
      </c>
      <c r="AU235" s="115">
        <v>74.849999999999994</v>
      </c>
      <c r="AV235" s="287">
        <f t="shared" si="131"/>
        <v>83.627999999999986</v>
      </c>
      <c r="AW235" s="271">
        <v>400</v>
      </c>
      <c r="AX235" s="271">
        <v>320</v>
      </c>
      <c r="AY235" s="271">
        <f t="shared" si="128"/>
        <v>0.55555555555555558</v>
      </c>
      <c r="AZ235" s="271">
        <f t="shared" si="129"/>
        <v>0.44444444444444442</v>
      </c>
      <c r="BD235">
        <f t="shared" si="132"/>
        <v>2023</v>
      </c>
      <c r="BE235" s="306">
        <f t="shared" si="137"/>
        <v>45231</v>
      </c>
      <c r="BF235" s="114">
        <f t="shared" si="130"/>
        <v>10.830706905927133</v>
      </c>
      <c r="BG235" s="115">
        <v>10.830706905927133</v>
      </c>
      <c r="BI235">
        <f t="shared" si="123"/>
        <v>2022</v>
      </c>
      <c r="BJ235" s="306">
        <v>44834</v>
      </c>
      <c r="BK235">
        <f t="shared" si="124"/>
        <v>5.88</v>
      </c>
      <c r="BL235">
        <v>5.95</v>
      </c>
      <c r="BM235">
        <v>5.81</v>
      </c>
      <c r="BO235">
        <f t="shared" si="125"/>
        <v>2026</v>
      </c>
      <c r="BP235" s="286">
        <v>46235</v>
      </c>
      <c r="BQ235">
        <f t="shared" si="126"/>
        <v>12.355</v>
      </c>
      <c r="BR235">
        <v>12.47</v>
      </c>
      <c r="BS235">
        <v>12.24</v>
      </c>
      <c r="BT235">
        <f t="shared" si="133"/>
        <v>2033</v>
      </c>
      <c r="BU235" s="286">
        <v>48611</v>
      </c>
      <c r="BV235">
        <f t="shared" si="119"/>
        <v>5.8497000000000003</v>
      </c>
      <c r="BW235" s="580">
        <v>5.8497000000000003</v>
      </c>
      <c r="BX235" s="580">
        <v>5.8497000000000003</v>
      </c>
      <c r="BY235">
        <f t="shared" si="134"/>
        <v>2036</v>
      </c>
      <c r="BZ235" s="286">
        <v>49706</v>
      </c>
      <c r="CA235">
        <f t="shared" si="122"/>
        <v>6.1677999999999997</v>
      </c>
      <c r="CB235" s="580">
        <v>6.4802999999999997</v>
      </c>
      <c r="CC235" s="580">
        <v>5.8552999999999997</v>
      </c>
      <c r="CD235" s="364">
        <f t="shared" si="135"/>
        <v>2037</v>
      </c>
      <c r="CE235" s="381">
        <v>50100</v>
      </c>
      <c r="CF235" s="364">
        <f t="shared" si="120"/>
        <v>4.7852499999999996</v>
      </c>
      <c r="CG235" s="411">
        <v>4.6936999999999998</v>
      </c>
      <c r="CH235" s="411">
        <v>4.8768000000000002</v>
      </c>
      <c r="CI235" s="364">
        <f t="shared" si="136"/>
        <v>2039</v>
      </c>
      <c r="CJ235" s="381">
        <v>50830</v>
      </c>
      <c r="CK235" s="364">
        <f t="shared" si="121"/>
        <v>6.4013</v>
      </c>
      <c r="CL235" s="411">
        <v>6.5297000000000001</v>
      </c>
      <c r="CM235" s="411">
        <v>6.2728999999999999</v>
      </c>
    </row>
    <row r="236" spans="44:91">
      <c r="AR236">
        <f t="shared" si="127"/>
        <v>2023</v>
      </c>
      <c r="AS236" s="307">
        <f t="shared" si="118"/>
        <v>45261</v>
      </c>
      <c r="AT236" s="115">
        <v>95.63</v>
      </c>
      <c r="AU236" s="115">
        <v>80.63</v>
      </c>
      <c r="AV236" s="287">
        <f t="shared" si="131"/>
        <v>89.179999999999978</v>
      </c>
      <c r="AW236" s="271">
        <v>400</v>
      </c>
      <c r="AX236" s="271">
        <v>344</v>
      </c>
      <c r="AY236" s="271">
        <f t="shared" si="128"/>
        <v>0.5376344086021505</v>
      </c>
      <c r="AZ236" s="271">
        <f t="shared" si="129"/>
        <v>0.46236559139784944</v>
      </c>
      <c r="BD236">
        <f t="shared" si="132"/>
        <v>2023</v>
      </c>
      <c r="BE236" s="306">
        <f t="shared" si="137"/>
        <v>45261</v>
      </c>
      <c r="BF236" s="114">
        <f t="shared" si="130"/>
        <v>11.354089178901576</v>
      </c>
      <c r="BG236" s="115">
        <v>11.354089178901576</v>
      </c>
      <c r="BI236">
        <f t="shared" si="123"/>
        <v>2022</v>
      </c>
      <c r="BJ236" s="306">
        <v>44865</v>
      </c>
      <c r="BK236">
        <f t="shared" si="124"/>
        <v>6.1050000000000004</v>
      </c>
      <c r="BL236">
        <v>6.13</v>
      </c>
      <c r="BM236">
        <v>6.08</v>
      </c>
      <c r="BO236">
        <f t="shared" si="125"/>
        <v>2026</v>
      </c>
      <c r="BP236" s="286">
        <v>46266</v>
      </c>
      <c r="BQ236">
        <f t="shared" si="126"/>
        <v>12.355</v>
      </c>
      <c r="BR236">
        <v>12.47</v>
      </c>
      <c r="BS236">
        <v>12.24</v>
      </c>
      <c r="BT236">
        <f t="shared" si="133"/>
        <v>2033</v>
      </c>
      <c r="BU236" s="286">
        <v>48639</v>
      </c>
      <c r="BV236">
        <f t="shared" si="119"/>
        <v>5.6510999999999996</v>
      </c>
      <c r="BW236" s="580">
        <v>5.6510999999999996</v>
      </c>
      <c r="BX236" s="580">
        <v>5.6510999999999996</v>
      </c>
      <c r="BY236">
        <f t="shared" si="134"/>
        <v>2036</v>
      </c>
      <c r="BZ236" s="286">
        <v>49735</v>
      </c>
      <c r="CA236">
        <f t="shared" si="122"/>
        <v>5.8388499999999999</v>
      </c>
      <c r="CB236" s="580">
        <v>6.1677999999999997</v>
      </c>
      <c r="CC236" s="580">
        <v>5.5099</v>
      </c>
      <c r="CD236" s="364">
        <f t="shared" si="135"/>
        <v>2037</v>
      </c>
      <c r="CE236" s="381">
        <v>50131</v>
      </c>
      <c r="CF236" s="364">
        <f t="shared" si="120"/>
        <v>4.1111500000000003</v>
      </c>
      <c r="CG236" s="411">
        <v>4.1943999999999999</v>
      </c>
      <c r="CH236" s="411">
        <v>4.0278999999999998</v>
      </c>
      <c r="CI236" s="364">
        <f t="shared" si="136"/>
        <v>2039</v>
      </c>
      <c r="CJ236" s="381">
        <v>50861</v>
      </c>
      <c r="CK236" s="364">
        <f t="shared" si="121"/>
        <v>6.0019999999999998</v>
      </c>
      <c r="CL236" s="411">
        <v>6.0949999999999998</v>
      </c>
      <c r="CM236" s="411">
        <v>5.9089999999999998</v>
      </c>
    </row>
    <row r="237" spans="44:91">
      <c r="AR237">
        <f t="shared" si="127"/>
        <v>2024</v>
      </c>
      <c r="AS237" s="307">
        <f t="shared" si="118"/>
        <v>45292</v>
      </c>
      <c r="AT237" s="115">
        <v>99.83</v>
      </c>
      <c r="AU237" s="115">
        <v>87.64</v>
      </c>
      <c r="AV237" s="287">
        <f t="shared" si="131"/>
        <v>94.588300000000004</v>
      </c>
      <c r="AW237" s="271">
        <v>416</v>
      </c>
      <c r="AX237" s="271">
        <v>328</v>
      </c>
      <c r="AY237" s="271">
        <f t="shared" si="128"/>
        <v>0.55913978494623651</v>
      </c>
      <c r="AZ237" s="271">
        <f t="shared" si="129"/>
        <v>0.44086021505376344</v>
      </c>
      <c r="BD237">
        <f t="shared" si="132"/>
        <v>2024</v>
      </c>
      <c r="BE237" s="306">
        <f t="shared" si="137"/>
        <v>45292</v>
      </c>
      <c r="BF237" s="114">
        <f t="shared" si="130"/>
        <v>12.309091897770525</v>
      </c>
      <c r="BG237" s="115">
        <v>12.309091897770525</v>
      </c>
      <c r="BI237">
        <f t="shared" si="123"/>
        <v>2022</v>
      </c>
      <c r="BJ237" s="306">
        <v>44895</v>
      </c>
      <c r="BK237">
        <f t="shared" si="124"/>
        <v>6.1950000000000003</v>
      </c>
      <c r="BL237">
        <v>6.22</v>
      </c>
      <c r="BM237">
        <v>6.17</v>
      </c>
      <c r="BO237">
        <f t="shared" si="125"/>
        <v>2026</v>
      </c>
      <c r="BP237" s="286">
        <v>46296</v>
      </c>
      <c r="BQ237">
        <f t="shared" si="126"/>
        <v>12.82</v>
      </c>
      <c r="BR237">
        <v>12.84</v>
      </c>
      <c r="BS237">
        <v>12.8</v>
      </c>
      <c r="BT237">
        <f t="shared" si="133"/>
        <v>2033</v>
      </c>
      <c r="BU237" s="286">
        <v>48670</v>
      </c>
      <c r="BV237">
        <f t="shared" si="119"/>
        <v>5.3532999999999999</v>
      </c>
      <c r="BW237" s="580">
        <v>5.3914999999999997</v>
      </c>
      <c r="BX237" s="580">
        <v>5.3151000000000002</v>
      </c>
      <c r="BY237">
        <f t="shared" si="134"/>
        <v>2036</v>
      </c>
      <c r="BZ237" s="286">
        <v>49766</v>
      </c>
      <c r="CA237">
        <f t="shared" si="122"/>
        <v>5.4112</v>
      </c>
      <c r="CB237" s="580">
        <v>5.7565999999999997</v>
      </c>
      <c r="CC237" s="580">
        <v>5.0658000000000003</v>
      </c>
      <c r="CD237" s="364">
        <f t="shared" si="135"/>
        <v>2037</v>
      </c>
      <c r="CE237" s="381">
        <v>50161</v>
      </c>
      <c r="CF237" s="364">
        <f t="shared" si="120"/>
        <v>4.0362499999999999</v>
      </c>
      <c r="CG237" s="411">
        <v>4.1611000000000002</v>
      </c>
      <c r="CH237" s="411">
        <v>3.9114</v>
      </c>
      <c r="CI237" s="364">
        <f t="shared" si="136"/>
        <v>2039</v>
      </c>
      <c r="CJ237" s="381">
        <v>50891</v>
      </c>
      <c r="CK237" s="364">
        <f t="shared" si="121"/>
        <v>6.0005499999999996</v>
      </c>
      <c r="CL237" s="411">
        <v>6.1243999999999996</v>
      </c>
      <c r="CM237" s="411">
        <v>5.8766999999999996</v>
      </c>
    </row>
    <row r="238" spans="44:91">
      <c r="AR238">
        <f t="shared" si="127"/>
        <v>2024</v>
      </c>
      <c r="AS238" s="307">
        <f t="shared" ref="AS238:AS301" si="138">EOMONTH(AS237,0)+1</f>
        <v>45323</v>
      </c>
      <c r="AT238" s="115">
        <v>96.21</v>
      </c>
      <c r="AU238" s="115">
        <v>80.11</v>
      </c>
      <c r="AV238" s="287">
        <f t="shared" si="131"/>
        <v>89.286999999999992</v>
      </c>
      <c r="AW238" s="271">
        <v>400</v>
      </c>
      <c r="AX238" s="271">
        <v>296</v>
      </c>
      <c r="AY238" s="271">
        <f t="shared" si="128"/>
        <v>0.57471264367816088</v>
      </c>
      <c r="AZ238" s="271">
        <f t="shared" si="129"/>
        <v>0.42528735632183906</v>
      </c>
      <c r="BD238">
        <f t="shared" si="132"/>
        <v>2024</v>
      </c>
      <c r="BE238" s="306">
        <f t="shared" si="137"/>
        <v>45323</v>
      </c>
      <c r="BF238" s="114">
        <f t="shared" si="130"/>
        <v>11.568200108754759</v>
      </c>
      <c r="BG238" s="115">
        <v>11.568200108754759</v>
      </c>
      <c r="BI238">
        <f t="shared" si="123"/>
        <v>2022</v>
      </c>
      <c r="BJ238" s="306">
        <v>44926</v>
      </c>
      <c r="BK238">
        <f t="shared" si="124"/>
        <v>6.5</v>
      </c>
      <c r="BL238">
        <v>6.48</v>
      </c>
      <c r="BM238">
        <v>6.52</v>
      </c>
      <c r="BO238">
        <f t="shared" si="125"/>
        <v>2026</v>
      </c>
      <c r="BP238" s="286">
        <v>46327</v>
      </c>
      <c r="BQ238">
        <f t="shared" si="126"/>
        <v>13.004999999999999</v>
      </c>
      <c r="BR238">
        <v>13.02</v>
      </c>
      <c r="BS238">
        <v>12.99</v>
      </c>
      <c r="BT238">
        <f t="shared" si="133"/>
        <v>2033</v>
      </c>
      <c r="BU238" s="286">
        <v>48700</v>
      </c>
      <c r="BV238">
        <f t="shared" si="119"/>
        <v>5.1394500000000001</v>
      </c>
      <c r="BW238" s="580">
        <v>5.2081999999999997</v>
      </c>
      <c r="BX238" s="580">
        <v>5.0707000000000004</v>
      </c>
      <c r="BY238">
        <f t="shared" si="134"/>
        <v>2036</v>
      </c>
      <c r="BZ238" s="286">
        <v>49796</v>
      </c>
      <c r="CA238">
        <f t="shared" si="122"/>
        <v>5.3948</v>
      </c>
      <c r="CB238" s="580">
        <v>5.7401999999999997</v>
      </c>
      <c r="CC238" s="580">
        <v>5.0494000000000003</v>
      </c>
      <c r="CD238" s="364">
        <f t="shared" si="135"/>
        <v>2037</v>
      </c>
      <c r="CE238" s="381">
        <v>50192</v>
      </c>
      <c r="CF238" s="364">
        <f t="shared" si="120"/>
        <v>4.0279500000000006</v>
      </c>
      <c r="CG238" s="411">
        <v>4.1112000000000002</v>
      </c>
      <c r="CH238" s="411">
        <v>3.9447000000000001</v>
      </c>
      <c r="CI238" s="364">
        <f t="shared" si="136"/>
        <v>2039</v>
      </c>
      <c r="CJ238" s="381">
        <v>50922</v>
      </c>
      <c r="CK238" s="364">
        <f t="shared" si="121"/>
        <v>6.0602999999999998</v>
      </c>
      <c r="CL238" s="411">
        <v>6.3053999999999997</v>
      </c>
      <c r="CM238" s="411">
        <v>5.8151999999999999</v>
      </c>
    </row>
    <row r="239" spans="44:91">
      <c r="AR239">
        <f t="shared" si="127"/>
        <v>2024</v>
      </c>
      <c r="AS239" s="307">
        <f t="shared" si="138"/>
        <v>45352</v>
      </c>
      <c r="AT239" s="115">
        <v>83.59</v>
      </c>
      <c r="AU239" s="115">
        <v>74.08</v>
      </c>
      <c r="AV239" s="287">
        <f t="shared" si="131"/>
        <v>79.500699999999995</v>
      </c>
      <c r="AW239" s="271">
        <v>416</v>
      </c>
      <c r="AX239" s="271">
        <v>328</v>
      </c>
      <c r="AY239" s="271">
        <f t="shared" si="128"/>
        <v>0.55913978494623651</v>
      </c>
      <c r="AZ239" s="271">
        <f t="shared" si="129"/>
        <v>0.44086021505376344</v>
      </c>
      <c r="BD239">
        <f t="shared" si="132"/>
        <v>2024</v>
      </c>
      <c r="BE239" s="306">
        <f t="shared" si="137"/>
        <v>45352</v>
      </c>
      <c r="BF239" s="114">
        <f t="shared" si="130"/>
        <v>10.878287112561173</v>
      </c>
      <c r="BG239" s="115">
        <v>10.878287112561173</v>
      </c>
      <c r="BI239">
        <f t="shared" si="123"/>
        <v>2023</v>
      </c>
      <c r="BJ239" s="306">
        <v>44957</v>
      </c>
      <c r="BK239">
        <f t="shared" si="124"/>
        <v>7.2349999999999994</v>
      </c>
      <c r="BL239">
        <v>7.16</v>
      </c>
      <c r="BM239">
        <v>7.31</v>
      </c>
      <c r="BO239">
        <f t="shared" si="125"/>
        <v>2026</v>
      </c>
      <c r="BP239" s="286">
        <v>46357</v>
      </c>
      <c r="BQ239">
        <f t="shared" si="126"/>
        <v>13.655000000000001</v>
      </c>
      <c r="BR239">
        <v>13.57</v>
      </c>
      <c r="BS239">
        <v>13.74</v>
      </c>
      <c r="BT239">
        <f t="shared" si="133"/>
        <v>2033</v>
      </c>
      <c r="BU239" s="286">
        <v>48731</v>
      </c>
      <c r="BV239">
        <f t="shared" si="119"/>
        <v>5.1394500000000001</v>
      </c>
      <c r="BW239" s="580">
        <v>5.2081999999999997</v>
      </c>
      <c r="BX239" s="580">
        <v>5.0707000000000004</v>
      </c>
      <c r="BY239">
        <f t="shared" si="134"/>
        <v>2036</v>
      </c>
      <c r="BZ239" s="286">
        <v>49827</v>
      </c>
      <c r="CA239">
        <f t="shared" si="122"/>
        <v>5.4687999999999999</v>
      </c>
      <c r="CB239" s="580">
        <v>5.8224</v>
      </c>
      <c r="CC239" s="580">
        <v>5.1151999999999997</v>
      </c>
      <c r="CD239" s="364">
        <f t="shared" si="135"/>
        <v>2037</v>
      </c>
      <c r="CE239" s="381">
        <v>50222</v>
      </c>
      <c r="CF239" s="364">
        <f t="shared" si="120"/>
        <v>4.0861999999999998</v>
      </c>
      <c r="CG239" s="411">
        <v>4.2110000000000003</v>
      </c>
      <c r="CH239" s="411">
        <v>3.9613999999999998</v>
      </c>
      <c r="CI239" s="364">
        <f t="shared" si="136"/>
        <v>2039</v>
      </c>
      <c r="CJ239" s="381">
        <v>50952</v>
      </c>
      <c r="CK239" s="364">
        <f t="shared" si="121"/>
        <v>6.2933500000000002</v>
      </c>
      <c r="CL239" s="411">
        <v>6.6664000000000003</v>
      </c>
      <c r="CM239" s="411">
        <v>5.9203000000000001</v>
      </c>
    </row>
    <row r="240" spans="44:91">
      <c r="AR240">
        <f t="shared" si="127"/>
        <v>2024</v>
      </c>
      <c r="AS240" s="307">
        <f t="shared" si="138"/>
        <v>45383</v>
      </c>
      <c r="AT240" s="115">
        <v>79.67</v>
      </c>
      <c r="AU240" s="115">
        <v>76.239999999999995</v>
      </c>
      <c r="AV240" s="287">
        <f t="shared" si="131"/>
        <v>78.195099999999996</v>
      </c>
      <c r="AW240" s="271">
        <v>416</v>
      </c>
      <c r="AX240" s="271">
        <v>304</v>
      </c>
      <c r="AY240" s="271">
        <f t="shared" si="128"/>
        <v>0.57777777777777772</v>
      </c>
      <c r="AZ240" s="271">
        <f t="shared" si="129"/>
        <v>0.42222222222222222</v>
      </c>
      <c r="BD240">
        <f t="shared" si="132"/>
        <v>2024</v>
      </c>
      <c r="BE240" s="306">
        <f t="shared" si="137"/>
        <v>45383</v>
      </c>
      <c r="BF240" s="114">
        <f t="shared" si="130"/>
        <v>10.297128874388255</v>
      </c>
      <c r="BG240" s="115">
        <v>10.297128874388255</v>
      </c>
      <c r="BI240">
        <f t="shared" si="123"/>
        <v>2023</v>
      </c>
      <c r="BJ240" s="306">
        <v>44985</v>
      </c>
      <c r="BK240">
        <f t="shared" si="124"/>
        <v>6.7249999999999996</v>
      </c>
      <c r="BL240">
        <v>6.7</v>
      </c>
      <c r="BM240">
        <v>6.75</v>
      </c>
      <c r="BO240">
        <f t="shared" si="125"/>
        <v>2027</v>
      </c>
      <c r="BP240" s="286">
        <v>46388</v>
      </c>
      <c r="BQ240">
        <f t="shared" si="126"/>
        <v>14.96</v>
      </c>
      <c r="BR240">
        <v>14.76</v>
      </c>
      <c r="BS240">
        <v>15.16</v>
      </c>
      <c r="BT240">
        <f t="shared" si="133"/>
        <v>2033</v>
      </c>
      <c r="BU240" s="286">
        <v>48761</v>
      </c>
      <c r="BV240">
        <f t="shared" si="119"/>
        <v>5.2616499999999995</v>
      </c>
      <c r="BW240" s="580">
        <v>5.3761999999999999</v>
      </c>
      <c r="BX240" s="580">
        <v>5.1471</v>
      </c>
      <c r="BY240">
        <f t="shared" si="134"/>
        <v>2036</v>
      </c>
      <c r="BZ240" s="286">
        <v>49857</v>
      </c>
      <c r="CA240">
        <f t="shared" si="122"/>
        <v>5.7237500000000008</v>
      </c>
      <c r="CB240" s="580">
        <v>6.0856000000000003</v>
      </c>
      <c r="CC240" s="580">
        <v>5.3619000000000003</v>
      </c>
      <c r="CD240" s="364">
        <f t="shared" si="135"/>
        <v>2037</v>
      </c>
      <c r="CE240" s="381">
        <v>50253</v>
      </c>
      <c r="CF240" s="364">
        <f t="shared" si="120"/>
        <v>4.1610499999999995</v>
      </c>
      <c r="CG240" s="411">
        <v>4.3274999999999997</v>
      </c>
      <c r="CH240" s="411">
        <v>3.9946000000000002</v>
      </c>
      <c r="CI240" s="364">
        <f t="shared" si="136"/>
        <v>2039</v>
      </c>
      <c r="CJ240" s="381">
        <v>50983</v>
      </c>
      <c r="CK240" s="364">
        <f t="shared" si="121"/>
        <v>6.7186000000000003</v>
      </c>
      <c r="CL240" s="411">
        <v>7.0224000000000002</v>
      </c>
      <c r="CM240" s="411">
        <v>6.4147999999999996</v>
      </c>
    </row>
    <row r="241" spans="44:91">
      <c r="AR241">
        <f t="shared" si="127"/>
        <v>2024</v>
      </c>
      <c r="AS241" s="307">
        <f t="shared" si="138"/>
        <v>45413</v>
      </c>
      <c r="AT241" s="115">
        <v>82.86</v>
      </c>
      <c r="AU241" s="115">
        <v>72.27</v>
      </c>
      <c r="AV241" s="287">
        <f t="shared" si="131"/>
        <v>78.306299999999993</v>
      </c>
      <c r="AW241" s="271">
        <v>416</v>
      </c>
      <c r="AX241" s="271">
        <v>328</v>
      </c>
      <c r="AY241" s="271">
        <f t="shared" si="128"/>
        <v>0.55913978494623651</v>
      </c>
      <c r="AZ241" s="271">
        <f t="shared" si="129"/>
        <v>0.44086021505376344</v>
      </c>
      <c r="BD241">
        <f t="shared" si="132"/>
        <v>2024</v>
      </c>
      <c r="BE241" s="306">
        <f t="shared" si="137"/>
        <v>45413</v>
      </c>
      <c r="BF241" s="114">
        <f t="shared" si="130"/>
        <v>10.191772702555737</v>
      </c>
      <c r="BG241" s="115">
        <v>10.191772702555737</v>
      </c>
      <c r="BI241">
        <f t="shared" si="123"/>
        <v>2023</v>
      </c>
      <c r="BJ241" s="306">
        <v>45016</v>
      </c>
      <c r="BK241">
        <f t="shared" si="124"/>
        <v>6.3149999999999995</v>
      </c>
      <c r="BL241">
        <v>6.34</v>
      </c>
      <c r="BM241">
        <v>6.29</v>
      </c>
      <c r="BO241">
        <f t="shared" si="125"/>
        <v>2027</v>
      </c>
      <c r="BP241" s="286">
        <v>46419</v>
      </c>
      <c r="BQ241">
        <f t="shared" si="126"/>
        <v>13.914999999999999</v>
      </c>
      <c r="BR241">
        <v>13.83</v>
      </c>
      <c r="BS241">
        <v>14</v>
      </c>
      <c r="BT241">
        <f t="shared" si="133"/>
        <v>2033</v>
      </c>
      <c r="BU241" s="286">
        <v>48792</v>
      </c>
      <c r="BV241">
        <f t="shared" si="119"/>
        <v>5.4220000000000006</v>
      </c>
      <c r="BW241" s="580">
        <v>5.4678000000000004</v>
      </c>
      <c r="BX241" s="580">
        <v>5.3761999999999999</v>
      </c>
      <c r="BY241">
        <f t="shared" si="134"/>
        <v>2036</v>
      </c>
      <c r="BZ241" s="286">
        <v>49888</v>
      </c>
      <c r="CA241">
        <f t="shared" si="122"/>
        <v>5.7730499999999996</v>
      </c>
      <c r="CB241" s="580">
        <v>6.1349</v>
      </c>
      <c r="CC241" s="580">
        <v>5.4112</v>
      </c>
      <c r="CD241" s="364">
        <f t="shared" si="135"/>
        <v>2037</v>
      </c>
      <c r="CE241" s="381">
        <v>50284</v>
      </c>
      <c r="CF241" s="364">
        <f t="shared" si="120"/>
        <v>3.99465</v>
      </c>
      <c r="CG241" s="411">
        <v>4.2610000000000001</v>
      </c>
      <c r="CH241" s="411">
        <v>3.7282999999999999</v>
      </c>
      <c r="CI241" s="364">
        <f t="shared" si="136"/>
        <v>2039</v>
      </c>
      <c r="CJ241" s="381">
        <v>51014</v>
      </c>
      <c r="CK241" s="364">
        <f t="shared" si="121"/>
        <v>6.8294499999999996</v>
      </c>
      <c r="CL241" s="411">
        <v>7.1056999999999997</v>
      </c>
      <c r="CM241" s="411">
        <v>6.5532000000000004</v>
      </c>
    </row>
    <row r="242" spans="44:91">
      <c r="AR242">
        <f t="shared" si="127"/>
        <v>2024</v>
      </c>
      <c r="AS242" s="307">
        <f t="shared" si="138"/>
        <v>45444</v>
      </c>
      <c r="AT242" s="115">
        <v>84.65</v>
      </c>
      <c r="AU242" s="115">
        <v>77.25</v>
      </c>
      <c r="AV242" s="287">
        <f t="shared" si="131"/>
        <v>81.468000000000004</v>
      </c>
      <c r="AW242" s="271">
        <v>400</v>
      </c>
      <c r="AX242" s="271">
        <v>320</v>
      </c>
      <c r="AY242" s="271">
        <f t="shared" si="128"/>
        <v>0.55555555555555558</v>
      </c>
      <c r="AZ242" s="271">
        <f t="shared" si="129"/>
        <v>0.44444444444444442</v>
      </c>
      <c r="BD242">
        <f t="shared" si="132"/>
        <v>2024</v>
      </c>
      <c r="BE242" s="306">
        <f t="shared" si="137"/>
        <v>45444</v>
      </c>
      <c r="BF242" s="114">
        <f t="shared" si="130"/>
        <v>10.351506253398586</v>
      </c>
      <c r="BG242" s="115">
        <v>10.351506253398586</v>
      </c>
      <c r="BI242">
        <f t="shared" si="123"/>
        <v>2023</v>
      </c>
      <c r="BJ242" s="306">
        <v>45046</v>
      </c>
      <c r="BK242">
        <f t="shared" si="124"/>
        <v>5.9050000000000002</v>
      </c>
      <c r="BL242">
        <v>5.98</v>
      </c>
      <c r="BM242">
        <v>5.83</v>
      </c>
      <c r="BO242">
        <f t="shared" si="125"/>
        <v>2027</v>
      </c>
      <c r="BP242" s="286">
        <v>46447</v>
      </c>
      <c r="BQ242">
        <f t="shared" si="126"/>
        <v>13.065000000000001</v>
      </c>
      <c r="BR242">
        <v>13.08</v>
      </c>
      <c r="BS242">
        <v>13.05</v>
      </c>
      <c r="BT242">
        <f t="shared" si="133"/>
        <v>2033</v>
      </c>
      <c r="BU242" s="286">
        <v>48823</v>
      </c>
      <c r="BV242">
        <f t="shared" si="119"/>
        <v>5.3838499999999998</v>
      </c>
      <c r="BW242" s="580">
        <v>5.3914999999999997</v>
      </c>
      <c r="BX242" s="580">
        <v>5.3761999999999999</v>
      </c>
      <c r="BY242">
        <f t="shared" si="134"/>
        <v>2036</v>
      </c>
      <c r="BZ242" s="286">
        <v>49919</v>
      </c>
      <c r="CA242">
        <f t="shared" si="122"/>
        <v>5.6414999999999997</v>
      </c>
      <c r="CB242" s="580">
        <v>6.0690999999999997</v>
      </c>
      <c r="CC242" s="580">
        <v>5.2138999999999998</v>
      </c>
      <c r="CD242" s="364">
        <f t="shared" si="135"/>
        <v>2037</v>
      </c>
      <c r="CE242" s="381">
        <v>50314</v>
      </c>
      <c r="CF242" s="364">
        <f t="shared" si="120"/>
        <v>4.2443499999999998</v>
      </c>
      <c r="CG242" s="411">
        <v>4.4108000000000001</v>
      </c>
      <c r="CH242" s="411">
        <v>4.0778999999999996</v>
      </c>
      <c r="CI242" s="364">
        <f t="shared" si="136"/>
        <v>2039</v>
      </c>
      <c r="CJ242" s="381">
        <v>51044</v>
      </c>
      <c r="CK242" s="364">
        <f t="shared" si="121"/>
        <v>6.9674999999999994</v>
      </c>
      <c r="CL242" s="411">
        <v>7.1468999999999996</v>
      </c>
      <c r="CM242" s="411">
        <v>6.7881</v>
      </c>
    </row>
    <row r="243" spans="44:91">
      <c r="AR243">
        <f t="shared" si="127"/>
        <v>2024</v>
      </c>
      <c r="AS243" s="307">
        <f t="shared" si="138"/>
        <v>45474</v>
      </c>
      <c r="AT243" s="115">
        <v>83.3</v>
      </c>
      <c r="AU243" s="115">
        <v>80.040000000000006</v>
      </c>
      <c r="AV243" s="287">
        <f t="shared" si="131"/>
        <v>81.898200000000003</v>
      </c>
      <c r="AW243" s="271">
        <v>416</v>
      </c>
      <c r="AX243" s="271">
        <v>328</v>
      </c>
      <c r="AY243" s="271">
        <f t="shared" si="128"/>
        <v>0.55913978494623651</v>
      </c>
      <c r="AZ243" s="271">
        <f t="shared" si="129"/>
        <v>0.44086021505376344</v>
      </c>
      <c r="BD243">
        <f t="shared" si="132"/>
        <v>2024</v>
      </c>
      <c r="BE243" s="306">
        <f t="shared" si="137"/>
        <v>45474</v>
      </c>
      <c r="BF243" s="114">
        <f t="shared" si="130"/>
        <v>10.507841218053288</v>
      </c>
      <c r="BG243" s="115">
        <v>10.507841218053288</v>
      </c>
      <c r="BI243">
        <f t="shared" si="123"/>
        <v>2023</v>
      </c>
      <c r="BJ243" s="306">
        <v>45077</v>
      </c>
      <c r="BK243">
        <f t="shared" si="124"/>
        <v>5.9050000000000002</v>
      </c>
      <c r="BL243">
        <v>5.98</v>
      </c>
      <c r="BM243">
        <v>5.83</v>
      </c>
      <c r="BO243">
        <f t="shared" si="125"/>
        <v>2027</v>
      </c>
      <c r="BP243" s="286">
        <v>46478</v>
      </c>
      <c r="BQ243">
        <f t="shared" si="126"/>
        <v>12.21</v>
      </c>
      <c r="BR243">
        <v>12.33</v>
      </c>
      <c r="BS243">
        <v>12.09</v>
      </c>
      <c r="BT243">
        <f t="shared" si="133"/>
        <v>2033</v>
      </c>
      <c r="BU243" s="286">
        <v>48853</v>
      </c>
      <c r="BV243">
        <f t="shared" si="119"/>
        <v>5.4831000000000003</v>
      </c>
      <c r="BW243" s="580">
        <v>5.4678000000000004</v>
      </c>
      <c r="BX243" s="580">
        <v>5.4984000000000002</v>
      </c>
      <c r="BY243">
        <f t="shared" si="134"/>
        <v>2036</v>
      </c>
      <c r="BZ243" s="286">
        <v>49949</v>
      </c>
      <c r="CA243">
        <f t="shared" si="122"/>
        <v>5.66615</v>
      </c>
      <c r="CB243" s="580">
        <v>6.1020000000000003</v>
      </c>
      <c r="CC243" s="580">
        <v>5.2302999999999997</v>
      </c>
      <c r="CD243" s="364">
        <f t="shared" si="135"/>
        <v>2037</v>
      </c>
      <c r="CE243" s="381">
        <v>50345</v>
      </c>
      <c r="CF243" s="364">
        <f t="shared" si="120"/>
        <v>5.0682</v>
      </c>
      <c r="CG243" s="411">
        <v>4.9100999999999999</v>
      </c>
      <c r="CH243" s="411">
        <v>5.2263000000000002</v>
      </c>
      <c r="CI243" s="364">
        <f t="shared" si="136"/>
        <v>2039</v>
      </c>
      <c r="CJ243" s="381">
        <v>51075</v>
      </c>
      <c r="CK243" s="364">
        <f t="shared" si="121"/>
        <v>7.5519999999999996</v>
      </c>
      <c r="CL243" s="411">
        <v>7.6791</v>
      </c>
      <c r="CM243" s="411">
        <v>7.4249000000000001</v>
      </c>
    </row>
    <row r="244" spans="44:91">
      <c r="AR244">
        <f t="shared" si="127"/>
        <v>2024</v>
      </c>
      <c r="AS244" s="307">
        <f t="shared" si="138"/>
        <v>45505</v>
      </c>
      <c r="AT244" s="115">
        <v>83.7</v>
      </c>
      <c r="AU244" s="115">
        <v>80.459999999999994</v>
      </c>
      <c r="AV244" s="287">
        <f t="shared" si="131"/>
        <v>82.306799999999996</v>
      </c>
      <c r="AW244" s="271">
        <v>432</v>
      </c>
      <c r="AX244" s="271">
        <v>312</v>
      </c>
      <c r="AY244" s="271">
        <f t="shared" si="128"/>
        <v>0.58064516129032262</v>
      </c>
      <c r="AZ244" s="271">
        <f t="shared" si="129"/>
        <v>0.41935483870967744</v>
      </c>
      <c r="BD244">
        <f t="shared" si="132"/>
        <v>2024</v>
      </c>
      <c r="BE244" s="306">
        <f t="shared" si="137"/>
        <v>45505</v>
      </c>
      <c r="BF244" s="114">
        <f t="shared" si="130"/>
        <v>10.507841218053288</v>
      </c>
      <c r="BG244" s="115">
        <v>10.507841218053288</v>
      </c>
      <c r="BI244">
        <f t="shared" si="123"/>
        <v>2023</v>
      </c>
      <c r="BJ244" s="306">
        <v>45107</v>
      </c>
      <c r="BK244">
        <f t="shared" si="124"/>
        <v>5.9950000000000001</v>
      </c>
      <c r="BL244">
        <v>6.07</v>
      </c>
      <c r="BM244">
        <v>5.92</v>
      </c>
      <c r="BO244">
        <f t="shared" si="125"/>
        <v>2027</v>
      </c>
      <c r="BP244" s="286">
        <v>46508</v>
      </c>
      <c r="BQ244">
        <f t="shared" si="126"/>
        <v>12.21</v>
      </c>
      <c r="BR244">
        <v>12.33</v>
      </c>
      <c r="BS244">
        <v>12.09</v>
      </c>
      <c r="BT244">
        <f t="shared" si="133"/>
        <v>2033</v>
      </c>
      <c r="BU244" s="286">
        <v>48884</v>
      </c>
      <c r="BV244">
        <f t="shared" si="119"/>
        <v>5.6892999999999994</v>
      </c>
      <c r="BW244" s="580">
        <v>5.6510999999999996</v>
      </c>
      <c r="BX244" s="580">
        <v>5.7275</v>
      </c>
      <c r="BY244">
        <f t="shared" si="134"/>
        <v>2036</v>
      </c>
      <c r="BZ244" s="286">
        <v>49980</v>
      </c>
      <c r="CA244">
        <f t="shared" si="122"/>
        <v>5.8306500000000003</v>
      </c>
      <c r="CB244" s="580">
        <v>6.2664999999999997</v>
      </c>
      <c r="CC244" s="580">
        <v>5.3948</v>
      </c>
      <c r="CD244" s="364">
        <f t="shared" si="135"/>
        <v>2037</v>
      </c>
      <c r="CE244" s="381">
        <v>50375</v>
      </c>
      <c r="CF244" s="364">
        <f t="shared" si="120"/>
        <v>5.5509000000000004</v>
      </c>
      <c r="CG244" s="411">
        <v>5.2929000000000004</v>
      </c>
      <c r="CH244" s="411">
        <v>5.8089000000000004</v>
      </c>
      <c r="CI244" s="364">
        <f t="shared" si="136"/>
        <v>2039</v>
      </c>
      <c r="CJ244" s="381">
        <v>51105</v>
      </c>
      <c r="CK244" s="364">
        <f t="shared" si="121"/>
        <v>7.8244500000000006</v>
      </c>
      <c r="CL244" s="411">
        <v>7.9371</v>
      </c>
      <c r="CM244" s="411">
        <v>7.7118000000000002</v>
      </c>
    </row>
    <row r="245" spans="44:91">
      <c r="AR245">
        <f t="shared" si="127"/>
        <v>2024</v>
      </c>
      <c r="AS245" s="307">
        <f t="shared" si="138"/>
        <v>45536</v>
      </c>
      <c r="AT245" s="115">
        <v>82.99</v>
      </c>
      <c r="AU245" s="115">
        <v>78.86</v>
      </c>
      <c r="AV245" s="287">
        <f t="shared" si="131"/>
        <v>81.214099999999988</v>
      </c>
      <c r="AW245" s="271">
        <v>384</v>
      </c>
      <c r="AX245" s="271">
        <v>336</v>
      </c>
      <c r="AY245" s="271">
        <f t="shared" si="128"/>
        <v>0.53333333333333333</v>
      </c>
      <c r="AZ245" s="271">
        <f t="shared" si="129"/>
        <v>0.46666666666666667</v>
      </c>
      <c r="BD245">
        <f t="shared" si="132"/>
        <v>2024</v>
      </c>
      <c r="BE245" s="306">
        <f t="shared" si="137"/>
        <v>45536</v>
      </c>
      <c r="BF245" s="114">
        <f t="shared" si="130"/>
        <v>10.507841218053288</v>
      </c>
      <c r="BG245" s="115">
        <v>10.507841218053288</v>
      </c>
      <c r="BI245">
        <f t="shared" si="123"/>
        <v>2023</v>
      </c>
      <c r="BJ245" s="306">
        <v>45138</v>
      </c>
      <c r="BK245">
        <f t="shared" si="124"/>
        <v>6.085</v>
      </c>
      <c r="BL245">
        <v>6.16</v>
      </c>
      <c r="BM245">
        <v>6.01</v>
      </c>
      <c r="BO245">
        <f t="shared" si="125"/>
        <v>2027</v>
      </c>
      <c r="BP245" s="286">
        <v>46539</v>
      </c>
      <c r="BQ245">
        <f t="shared" si="126"/>
        <v>12.399999999999999</v>
      </c>
      <c r="BR245">
        <v>12.52</v>
      </c>
      <c r="BS245">
        <v>12.28</v>
      </c>
      <c r="BT245">
        <f t="shared" si="133"/>
        <v>2033</v>
      </c>
      <c r="BU245" s="286">
        <v>48914</v>
      </c>
      <c r="BV245">
        <f t="shared" si="119"/>
        <v>6.0253499999999995</v>
      </c>
      <c r="BW245" s="580">
        <v>5.9718999999999998</v>
      </c>
      <c r="BX245" s="580">
        <v>6.0788000000000002</v>
      </c>
      <c r="BY245">
        <f t="shared" si="134"/>
        <v>2036</v>
      </c>
      <c r="BZ245" s="286">
        <v>50010</v>
      </c>
      <c r="CA245">
        <f t="shared" si="122"/>
        <v>6.2994000000000003</v>
      </c>
      <c r="CB245" s="580">
        <v>6.7270000000000003</v>
      </c>
      <c r="CC245" s="580">
        <v>5.8718000000000004</v>
      </c>
      <c r="CD245" s="364">
        <f t="shared" si="135"/>
        <v>2038</v>
      </c>
      <c r="CE245" s="381">
        <v>50406</v>
      </c>
      <c r="CF245" s="364">
        <f t="shared" si="120"/>
        <v>5.7637</v>
      </c>
      <c r="CG245" s="411">
        <v>5.3635999999999999</v>
      </c>
      <c r="CH245" s="411">
        <v>6.1638000000000002</v>
      </c>
      <c r="CI245" s="364">
        <f t="shared" si="136"/>
        <v>2040</v>
      </c>
      <c r="CJ245" s="381">
        <v>51136</v>
      </c>
      <c r="CK245" s="364">
        <f t="shared" si="121"/>
        <v>8.0489500000000014</v>
      </c>
      <c r="CL245" s="411">
        <v>8.1697000000000006</v>
      </c>
      <c r="CM245" s="411">
        <v>7.9282000000000004</v>
      </c>
    </row>
    <row r="246" spans="44:91">
      <c r="AR246">
        <f t="shared" si="127"/>
        <v>2024</v>
      </c>
      <c r="AS246" s="307">
        <f t="shared" si="138"/>
        <v>45566</v>
      </c>
      <c r="AT246" s="115">
        <v>84.3</v>
      </c>
      <c r="AU246" s="115">
        <v>76.44</v>
      </c>
      <c r="AV246" s="287">
        <f t="shared" si="131"/>
        <v>80.920199999999994</v>
      </c>
      <c r="AW246" s="271">
        <v>432</v>
      </c>
      <c r="AX246" s="271">
        <v>312</v>
      </c>
      <c r="AY246" s="271">
        <f t="shared" si="128"/>
        <v>0.58064516129032262</v>
      </c>
      <c r="AZ246" s="271">
        <f t="shared" si="129"/>
        <v>0.41935483870967744</v>
      </c>
      <c r="BD246">
        <f t="shared" si="132"/>
        <v>2024</v>
      </c>
      <c r="BE246" s="306">
        <f t="shared" si="137"/>
        <v>45566</v>
      </c>
      <c r="BF246" s="114">
        <f t="shared" si="130"/>
        <v>10.878287112561173</v>
      </c>
      <c r="BG246" s="115">
        <v>10.878287112561173</v>
      </c>
      <c r="BI246">
        <f t="shared" si="123"/>
        <v>2023</v>
      </c>
      <c r="BJ246" s="306">
        <v>45169</v>
      </c>
      <c r="BK246">
        <f t="shared" si="124"/>
        <v>6.085</v>
      </c>
      <c r="BL246">
        <v>6.16</v>
      </c>
      <c r="BM246">
        <v>6.01</v>
      </c>
      <c r="BO246">
        <f t="shared" si="125"/>
        <v>2027</v>
      </c>
      <c r="BP246" s="286">
        <v>46569</v>
      </c>
      <c r="BQ246">
        <f t="shared" si="126"/>
        <v>12.59</v>
      </c>
      <c r="BR246">
        <v>12.71</v>
      </c>
      <c r="BS246">
        <v>12.47</v>
      </c>
      <c r="BT246">
        <f t="shared" si="133"/>
        <v>2034</v>
      </c>
      <c r="BU246" s="286">
        <v>48945</v>
      </c>
      <c r="BV246">
        <f t="shared" si="119"/>
        <v>6.1500500000000002</v>
      </c>
      <c r="BW246" s="580">
        <v>6.0876000000000001</v>
      </c>
      <c r="BX246" s="580">
        <v>6.2125000000000004</v>
      </c>
      <c r="BY246">
        <f t="shared" si="134"/>
        <v>2037</v>
      </c>
      <c r="BZ246" s="286">
        <v>50041</v>
      </c>
      <c r="CA246">
        <f t="shared" si="122"/>
        <v>6.35175</v>
      </c>
      <c r="CB246" s="580">
        <v>6.7808000000000002</v>
      </c>
      <c r="CC246" s="580">
        <v>5.9226999999999999</v>
      </c>
      <c r="CD246" s="364">
        <f t="shared" si="135"/>
        <v>2038</v>
      </c>
      <c r="CE246" s="381">
        <v>50437</v>
      </c>
      <c r="CF246" s="364">
        <f t="shared" si="120"/>
        <v>5.3209499999999998</v>
      </c>
      <c r="CG246" s="411">
        <v>5.04</v>
      </c>
      <c r="CH246" s="411">
        <v>5.6018999999999997</v>
      </c>
      <c r="CI246" s="364">
        <f t="shared" si="136"/>
        <v>2040</v>
      </c>
      <c r="CJ246" s="381">
        <v>51167</v>
      </c>
      <c r="CK246" s="364">
        <f t="shared" si="121"/>
        <v>7.1807499999999997</v>
      </c>
      <c r="CL246" s="411">
        <v>7.3112000000000004</v>
      </c>
      <c r="CM246" s="411">
        <v>7.0503</v>
      </c>
    </row>
    <row r="247" spans="44:91">
      <c r="AR247">
        <f t="shared" si="127"/>
        <v>2024</v>
      </c>
      <c r="AS247" s="307">
        <f t="shared" si="138"/>
        <v>45597</v>
      </c>
      <c r="AT247" s="115">
        <v>91.94</v>
      </c>
      <c r="AU247" s="115">
        <v>75.13</v>
      </c>
      <c r="AV247" s="287">
        <f t="shared" si="131"/>
        <v>84.711699999999979</v>
      </c>
      <c r="AW247" s="271">
        <v>400</v>
      </c>
      <c r="AX247" s="271">
        <v>320</v>
      </c>
      <c r="AY247" s="271">
        <f t="shared" si="128"/>
        <v>0.55555555555555558</v>
      </c>
      <c r="AZ247" s="271">
        <f t="shared" si="129"/>
        <v>0.44444444444444442</v>
      </c>
      <c r="BD247">
        <f t="shared" si="132"/>
        <v>2024</v>
      </c>
      <c r="BE247" s="306">
        <f t="shared" si="137"/>
        <v>45597</v>
      </c>
      <c r="BF247" s="114">
        <f t="shared" si="130"/>
        <v>11.038020663404023</v>
      </c>
      <c r="BG247" s="115">
        <v>11.038020663404023</v>
      </c>
      <c r="BI247">
        <f t="shared" si="123"/>
        <v>2023</v>
      </c>
      <c r="BJ247" s="306">
        <v>45199</v>
      </c>
      <c r="BK247">
        <f t="shared" si="124"/>
        <v>6.085</v>
      </c>
      <c r="BL247">
        <v>6.16</v>
      </c>
      <c r="BM247">
        <v>6.01</v>
      </c>
      <c r="BO247">
        <f t="shared" si="125"/>
        <v>2027</v>
      </c>
      <c r="BP247" s="286">
        <v>46600</v>
      </c>
      <c r="BQ247">
        <f t="shared" si="126"/>
        <v>12.59</v>
      </c>
      <c r="BR247">
        <v>12.71</v>
      </c>
      <c r="BS247">
        <v>12.47</v>
      </c>
      <c r="BT247">
        <f t="shared" si="133"/>
        <v>2034</v>
      </c>
      <c r="BU247" s="286">
        <v>48976</v>
      </c>
      <c r="BV247">
        <f t="shared" si="119"/>
        <v>6.1734500000000008</v>
      </c>
      <c r="BW247" s="580">
        <v>6.1188000000000002</v>
      </c>
      <c r="BX247" s="580">
        <v>6.2281000000000004</v>
      </c>
      <c r="BY247">
        <f t="shared" si="134"/>
        <v>2037</v>
      </c>
      <c r="BZ247" s="286">
        <v>50072</v>
      </c>
      <c r="CA247">
        <f t="shared" si="122"/>
        <v>6.3938000000000006</v>
      </c>
      <c r="CB247" s="580">
        <v>6.8144</v>
      </c>
      <c r="CC247" s="580">
        <v>5.9732000000000003</v>
      </c>
      <c r="CD247" s="364">
        <f t="shared" si="135"/>
        <v>2038</v>
      </c>
      <c r="CE247" s="381">
        <v>50465</v>
      </c>
      <c r="CF247" s="364">
        <f t="shared" si="120"/>
        <v>4.8868</v>
      </c>
      <c r="CG247" s="411">
        <v>4.7336</v>
      </c>
      <c r="CH247" s="411">
        <v>5.04</v>
      </c>
      <c r="CI247" s="364">
        <f t="shared" si="136"/>
        <v>2040</v>
      </c>
      <c r="CJ247" s="381">
        <v>51196</v>
      </c>
      <c r="CK247" s="364">
        <f t="shared" si="121"/>
        <v>6.5129000000000001</v>
      </c>
      <c r="CL247" s="411">
        <v>6.6510999999999996</v>
      </c>
      <c r="CM247" s="411">
        <v>6.3746999999999998</v>
      </c>
    </row>
    <row r="248" spans="44:91">
      <c r="AR248">
        <f t="shared" si="127"/>
        <v>2024</v>
      </c>
      <c r="AS248" s="307">
        <f t="shared" si="138"/>
        <v>45627</v>
      </c>
      <c r="AT248" s="115">
        <v>97.25</v>
      </c>
      <c r="AU248" s="115">
        <v>87.97</v>
      </c>
      <c r="AV248" s="287">
        <f t="shared" si="131"/>
        <v>93.259600000000006</v>
      </c>
      <c r="AW248" s="271">
        <v>400</v>
      </c>
      <c r="AX248" s="271">
        <v>344</v>
      </c>
      <c r="AY248" s="271">
        <f t="shared" si="128"/>
        <v>0.5376344086021505</v>
      </c>
      <c r="AZ248" s="271">
        <f t="shared" si="129"/>
        <v>0.46236559139784944</v>
      </c>
      <c r="BD248">
        <f t="shared" si="132"/>
        <v>2024</v>
      </c>
      <c r="BE248" s="306">
        <f t="shared" si="137"/>
        <v>45627</v>
      </c>
      <c r="BF248" s="114">
        <f t="shared" si="130"/>
        <v>11.568200108754759</v>
      </c>
      <c r="BG248" s="115">
        <v>11.568200108754759</v>
      </c>
      <c r="BI248">
        <f t="shared" si="123"/>
        <v>2023</v>
      </c>
      <c r="BJ248" s="306">
        <v>45230</v>
      </c>
      <c r="BK248">
        <f t="shared" si="124"/>
        <v>6.3149999999999995</v>
      </c>
      <c r="BL248">
        <v>6.34</v>
      </c>
      <c r="BM248">
        <v>6.29</v>
      </c>
      <c r="BO248">
        <f t="shared" si="125"/>
        <v>2027</v>
      </c>
      <c r="BP248" s="286">
        <v>46631</v>
      </c>
      <c r="BQ248">
        <f t="shared" si="126"/>
        <v>12.59</v>
      </c>
      <c r="BR248">
        <v>12.71</v>
      </c>
      <c r="BS248">
        <v>12.47</v>
      </c>
      <c r="BT248">
        <f t="shared" si="133"/>
        <v>2034</v>
      </c>
      <c r="BU248" s="286">
        <v>49004</v>
      </c>
      <c r="BV248">
        <f t="shared" si="119"/>
        <v>5.8457000000000008</v>
      </c>
      <c r="BW248" s="580">
        <v>5.8223000000000003</v>
      </c>
      <c r="BX248" s="580">
        <v>5.8691000000000004</v>
      </c>
      <c r="BY248">
        <f t="shared" si="134"/>
        <v>2037</v>
      </c>
      <c r="BZ248" s="286">
        <v>50100</v>
      </c>
      <c r="CA248">
        <f t="shared" si="122"/>
        <v>6.0656999999999996</v>
      </c>
      <c r="CB248" s="580">
        <v>6.4947999999999997</v>
      </c>
      <c r="CC248" s="580">
        <v>5.6365999999999996</v>
      </c>
      <c r="CD248" s="364">
        <f t="shared" si="135"/>
        <v>2038</v>
      </c>
      <c r="CE248" s="381">
        <v>50496</v>
      </c>
      <c r="CF248" s="364">
        <f t="shared" si="120"/>
        <v>4.1631499999999999</v>
      </c>
      <c r="CG248" s="411">
        <v>4.3418999999999999</v>
      </c>
      <c r="CH248" s="411">
        <v>3.9843999999999999</v>
      </c>
      <c r="CI248" s="364">
        <f t="shared" si="136"/>
        <v>2040</v>
      </c>
      <c r="CJ248" s="381">
        <v>51227</v>
      </c>
      <c r="CK248" s="364">
        <f t="shared" si="121"/>
        <v>6.1593499999999999</v>
      </c>
      <c r="CL248" s="411">
        <v>6.2698</v>
      </c>
      <c r="CM248" s="411">
        <v>6.0488999999999997</v>
      </c>
    </row>
    <row r="249" spans="44:91">
      <c r="AR249">
        <f t="shared" si="127"/>
        <v>2025</v>
      </c>
      <c r="AS249" s="307">
        <f t="shared" si="138"/>
        <v>45658</v>
      </c>
      <c r="AT249" s="115">
        <v>102.37</v>
      </c>
      <c r="AU249" s="115">
        <v>92.39</v>
      </c>
      <c r="AV249" s="287">
        <f t="shared" si="131"/>
        <v>98.078599999999994</v>
      </c>
      <c r="AW249" s="271">
        <v>416</v>
      </c>
      <c r="AX249" s="271">
        <v>328</v>
      </c>
      <c r="AY249" s="271">
        <f t="shared" si="128"/>
        <v>0.55913978494623651</v>
      </c>
      <c r="AZ249" s="271">
        <f t="shared" si="129"/>
        <v>0.44086021505376344</v>
      </c>
      <c r="BD249">
        <f t="shared" si="132"/>
        <v>2025</v>
      </c>
      <c r="BE249" s="306">
        <f t="shared" si="137"/>
        <v>45658</v>
      </c>
      <c r="BF249" s="114">
        <f t="shared" si="130"/>
        <v>12.543594344752583</v>
      </c>
      <c r="BG249" s="115">
        <v>12.543594344752583</v>
      </c>
      <c r="BI249">
        <f t="shared" si="123"/>
        <v>2023</v>
      </c>
      <c r="BJ249" s="306">
        <v>45260</v>
      </c>
      <c r="BK249">
        <f t="shared" si="124"/>
        <v>6.4049999999999994</v>
      </c>
      <c r="BL249">
        <v>6.43</v>
      </c>
      <c r="BM249">
        <v>6.38</v>
      </c>
      <c r="BO249">
        <f t="shared" si="125"/>
        <v>2027</v>
      </c>
      <c r="BP249" s="286">
        <v>46661</v>
      </c>
      <c r="BQ249">
        <f t="shared" si="126"/>
        <v>13.065000000000001</v>
      </c>
      <c r="BR249">
        <v>13.08</v>
      </c>
      <c r="BS249">
        <v>13.05</v>
      </c>
      <c r="BT249">
        <f t="shared" si="133"/>
        <v>2034</v>
      </c>
      <c r="BU249" s="286">
        <v>49035</v>
      </c>
      <c r="BV249">
        <f t="shared" si="119"/>
        <v>5.5335000000000001</v>
      </c>
      <c r="BW249" s="580">
        <v>5.5568999999999997</v>
      </c>
      <c r="BX249" s="580">
        <v>5.5101000000000004</v>
      </c>
      <c r="BY249">
        <f t="shared" si="134"/>
        <v>2037</v>
      </c>
      <c r="BZ249" s="286">
        <v>50131</v>
      </c>
      <c r="CA249">
        <f t="shared" si="122"/>
        <v>5.7292000000000005</v>
      </c>
      <c r="CB249" s="580">
        <v>6.1078000000000001</v>
      </c>
      <c r="CC249" s="580">
        <v>5.3506</v>
      </c>
      <c r="CD249" s="364">
        <f t="shared" si="135"/>
        <v>2038</v>
      </c>
      <c r="CE249" s="381">
        <v>50526</v>
      </c>
      <c r="CF249" s="364">
        <f t="shared" si="120"/>
        <v>4.0694999999999997</v>
      </c>
      <c r="CG249" s="411">
        <v>4.1886999999999999</v>
      </c>
      <c r="CH249" s="411">
        <v>3.9502999999999999</v>
      </c>
      <c r="CI249" s="364">
        <f t="shared" si="136"/>
        <v>2040</v>
      </c>
      <c r="CJ249" s="381">
        <v>51257</v>
      </c>
      <c r="CK249" s="364">
        <f t="shared" si="121"/>
        <v>6.1669</v>
      </c>
      <c r="CL249" s="411">
        <v>6.3061999999999996</v>
      </c>
      <c r="CM249" s="411">
        <v>6.0275999999999996</v>
      </c>
    </row>
    <row r="250" spans="44:91">
      <c r="AR250">
        <f t="shared" si="127"/>
        <v>2025</v>
      </c>
      <c r="AS250" s="307">
        <f t="shared" si="138"/>
        <v>45689</v>
      </c>
      <c r="AT250" s="115">
        <v>96.35</v>
      </c>
      <c r="AU250" s="115">
        <v>83.8</v>
      </c>
      <c r="AV250" s="287">
        <f t="shared" si="131"/>
        <v>90.953499999999991</v>
      </c>
      <c r="AW250" s="271">
        <v>384</v>
      </c>
      <c r="AX250" s="271">
        <v>288</v>
      </c>
      <c r="AY250" s="271">
        <f t="shared" si="128"/>
        <v>0.5714285714285714</v>
      </c>
      <c r="AZ250" s="271">
        <f t="shared" si="129"/>
        <v>0.42857142857142855</v>
      </c>
      <c r="BD250">
        <f t="shared" si="132"/>
        <v>2025</v>
      </c>
      <c r="BE250" s="306">
        <f t="shared" si="137"/>
        <v>45689</v>
      </c>
      <c r="BF250" s="114">
        <f t="shared" si="130"/>
        <v>11.78910821098423</v>
      </c>
      <c r="BG250" s="115">
        <v>11.78910821098423</v>
      </c>
      <c r="BI250">
        <f t="shared" si="123"/>
        <v>2023</v>
      </c>
      <c r="BJ250" s="306">
        <v>45291</v>
      </c>
      <c r="BK250">
        <f t="shared" si="124"/>
        <v>6.7249999999999996</v>
      </c>
      <c r="BL250">
        <v>6.7</v>
      </c>
      <c r="BM250">
        <v>6.75</v>
      </c>
      <c r="BO250">
        <f t="shared" si="125"/>
        <v>2027</v>
      </c>
      <c r="BP250" s="286">
        <v>46692</v>
      </c>
      <c r="BQ250">
        <f t="shared" si="126"/>
        <v>13.254999999999999</v>
      </c>
      <c r="BR250">
        <v>13.27</v>
      </c>
      <c r="BS250">
        <v>13.24</v>
      </c>
      <c r="BT250">
        <f t="shared" si="133"/>
        <v>2034</v>
      </c>
      <c r="BU250" s="286">
        <v>49065</v>
      </c>
      <c r="BV250">
        <f t="shared" si="119"/>
        <v>5.4008500000000002</v>
      </c>
      <c r="BW250" s="580">
        <v>5.4789000000000003</v>
      </c>
      <c r="BX250" s="580">
        <v>5.3228</v>
      </c>
      <c r="BY250">
        <f t="shared" si="134"/>
        <v>2037</v>
      </c>
      <c r="BZ250" s="286">
        <v>50161</v>
      </c>
      <c r="CA250">
        <f t="shared" si="122"/>
        <v>5.7544000000000004</v>
      </c>
      <c r="CB250" s="580">
        <v>6.1414</v>
      </c>
      <c r="CC250" s="580">
        <v>5.3673999999999999</v>
      </c>
      <c r="CD250" s="364">
        <f t="shared" si="135"/>
        <v>2038</v>
      </c>
      <c r="CE250" s="381">
        <v>50557</v>
      </c>
      <c r="CF250" s="364">
        <f t="shared" si="120"/>
        <v>4.1035500000000003</v>
      </c>
      <c r="CG250" s="411">
        <v>4.2397999999999998</v>
      </c>
      <c r="CH250" s="411">
        <v>3.9672999999999998</v>
      </c>
      <c r="CI250" s="364">
        <f t="shared" si="136"/>
        <v>2040</v>
      </c>
      <c r="CJ250" s="381">
        <v>51288</v>
      </c>
      <c r="CK250" s="364">
        <f t="shared" si="121"/>
        <v>6.2555499999999995</v>
      </c>
      <c r="CL250" s="411">
        <v>6.5225</v>
      </c>
      <c r="CM250" s="411">
        <v>5.9885999999999999</v>
      </c>
    </row>
    <row r="251" spans="44:91">
      <c r="AR251">
        <f t="shared" si="127"/>
        <v>2025</v>
      </c>
      <c r="AS251" s="307">
        <f t="shared" si="138"/>
        <v>45717</v>
      </c>
      <c r="AT251" s="115">
        <v>81.66</v>
      </c>
      <c r="AU251" s="115">
        <v>73.02</v>
      </c>
      <c r="AV251" s="287">
        <f t="shared" si="131"/>
        <v>77.944799999999987</v>
      </c>
      <c r="AW251" s="271">
        <v>416</v>
      </c>
      <c r="AX251" s="271">
        <v>328</v>
      </c>
      <c r="AY251" s="271">
        <f t="shared" si="128"/>
        <v>0.55913978494623651</v>
      </c>
      <c r="AZ251" s="271">
        <f t="shared" si="129"/>
        <v>0.44086021505376344</v>
      </c>
      <c r="BD251">
        <f t="shared" si="132"/>
        <v>2025</v>
      </c>
      <c r="BE251" s="306">
        <f t="shared" si="137"/>
        <v>45717</v>
      </c>
      <c r="BF251" s="114">
        <f t="shared" si="130"/>
        <v>11.085600870038064</v>
      </c>
      <c r="BG251" s="115">
        <v>11.085600870038064</v>
      </c>
      <c r="BI251">
        <f t="shared" si="123"/>
        <v>2024</v>
      </c>
      <c r="BJ251" s="306">
        <v>45322</v>
      </c>
      <c r="BK251">
        <f t="shared" si="124"/>
        <v>7.4849999999999994</v>
      </c>
      <c r="BL251">
        <v>7.41</v>
      </c>
      <c r="BM251">
        <v>7.56</v>
      </c>
      <c r="BO251">
        <f t="shared" si="125"/>
        <v>2027</v>
      </c>
      <c r="BP251" s="286">
        <v>46722</v>
      </c>
      <c r="BQ251">
        <f t="shared" si="126"/>
        <v>13.914999999999999</v>
      </c>
      <c r="BR251">
        <v>13.83</v>
      </c>
      <c r="BS251">
        <v>14</v>
      </c>
      <c r="BT251">
        <f t="shared" si="133"/>
        <v>2034</v>
      </c>
      <c r="BU251" s="286">
        <v>49096</v>
      </c>
      <c r="BV251">
        <f t="shared" si="119"/>
        <v>5.3852500000000001</v>
      </c>
      <c r="BW251" s="580">
        <v>5.4789000000000003</v>
      </c>
      <c r="BX251" s="580">
        <v>5.2915999999999999</v>
      </c>
      <c r="BY251">
        <f t="shared" si="134"/>
        <v>2037</v>
      </c>
      <c r="BZ251" s="286">
        <v>50192</v>
      </c>
      <c r="CA251">
        <f t="shared" si="122"/>
        <v>5.8385499999999997</v>
      </c>
      <c r="CB251" s="580">
        <v>6.1919000000000004</v>
      </c>
      <c r="CC251" s="580">
        <v>5.4851999999999999</v>
      </c>
      <c r="CD251" s="364">
        <f t="shared" si="135"/>
        <v>2038</v>
      </c>
      <c r="CE251" s="381">
        <v>50587</v>
      </c>
      <c r="CF251" s="364">
        <f t="shared" si="120"/>
        <v>4.1802000000000001</v>
      </c>
      <c r="CG251" s="411">
        <v>4.3760000000000003</v>
      </c>
      <c r="CH251" s="411">
        <v>3.9843999999999999</v>
      </c>
      <c r="CI251" s="364">
        <f t="shared" si="136"/>
        <v>2040</v>
      </c>
      <c r="CJ251" s="381">
        <v>51318</v>
      </c>
      <c r="CK251" s="364">
        <f t="shared" si="121"/>
        <v>6.5299999999999994</v>
      </c>
      <c r="CL251" s="411">
        <v>6.8998999999999997</v>
      </c>
      <c r="CM251" s="411">
        <v>6.1600999999999999</v>
      </c>
    </row>
    <row r="252" spans="44:91">
      <c r="AR252">
        <f t="shared" si="127"/>
        <v>2025</v>
      </c>
      <c r="AS252" s="307">
        <f t="shared" si="138"/>
        <v>45748</v>
      </c>
      <c r="AT252" s="115">
        <v>81.22</v>
      </c>
      <c r="AU252" s="115">
        <v>77.38</v>
      </c>
      <c r="AV252" s="287">
        <f t="shared" si="131"/>
        <v>79.568799999999982</v>
      </c>
      <c r="AW252" s="271">
        <v>416</v>
      </c>
      <c r="AX252" s="271">
        <v>304</v>
      </c>
      <c r="AY252" s="271">
        <f t="shared" si="128"/>
        <v>0.57777777777777772</v>
      </c>
      <c r="AZ252" s="271">
        <f t="shared" si="129"/>
        <v>0.42222222222222222</v>
      </c>
      <c r="BD252">
        <f t="shared" si="132"/>
        <v>2025</v>
      </c>
      <c r="BE252" s="306">
        <f t="shared" si="137"/>
        <v>45748</v>
      </c>
      <c r="BF252" s="114">
        <f t="shared" si="130"/>
        <v>10.494246873300707</v>
      </c>
      <c r="BG252" s="115">
        <v>10.494246873300707</v>
      </c>
      <c r="BI252">
        <f t="shared" si="123"/>
        <v>2024</v>
      </c>
      <c r="BJ252" s="306">
        <v>45351</v>
      </c>
      <c r="BK252">
        <f t="shared" si="124"/>
        <v>6.9649999999999999</v>
      </c>
      <c r="BL252">
        <v>6.94</v>
      </c>
      <c r="BM252">
        <v>6.99</v>
      </c>
      <c r="BO252">
        <f t="shared" si="125"/>
        <v>2028</v>
      </c>
      <c r="BP252" s="286">
        <v>46753</v>
      </c>
      <c r="BQ252">
        <f t="shared" si="126"/>
        <v>15.239999999999998</v>
      </c>
      <c r="BR252">
        <v>15.04</v>
      </c>
      <c r="BS252">
        <v>15.44</v>
      </c>
      <c r="BT252">
        <f t="shared" si="133"/>
        <v>2034</v>
      </c>
      <c r="BU252" s="286">
        <v>49126</v>
      </c>
      <c r="BV252">
        <f t="shared" si="119"/>
        <v>5.4086499999999997</v>
      </c>
      <c r="BW252" s="580">
        <v>5.5101000000000004</v>
      </c>
      <c r="BX252" s="580">
        <v>5.3071999999999999</v>
      </c>
      <c r="BY252">
        <f t="shared" si="134"/>
        <v>2037</v>
      </c>
      <c r="BZ252" s="286">
        <v>50222</v>
      </c>
      <c r="CA252">
        <f t="shared" si="122"/>
        <v>6.0993499999999994</v>
      </c>
      <c r="CB252" s="580">
        <v>6.4779</v>
      </c>
      <c r="CC252" s="580">
        <v>5.7207999999999997</v>
      </c>
      <c r="CD252" s="364">
        <f t="shared" si="135"/>
        <v>2038</v>
      </c>
      <c r="CE252" s="381">
        <v>50618</v>
      </c>
      <c r="CF252" s="364">
        <f t="shared" si="120"/>
        <v>4.2397500000000008</v>
      </c>
      <c r="CG252" s="411">
        <v>4.4781000000000004</v>
      </c>
      <c r="CH252" s="411">
        <v>4.0014000000000003</v>
      </c>
      <c r="CI252" s="364">
        <f t="shared" si="136"/>
        <v>2040</v>
      </c>
      <c r="CJ252" s="381">
        <v>51349</v>
      </c>
      <c r="CK252" s="364">
        <f t="shared" si="121"/>
        <v>6.9024999999999999</v>
      </c>
      <c r="CL252" s="411">
        <v>7.2023999999999999</v>
      </c>
      <c r="CM252" s="411">
        <v>6.6025999999999998</v>
      </c>
    </row>
    <row r="253" spans="44:91">
      <c r="AR253">
        <f t="shared" si="127"/>
        <v>2025</v>
      </c>
      <c r="AS253" s="307">
        <f t="shared" si="138"/>
        <v>45778</v>
      </c>
      <c r="AT253" s="115">
        <v>82.71</v>
      </c>
      <c r="AU253" s="115">
        <v>77.8</v>
      </c>
      <c r="AV253" s="287">
        <f t="shared" si="131"/>
        <v>80.598699999999994</v>
      </c>
      <c r="AW253" s="271">
        <v>416</v>
      </c>
      <c r="AX253" s="271">
        <v>328</v>
      </c>
      <c r="AY253" s="271">
        <f t="shared" si="128"/>
        <v>0.55913978494623651</v>
      </c>
      <c r="AZ253" s="271">
        <f t="shared" si="129"/>
        <v>0.44086021505376344</v>
      </c>
      <c r="BD253">
        <f t="shared" si="132"/>
        <v>2025</v>
      </c>
      <c r="BE253" s="306">
        <f t="shared" si="137"/>
        <v>45778</v>
      </c>
      <c r="BF253" s="114">
        <f t="shared" si="130"/>
        <v>10.385492115280043</v>
      </c>
      <c r="BG253" s="115">
        <v>10.385492115280043</v>
      </c>
      <c r="BI253">
        <f t="shared" si="123"/>
        <v>2024</v>
      </c>
      <c r="BJ253" s="306">
        <v>45382</v>
      </c>
      <c r="BK253">
        <f t="shared" si="124"/>
        <v>6.5350000000000001</v>
      </c>
      <c r="BL253">
        <v>6.56</v>
      </c>
      <c r="BM253">
        <v>6.51</v>
      </c>
      <c r="BO253">
        <f t="shared" si="125"/>
        <v>2028</v>
      </c>
      <c r="BP253" s="286">
        <v>46784</v>
      </c>
      <c r="BQ253">
        <f t="shared" si="126"/>
        <v>14.18</v>
      </c>
      <c r="BR253">
        <v>14.09</v>
      </c>
      <c r="BS253">
        <v>14.27</v>
      </c>
      <c r="BT253">
        <f t="shared" si="133"/>
        <v>2034</v>
      </c>
      <c r="BU253" s="286">
        <v>49157</v>
      </c>
      <c r="BV253">
        <f t="shared" si="119"/>
        <v>5.5724999999999998</v>
      </c>
      <c r="BW253" s="580">
        <v>5.6036999999999999</v>
      </c>
      <c r="BX253" s="580">
        <v>5.5412999999999997</v>
      </c>
      <c r="BY253">
        <f t="shared" si="134"/>
        <v>2037</v>
      </c>
      <c r="BZ253" s="286">
        <v>50253</v>
      </c>
      <c r="CA253">
        <f t="shared" si="122"/>
        <v>6.1498000000000008</v>
      </c>
      <c r="CB253" s="580">
        <v>6.5452000000000004</v>
      </c>
      <c r="CC253" s="580">
        <v>5.7544000000000004</v>
      </c>
      <c r="CD253" s="364">
        <f t="shared" si="135"/>
        <v>2038</v>
      </c>
      <c r="CE253" s="381">
        <v>50649</v>
      </c>
      <c r="CF253" s="364">
        <f t="shared" si="120"/>
        <v>4.1716499999999996</v>
      </c>
      <c r="CG253" s="411">
        <v>4.4271000000000003</v>
      </c>
      <c r="CH253" s="411">
        <v>3.9161999999999999</v>
      </c>
      <c r="CI253" s="364">
        <f t="shared" si="136"/>
        <v>2040</v>
      </c>
      <c r="CJ253" s="381">
        <v>51380</v>
      </c>
      <c r="CK253" s="364">
        <f t="shared" si="121"/>
        <v>7.0230999999999995</v>
      </c>
      <c r="CL253" s="411">
        <v>7.3243999999999998</v>
      </c>
      <c r="CM253" s="411">
        <v>6.7218</v>
      </c>
    </row>
    <row r="254" spans="44:91">
      <c r="AR254">
        <f t="shared" si="127"/>
        <v>2025</v>
      </c>
      <c r="AS254" s="307">
        <f t="shared" si="138"/>
        <v>45809</v>
      </c>
      <c r="AT254" s="115">
        <v>89.53</v>
      </c>
      <c r="AU254" s="115">
        <v>79.900000000000006</v>
      </c>
      <c r="AV254" s="287">
        <f t="shared" si="131"/>
        <v>85.389099999999999</v>
      </c>
      <c r="AW254" s="271">
        <v>400</v>
      </c>
      <c r="AX254" s="271">
        <v>320</v>
      </c>
      <c r="AY254" s="271">
        <f t="shared" si="128"/>
        <v>0.55555555555555558</v>
      </c>
      <c r="AZ254" s="271">
        <f t="shared" si="129"/>
        <v>0.44444444444444442</v>
      </c>
      <c r="BD254">
        <f t="shared" si="132"/>
        <v>2025</v>
      </c>
      <c r="BE254" s="306">
        <f t="shared" si="137"/>
        <v>45809</v>
      </c>
      <c r="BF254" s="114">
        <f t="shared" si="130"/>
        <v>10.548624252311038</v>
      </c>
      <c r="BG254" s="115">
        <v>10.548624252311038</v>
      </c>
      <c r="BI254">
        <f t="shared" si="123"/>
        <v>2024</v>
      </c>
      <c r="BJ254" s="306">
        <v>45412</v>
      </c>
      <c r="BK254">
        <f t="shared" si="124"/>
        <v>6.11</v>
      </c>
      <c r="BL254">
        <v>6.19</v>
      </c>
      <c r="BM254">
        <v>6.03</v>
      </c>
      <c r="BO254">
        <f t="shared" si="125"/>
        <v>2028</v>
      </c>
      <c r="BP254" s="286">
        <v>46813</v>
      </c>
      <c r="BQ254">
        <f t="shared" si="126"/>
        <v>13.309999999999999</v>
      </c>
      <c r="BR254">
        <v>13.33</v>
      </c>
      <c r="BS254">
        <v>13.29</v>
      </c>
      <c r="BT254">
        <f t="shared" si="133"/>
        <v>2034</v>
      </c>
      <c r="BU254" s="286">
        <v>49188</v>
      </c>
      <c r="BV254">
        <f t="shared" si="119"/>
        <v>5.4554500000000008</v>
      </c>
      <c r="BW254" s="580">
        <v>5.4476000000000004</v>
      </c>
      <c r="BX254" s="580">
        <v>5.4633000000000003</v>
      </c>
      <c r="BY254">
        <f t="shared" si="134"/>
        <v>2037</v>
      </c>
      <c r="BZ254" s="286">
        <v>50284</v>
      </c>
      <c r="CA254">
        <f t="shared" si="122"/>
        <v>5.9984000000000002</v>
      </c>
      <c r="CB254" s="580">
        <v>6.4779</v>
      </c>
      <c r="CC254" s="580">
        <v>5.5189000000000004</v>
      </c>
      <c r="CD254" s="364">
        <f t="shared" si="135"/>
        <v>2038</v>
      </c>
      <c r="CE254" s="381">
        <v>50679</v>
      </c>
      <c r="CF254" s="364">
        <f t="shared" si="120"/>
        <v>4.4270999999999994</v>
      </c>
      <c r="CG254" s="411">
        <v>4.6143999999999998</v>
      </c>
      <c r="CH254" s="411">
        <v>4.2397999999999998</v>
      </c>
      <c r="CI254" s="364">
        <f t="shared" si="136"/>
        <v>2040</v>
      </c>
      <c r="CJ254" s="381">
        <v>51410</v>
      </c>
      <c r="CK254" s="364">
        <f t="shared" si="121"/>
        <v>7.1687499999999993</v>
      </c>
      <c r="CL254" s="411">
        <v>7.3662999999999998</v>
      </c>
      <c r="CM254" s="411">
        <v>6.9711999999999996</v>
      </c>
    </row>
    <row r="255" spans="44:91">
      <c r="AR255">
        <f t="shared" si="127"/>
        <v>2025</v>
      </c>
      <c r="AS255" s="307">
        <f t="shared" si="138"/>
        <v>45839</v>
      </c>
      <c r="AT255" s="115">
        <v>85.27</v>
      </c>
      <c r="AU255" s="115">
        <v>81.73</v>
      </c>
      <c r="AV255" s="287">
        <f t="shared" si="131"/>
        <v>83.747799999999998</v>
      </c>
      <c r="AW255" s="271">
        <v>416</v>
      </c>
      <c r="AX255" s="271">
        <v>328</v>
      </c>
      <c r="AY255" s="271">
        <f t="shared" si="128"/>
        <v>0.55913978494623651</v>
      </c>
      <c r="AZ255" s="271">
        <f t="shared" si="129"/>
        <v>0.44086021505376344</v>
      </c>
      <c r="BD255">
        <f t="shared" si="132"/>
        <v>2025</v>
      </c>
      <c r="BE255" s="306">
        <f t="shared" si="137"/>
        <v>45839</v>
      </c>
      <c r="BF255" s="114">
        <f t="shared" si="130"/>
        <v>10.711756389342034</v>
      </c>
      <c r="BG255" s="115">
        <v>10.711756389342034</v>
      </c>
      <c r="BI255">
        <f t="shared" si="123"/>
        <v>2024</v>
      </c>
      <c r="BJ255" s="306">
        <v>45443</v>
      </c>
      <c r="BK255">
        <f t="shared" si="124"/>
        <v>6.11</v>
      </c>
      <c r="BL255">
        <v>6.19</v>
      </c>
      <c r="BM255">
        <v>6.03</v>
      </c>
      <c r="BO255">
        <f t="shared" si="125"/>
        <v>2028</v>
      </c>
      <c r="BP255" s="286">
        <v>46844</v>
      </c>
      <c r="BQ255">
        <f t="shared" si="126"/>
        <v>12.445</v>
      </c>
      <c r="BR255">
        <v>12.57</v>
      </c>
      <c r="BS255">
        <v>12.32</v>
      </c>
      <c r="BT255">
        <f t="shared" si="133"/>
        <v>2034</v>
      </c>
      <c r="BU255" s="286">
        <v>49218</v>
      </c>
      <c r="BV255">
        <f t="shared" si="119"/>
        <v>5.5412999999999997</v>
      </c>
      <c r="BW255" s="580">
        <v>5.5256999999999996</v>
      </c>
      <c r="BX255" s="580">
        <v>5.5568999999999997</v>
      </c>
      <c r="BY255">
        <f t="shared" si="134"/>
        <v>2037</v>
      </c>
      <c r="BZ255" s="286">
        <v>50314</v>
      </c>
      <c r="CA255">
        <f t="shared" si="122"/>
        <v>6.0152000000000001</v>
      </c>
      <c r="CB255" s="580">
        <v>6.5284000000000004</v>
      </c>
      <c r="CC255" s="580">
        <v>5.5019999999999998</v>
      </c>
      <c r="CD255" s="364">
        <f t="shared" si="135"/>
        <v>2038</v>
      </c>
      <c r="CE255" s="381">
        <v>50710</v>
      </c>
      <c r="CF255" s="364">
        <f t="shared" si="120"/>
        <v>5.3209999999999997</v>
      </c>
      <c r="CG255" s="411">
        <v>5.1252000000000004</v>
      </c>
      <c r="CH255" s="411">
        <v>5.5167999999999999</v>
      </c>
      <c r="CI255" s="364">
        <f t="shared" si="136"/>
        <v>2040</v>
      </c>
      <c r="CJ255" s="381">
        <v>51441</v>
      </c>
      <c r="CK255" s="364">
        <f t="shared" si="121"/>
        <v>7.7435500000000008</v>
      </c>
      <c r="CL255" s="411">
        <v>7.8836000000000004</v>
      </c>
      <c r="CM255" s="411">
        <v>7.6035000000000004</v>
      </c>
    </row>
    <row r="256" spans="44:91">
      <c r="AR256">
        <f t="shared" si="127"/>
        <v>2025</v>
      </c>
      <c r="AS256" s="307">
        <f t="shared" si="138"/>
        <v>45870</v>
      </c>
      <c r="AT256" s="115">
        <v>85.69</v>
      </c>
      <c r="AU256" s="115">
        <v>82.2</v>
      </c>
      <c r="AV256" s="287">
        <f t="shared" si="131"/>
        <v>84.189300000000003</v>
      </c>
      <c r="AW256" s="271">
        <v>416</v>
      </c>
      <c r="AX256" s="271">
        <v>328</v>
      </c>
      <c r="AY256" s="271">
        <f t="shared" si="128"/>
        <v>0.55913978494623651</v>
      </c>
      <c r="AZ256" s="271">
        <f t="shared" si="129"/>
        <v>0.44086021505376344</v>
      </c>
      <c r="BD256">
        <f t="shared" si="132"/>
        <v>2025</v>
      </c>
      <c r="BE256" s="306">
        <f t="shared" si="137"/>
        <v>45870</v>
      </c>
      <c r="BF256" s="114">
        <f t="shared" si="130"/>
        <v>10.711756389342034</v>
      </c>
      <c r="BG256" s="115">
        <v>10.711756389342034</v>
      </c>
      <c r="BI256">
        <f t="shared" si="123"/>
        <v>2024</v>
      </c>
      <c r="BJ256" s="306">
        <v>45473</v>
      </c>
      <c r="BK256">
        <f t="shared" si="124"/>
        <v>6.2050000000000001</v>
      </c>
      <c r="BL256">
        <v>6.28</v>
      </c>
      <c r="BM256">
        <v>6.13</v>
      </c>
      <c r="BO256">
        <f t="shared" si="125"/>
        <v>2028</v>
      </c>
      <c r="BP256" s="286">
        <v>46874</v>
      </c>
      <c r="BQ256">
        <f t="shared" si="126"/>
        <v>12.445</v>
      </c>
      <c r="BR256">
        <v>12.57</v>
      </c>
      <c r="BS256">
        <v>12.32</v>
      </c>
      <c r="BT256">
        <f t="shared" si="133"/>
        <v>2034</v>
      </c>
      <c r="BU256" s="286">
        <v>49249</v>
      </c>
      <c r="BV256">
        <f t="shared" si="119"/>
        <v>5.7051999999999996</v>
      </c>
      <c r="BW256" s="580">
        <v>5.6505999999999998</v>
      </c>
      <c r="BX256" s="580">
        <v>5.7598000000000003</v>
      </c>
      <c r="BY256">
        <f t="shared" si="134"/>
        <v>2037</v>
      </c>
      <c r="BZ256" s="286">
        <v>50345</v>
      </c>
      <c r="CA256">
        <f t="shared" si="122"/>
        <v>6.2591999999999999</v>
      </c>
      <c r="CB256" s="580">
        <v>6.7134999999999998</v>
      </c>
      <c r="CC256" s="580">
        <v>5.8048999999999999</v>
      </c>
      <c r="CD256" s="364">
        <f t="shared" si="135"/>
        <v>2038</v>
      </c>
      <c r="CE256" s="381">
        <v>50740</v>
      </c>
      <c r="CF256" s="364">
        <f t="shared" si="120"/>
        <v>5.7806999999999995</v>
      </c>
      <c r="CG256" s="411">
        <v>5.5338000000000003</v>
      </c>
      <c r="CH256" s="411">
        <v>6.0275999999999996</v>
      </c>
      <c r="CI256" s="364">
        <f t="shared" si="136"/>
        <v>2040</v>
      </c>
      <c r="CJ256" s="381">
        <v>51471</v>
      </c>
      <c r="CK256" s="364">
        <f t="shared" si="121"/>
        <v>8.0243000000000002</v>
      </c>
      <c r="CL256" s="411">
        <v>8.1525999999999996</v>
      </c>
      <c r="CM256" s="411">
        <v>7.8959999999999999</v>
      </c>
    </row>
    <row r="257" spans="44:91">
      <c r="AR257">
        <f t="shared" si="127"/>
        <v>2025</v>
      </c>
      <c r="AS257" s="307">
        <f t="shared" si="138"/>
        <v>45901</v>
      </c>
      <c r="AT257" s="115">
        <v>84.94</v>
      </c>
      <c r="AU257" s="115">
        <v>79.650000000000006</v>
      </c>
      <c r="AV257" s="287">
        <f t="shared" si="131"/>
        <v>82.665300000000002</v>
      </c>
      <c r="AW257" s="271">
        <v>400</v>
      </c>
      <c r="AX257" s="271">
        <v>320</v>
      </c>
      <c r="AY257" s="271">
        <f t="shared" si="128"/>
        <v>0.55555555555555558</v>
      </c>
      <c r="AZ257" s="271">
        <f t="shared" si="129"/>
        <v>0.44444444444444442</v>
      </c>
      <c r="BD257">
        <f t="shared" si="132"/>
        <v>2025</v>
      </c>
      <c r="BE257" s="306">
        <f t="shared" si="137"/>
        <v>45901</v>
      </c>
      <c r="BF257" s="114">
        <f t="shared" si="130"/>
        <v>10.711756389342034</v>
      </c>
      <c r="BG257" s="115">
        <v>10.711756389342034</v>
      </c>
      <c r="BI257">
        <f t="shared" si="123"/>
        <v>2024</v>
      </c>
      <c r="BJ257" s="306">
        <v>45504</v>
      </c>
      <c r="BK257">
        <f t="shared" si="124"/>
        <v>6.3</v>
      </c>
      <c r="BL257">
        <v>6.38</v>
      </c>
      <c r="BM257">
        <v>6.22</v>
      </c>
      <c r="BO257">
        <f t="shared" si="125"/>
        <v>2028</v>
      </c>
      <c r="BP257" s="286">
        <v>46905</v>
      </c>
      <c r="BQ257">
        <f t="shared" si="126"/>
        <v>12.635</v>
      </c>
      <c r="BR257">
        <v>12.76</v>
      </c>
      <c r="BS257">
        <v>12.51</v>
      </c>
      <c r="BT257">
        <f t="shared" si="133"/>
        <v>2034</v>
      </c>
      <c r="BU257" s="286">
        <v>49279</v>
      </c>
      <c r="BV257">
        <f t="shared" si="119"/>
        <v>6.08765</v>
      </c>
      <c r="BW257" s="580">
        <v>6.0251999999999999</v>
      </c>
      <c r="BX257" s="580">
        <v>6.1501000000000001</v>
      </c>
      <c r="BY257">
        <f t="shared" si="134"/>
        <v>2037</v>
      </c>
      <c r="BZ257" s="286">
        <v>50375</v>
      </c>
      <c r="CA257">
        <f t="shared" si="122"/>
        <v>6.7639499999999995</v>
      </c>
      <c r="CB257" s="580">
        <v>7.2013999999999996</v>
      </c>
      <c r="CC257" s="580">
        <v>6.3265000000000002</v>
      </c>
      <c r="CD257" s="364">
        <f t="shared" si="135"/>
        <v>2039</v>
      </c>
      <c r="CE257" s="381">
        <v>50771</v>
      </c>
      <c r="CF257" s="364">
        <f t="shared" si="120"/>
        <v>5.7830500000000002</v>
      </c>
      <c r="CG257" s="411">
        <v>5.5566000000000004</v>
      </c>
      <c r="CH257" s="411">
        <v>6.0095000000000001</v>
      </c>
      <c r="CI257" s="364">
        <f t="shared" si="136"/>
        <v>2041</v>
      </c>
      <c r="CJ257" s="381">
        <v>51502</v>
      </c>
      <c r="CK257" s="364">
        <f t="shared" si="121"/>
        <v>8.3105499999999992</v>
      </c>
      <c r="CL257" s="411">
        <v>8.4589999999999996</v>
      </c>
      <c r="CM257" s="411">
        <v>8.1621000000000006</v>
      </c>
    </row>
    <row r="258" spans="44:91">
      <c r="AR258">
        <f t="shared" si="127"/>
        <v>2025</v>
      </c>
      <c r="AS258" s="307">
        <f t="shared" si="138"/>
        <v>45931</v>
      </c>
      <c r="AT258" s="115">
        <v>84.29</v>
      </c>
      <c r="AU258" s="115">
        <v>73.59</v>
      </c>
      <c r="AV258" s="287">
        <f t="shared" si="131"/>
        <v>79.688999999999993</v>
      </c>
      <c r="AW258" s="271">
        <v>432</v>
      </c>
      <c r="AX258" s="271">
        <v>312</v>
      </c>
      <c r="AY258" s="271">
        <f t="shared" si="128"/>
        <v>0.58064516129032262</v>
      </c>
      <c r="AZ258" s="271">
        <f t="shared" si="129"/>
        <v>0.41935483870967744</v>
      </c>
      <c r="BD258">
        <f t="shared" si="132"/>
        <v>2025</v>
      </c>
      <c r="BE258" s="306">
        <f t="shared" si="137"/>
        <v>45931</v>
      </c>
      <c r="BF258" s="114">
        <f t="shared" si="130"/>
        <v>11.085600870038064</v>
      </c>
      <c r="BG258" s="115">
        <v>11.085600870038064</v>
      </c>
      <c r="BI258">
        <f t="shared" si="123"/>
        <v>2024</v>
      </c>
      <c r="BJ258" s="306">
        <v>45535</v>
      </c>
      <c r="BK258">
        <f t="shared" si="124"/>
        <v>6.3</v>
      </c>
      <c r="BL258">
        <v>6.38</v>
      </c>
      <c r="BM258">
        <v>6.22</v>
      </c>
      <c r="BO258">
        <f t="shared" si="125"/>
        <v>2028</v>
      </c>
      <c r="BP258" s="286">
        <v>46935</v>
      </c>
      <c r="BQ258">
        <f t="shared" si="126"/>
        <v>12.83</v>
      </c>
      <c r="BR258">
        <v>12.95</v>
      </c>
      <c r="BS258">
        <v>12.71</v>
      </c>
      <c r="BT258">
        <f t="shared" si="133"/>
        <v>2035</v>
      </c>
      <c r="BU258" s="286">
        <v>49310</v>
      </c>
      <c r="BV258">
        <f t="shared" si="119"/>
        <v>6.1976499999999994</v>
      </c>
      <c r="BW258" s="580">
        <v>6.1098999999999997</v>
      </c>
      <c r="BX258" s="580">
        <v>6.2854000000000001</v>
      </c>
      <c r="BY258">
        <f t="shared" si="134"/>
        <v>2038</v>
      </c>
      <c r="BZ258" s="286">
        <v>50406</v>
      </c>
      <c r="CA258">
        <f t="shared" si="122"/>
        <v>6.7990499999999994</v>
      </c>
      <c r="CB258" s="580">
        <v>7.2465999999999999</v>
      </c>
      <c r="CC258" s="580">
        <v>6.3514999999999997</v>
      </c>
      <c r="CD258" s="364">
        <f t="shared" si="135"/>
        <v>2039</v>
      </c>
      <c r="CE258" s="381">
        <v>50802</v>
      </c>
      <c r="CF258" s="364">
        <f t="shared" si="120"/>
        <v>5.5304500000000001</v>
      </c>
      <c r="CG258" s="411">
        <v>5.3823999999999996</v>
      </c>
      <c r="CH258" s="411">
        <v>5.6784999999999997</v>
      </c>
      <c r="CI258" s="364">
        <f t="shared" si="136"/>
        <v>2041</v>
      </c>
      <c r="CJ258" s="381">
        <v>51533</v>
      </c>
      <c r="CK258" s="364">
        <f t="shared" si="121"/>
        <v>7.8030499999999998</v>
      </c>
      <c r="CL258" s="411">
        <v>7.9417999999999997</v>
      </c>
      <c r="CM258" s="411">
        <v>7.6642999999999999</v>
      </c>
    </row>
    <row r="259" spans="44:91">
      <c r="AR259">
        <f t="shared" si="127"/>
        <v>2025</v>
      </c>
      <c r="AS259" s="307">
        <f t="shared" si="138"/>
        <v>45962</v>
      </c>
      <c r="AT259" s="115">
        <v>95.2</v>
      </c>
      <c r="AU259" s="115">
        <v>83.48</v>
      </c>
      <c r="AV259" s="287">
        <f t="shared" si="131"/>
        <v>90.160399999999996</v>
      </c>
      <c r="AW259" s="271">
        <v>384</v>
      </c>
      <c r="AX259" s="271">
        <v>336</v>
      </c>
      <c r="AY259" s="271">
        <f t="shared" si="128"/>
        <v>0.53333333333333333</v>
      </c>
      <c r="AZ259" s="271">
        <f t="shared" si="129"/>
        <v>0.46666666666666667</v>
      </c>
      <c r="BD259">
        <f t="shared" si="132"/>
        <v>2025</v>
      </c>
      <c r="BE259" s="306">
        <f t="shared" si="137"/>
        <v>45962</v>
      </c>
      <c r="BF259" s="114">
        <f t="shared" si="130"/>
        <v>11.248733007069058</v>
      </c>
      <c r="BG259" s="115">
        <v>11.248733007069058</v>
      </c>
      <c r="BI259">
        <f t="shared" si="123"/>
        <v>2024</v>
      </c>
      <c r="BJ259" s="306">
        <v>45565</v>
      </c>
      <c r="BK259">
        <f t="shared" si="124"/>
        <v>6.3</v>
      </c>
      <c r="BL259">
        <v>6.38</v>
      </c>
      <c r="BM259">
        <v>6.22</v>
      </c>
      <c r="BO259">
        <f t="shared" si="125"/>
        <v>2028</v>
      </c>
      <c r="BP259" s="286">
        <v>46966</v>
      </c>
      <c r="BQ259">
        <f t="shared" si="126"/>
        <v>12.83</v>
      </c>
      <c r="BR259">
        <v>12.95</v>
      </c>
      <c r="BS259">
        <v>12.71</v>
      </c>
      <c r="BT259">
        <f t="shared" si="133"/>
        <v>2035</v>
      </c>
      <c r="BU259" s="286">
        <v>49341</v>
      </c>
      <c r="BV259">
        <f t="shared" si="119"/>
        <v>6.2294999999999998</v>
      </c>
      <c r="BW259" s="580">
        <v>6.1577000000000002</v>
      </c>
      <c r="BX259" s="580">
        <v>6.3013000000000003</v>
      </c>
      <c r="BY259">
        <f t="shared" si="134"/>
        <v>2038</v>
      </c>
      <c r="BZ259" s="286">
        <v>50437</v>
      </c>
      <c r="CA259">
        <f t="shared" si="122"/>
        <v>6.8420500000000004</v>
      </c>
      <c r="CB259" s="580">
        <v>7.2981999999999996</v>
      </c>
      <c r="CC259" s="580">
        <v>6.3859000000000004</v>
      </c>
      <c r="CD259" s="364">
        <f t="shared" si="135"/>
        <v>2039</v>
      </c>
      <c r="CE259" s="381">
        <v>50830</v>
      </c>
      <c r="CF259" s="364">
        <f t="shared" si="120"/>
        <v>5.3213999999999997</v>
      </c>
      <c r="CG259" s="411">
        <v>5.1384999999999996</v>
      </c>
      <c r="CH259" s="411">
        <v>5.5042999999999997</v>
      </c>
      <c r="CI259" s="364">
        <f t="shared" si="136"/>
        <v>2041</v>
      </c>
      <c r="CJ259" s="381">
        <v>51561</v>
      </c>
      <c r="CK259" s="364">
        <f t="shared" si="121"/>
        <v>6.9177999999999997</v>
      </c>
      <c r="CL259" s="411">
        <v>7.0670000000000002</v>
      </c>
      <c r="CM259" s="411">
        <v>6.7686000000000002</v>
      </c>
    </row>
    <row r="260" spans="44:91">
      <c r="AR260">
        <f t="shared" si="127"/>
        <v>2025</v>
      </c>
      <c r="AS260" s="307">
        <f t="shared" si="138"/>
        <v>45992</v>
      </c>
      <c r="AT260" s="115">
        <v>99.66</v>
      </c>
      <c r="AU260" s="115">
        <v>91.39</v>
      </c>
      <c r="AV260" s="287">
        <f t="shared" si="131"/>
        <v>96.103899999999982</v>
      </c>
      <c r="AW260" s="271">
        <v>416</v>
      </c>
      <c r="AX260" s="271">
        <v>328</v>
      </c>
      <c r="AY260" s="271">
        <f t="shared" si="128"/>
        <v>0.55913978494623651</v>
      </c>
      <c r="AZ260" s="271">
        <f t="shared" si="129"/>
        <v>0.44086021505376344</v>
      </c>
      <c r="BD260">
        <f t="shared" si="132"/>
        <v>2025</v>
      </c>
      <c r="BE260" s="306">
        <f t="shared" si="137"/>
        <v>45992</v>
      </c>
      <c r="BF260" s="114">
        <f t="shared" si="130"/>
        <v>11.78910821098423</v>
      </c>
      <c r="BG260" s="115">
        <v>11.78910821098423</v>
      </c>
      <c r="BI260">
        <f t="shared" si="123"/>
        <v>2024</v>
      </c>
      <c r="BJ260" s="306">
        <v>45596</v>
      </c>
      <c r="BK260">
        <f t="shared" si="124"/>
        <v>6.5350000000000001</v>
      </c>
      <c r="BL260">
        <v>6.56</v>
      </c>
      <c r="BM260">
        <v>6.51</v>
      </c>
      <c r="BO260">
        <f t="shared" si="125"/>
        <v>2028</v>
      </c>
      <c r="BP260" s="286">
        <v>46997</v>
      </c>
      <c r="BQ260">
        <f t="shared" si="126"/>
        <v>12.83</v>
      </c>
      <c r="BR260">
        <v>12.95</v>
      </c>
      <c r="BS260">
        <v>12.71</v>
      </c>
      <c r="BT260">
        <f t="shared" si="133"/>
        <v>2035</v>
      </c>
      <c r="BU260" s="286">
        <v>49369</v>
      </c>
      <c r="BV260">
        <f t="shared" si="119"/>
        <v>5.9264000000000001</v>
      </c>
      <c r="BW260" s="580">
        <v>5.8864999999999998</v>
      </c>
      <c r="BX260" s="580">
        <v>5.9663000000000004</v>
      </c>
      <c r="BY260">
        <f t="shared" si="134"/>
        <v>2038</v>
      </c>
      <c r="BZ260" s="286">
        <v>50465</v>
      </c>
      <c r="CA260">
        <f t="shared" si="122"/>
        <v>6.5236499999999999</v>
      </c>
      <c r="CB260" s="580">
        <v>6.9711999999999996</v>
      </c>
      <c r="CC260" s="580">
        <v>6.0761000000000003</v>
      </c>
      <c r="CD260" s="364">
        <f t="shared" si="135"/>
        <v>2039</v>
      </c>
      <c r="CE260" s="381">
        <v>50861</v>
      </c>
      <c r="CF260" s="364">
        <f t="shared" si="120"/>
        <v>4.3024000000000004</v>
      </c>
      <c r="CG260" s="411">
        <v>4.4939999999999998</v>
      </c>
      <c r="CH260" s="411">
        <v>4.1108000000000002</v>
      </c>
      <c r="CI260" s="364">
        <f t="shared" si="136"/>
        <v>2041</v>
      </c>
      <c r="CJ260" s="381">
        <v>51592</v>
      </c>
      <c r="CK260" s="364">
        <f t="shared" si="121"/>
        <v>6.5010500000000002</v>
      </c>
      <c r="CL260" s="411">
        <v>6.6401000000000003</v>
      </c>
      <c r="CM260" s="411">
        <v>6.3620000000000001</v>
      </c>
    </row>
    <row r="261" spans="44:91">
      <c r="AR261">
        <f t="shared" si="127"/>
        <v>2026</v>
      </c>
      <c r="AS261" s="307">
        <f t="shared" si="138"/>
        <v>46023</v>
      </c>
      <c r="AT261" s="115">
        <v>104.32</v>
      </c>
      <c r="AU261" s="115">
        <v>94.15</v>
      </c>
      <c r="AV261" s="287">
        <f t="shared" si="131"/>
        <v>99.946899999999999</v>
      </c>
      <c r="AW261" s="271">
        <v>416</v>
      </c>
      <c r="AX261" s="271">
        <v>328</v>
      </c>
      <c r="AY261" s="271">
        <f t="shared" si="128"/>
        <v>0.55913978494623651</v>
      </c>
      <c r="AZ261" s="271">
        <f t="shared" si="129"/>
        <v>0.44086021505376344</v>
      </c>
      <c r="BD261">
        <f t="shared" si="132"/>
        <v>2026</v>
      </c>
      <c r="BE261" s="306">
        <f t="shared" si="137"/>
        <v>46023</v>
      </c>
      <c r="BF261" s="114">
        <f t="shared" si="130"/>
        <v>12.781495377922784</v>
      </c>
      <c r="BG261" s="115">
        <v>12.781495377922784</v>
      </c>
      <c r="BI261">
        <f t="shared" si="123"/>
        <v>2024</v>
      </c>
      <c r="BJ261" s="306">
        <v>45626</v>
      </c>
      <c r="BK261">
        <f t="shared" si="124"/>
        <v>6.6349999999999998</v>
      </c>
      <c r="BL261">
        <v>6.66</v>
      </c>
      <c r="BM261">
        <v>6.61</v>
      </c>
      <c r="BO261">
        <f t="shared" si="125"/>
        <v>2028</v>
      </c>
      <c r="BP261" s="286">
        <v>47027</v>
      </c>
      <c r="BQ261">
        <f t="shared" si="126"/>
        <v>13.309999999999999</v>
      </c>
      <c r="BR261">
        <v>13.33</v>
      </c>
      <c r="BS261">
        <v>13.29</v>
      </c>
      <c r="BT261">
        <f t="shared" si="133"/>
        <v>2035</v>
      </c>
      <c r="BU261" s="286">
        <v>49400</v>
      </c>
      <c r="BV261">
        <f t="shared" ref="BV261:BV300" si="139">AVERAGE(BW261:BX261)</f>
        <v>5.6552500000000006</v>
      </c>
      <c r="BW261" s="580">
        <v>5.6313000000000004</v>
      </c>
      <c r="BX261" s="580">
        <v>5.6791999999999998</v>
      </c>
      <c r="BY261">
        <f t="shared" si="134"/>
        <v>2038</v>
      </c>
      <c r="BZ261" s="286">
        <v>50496</v>
      </c>
      <c r="CA261">
        <f t="shared" si="122"/>
        <v>6.2051999999999996</v>
      </c>
      <c r="CB261" s="580">
        <v>6.5925000000000002</v>
      </c>
      <c r="CC261" s="580">
        <v>5.8178999999999998</v>
      </c>
      <c r="CD261" s="364">
        <f t="shared" si="135"/>
        <v>2039</v>
      </c>
      <c r="CE261" s="381">
        <v>50891</v>
      </c>
      <c r="CF261" s="364">
        <f t="shared" si="120"/>
        <v>4.3198499999999997</v>
      </c>
      <c r="CG261" s="411">
        <v>4.4939999999999998</v>
      </c>
      <c r="CH261" s="411">
        <v>4.1456999999999997</v>
      </c>
      <c r="CI261" s="364">
        <f t="shared" si="136"/>
        <v>2041</v>
      </c>
      <c r="CJ261" s="381">
        <v>51622</v>
      </c>
      <c r="CK261" s="364">
        <f t="shared" si="121"/>
        <v>6.5042499999999999</v>
      </c>
      <c r="CL261" s="411">
        <v>6.6585000000000001</v>
      </c>
      <c r="CM261" s="411">
        <v>6.35</v>
      </c>
    </row>
    <row r="262" spans="44:91">
      <c r="AR262">
        <f t="shared" si="127"/>
        <v>2026</v>
      </c>
      <c r="AS262" s="307">
        <f t="shared" si="138"/>
        <v>46054</v>
      </c>
      <c r="AT262" s="115">
        <v>98.18</v>
      </c>
      <c r="AU262" s="115">
        <v>85.39</v>
      </c>
      <c r="AV262" s="287">
        <f t="shared" si="131"/>
        <v>92.680300000000003</v>
      </c>
      <c r="AW262" s="271">
        <v>384</v>
      </c>
      <c r="AX262" s="271">
        <v>288</v>
      </c>
      <c r="AY262" s="271">
        <f t="shared" si="128"/>
        <v>0.5714285714285714</v>
      </c>
      <c r="AZ262" s="271">
        <f t="shared" si="129"/>
        <v>0.42857142857142855</v>
      </c>
      <c r="BD262">
        <f t="shared" si="132"/>
        <v>2026</v>
      </c>
      <c r="BE262" s="306">
        <f t="shared" si="137"/>
        <v>46054</v>
      </c>
      <c r="BF262" s="114">
        <f t="shared" si="130"/>
        <v>12.010016313213702</v>
      </c>
      <c r="BG262" s="115">
        <v>12.010016313213702</v>
      </c>
      <c r="BI262">
        <f t="shared" si="123"/>
        <v>2024</v>
      </c>
      <c r="BJ262" s="306">
        <v>45657</v>
      </c>
      <c r="BK262">
        <f t="shared" si="124"/>
        <v>6.9649999999999999</v>
      </c>
      <c r="BL262">
        <v>6.94</v>
      </c>
      <c r="BM262">
        <v>6.99</v>
      </c>
      <c r="BO262">
        <f t="shared" si="125"/>
        <v>2028</v>
      </c>
      <c r="BP262" s="286">
        <v>47058</v>
      </c>
      <c r="BQ262">
        <f t="shared" si="126"/>
        <v>13.504999999999999</v>
      </c>
      <c r="BR262">
        <v>13.52</v>
      </c>
      <c r="BS262">
        <v>13.49</v>
      </c>
      <c r="BT262">
        <f t="shared" si="133"/>
        <v>2035</v>
      </c>
      <c r="BU262" s="286">
        <v>49430</v>
      </c>
      <c r="BV262">
        <f t="shared" si="139"/>
        <v>5.6233000000000004</v>
      </c>
      <c r="BW262" s="580">
        <v>5.6631999999999998</v>
      </c>
      <c r="BX262" s="580">
        <v>5.5834000000000001</v>
      </c>
      <c r="BY262">
        <f t="shared" si="134"/>
        <v>2038</v>
      </c>
      <c r="BZ262" s="286">
        <v>50526</v>
      </c>
      <c r="CA262">
        <f t="shared" si="122"/>
        <v>6.2309999999999999</v>
      </c>
      <c r="CB262" s="580">
        <v>6.6269</v>
      </c>
      <c r="CC262" s="580">
        <v>5.8350999999999997</v>
      </c>
      <c r="CD262" s="364">
        <f t="shared" si="135"/>
        <v>2039</v>
      </c>
      <c r="CE262" s="381">
        <v>50922</v>
      </c>
      <c r="CF262" s="364">
        <f t="shared" si="120"/>
        <v>4.3285499999999999</v>
      </c>
      <c r="CG262" s="411">
        <v>4.4939999999999998</v>
      </c>
      <c r="CH262" s="411">
        <v>4.1631</v>
      </c>
      <c r="CI262" s="364">
        <f t="shared" si="136"/>
        <v>2041</v>
      </c>
      <c r="CJ262" s="381">
        <v>51653</v>
      </c>
      <c r="CK262" s="364">
        <f t="shared" si="121"/>
        <v>6.5817999999999994</v>
      </c>
      <c r="CL262" s="411">
        <v>6.8311000000000002</v>
      </c>
      <c r="CM262" s="411">
        <v>6.3324999999999996</v>
      </c>
    </row>
    <row r="263" spans="44:91">
      <c r="AR263">
        <f t="shared" si="127"/>
        <v>2026</v>
      </c>
      <c r="AS263" s="307">
        <f t="shared" si="138"/>
        <v>46082</v>
      </c>
      <c r="AT263" s="115">
        <v>83.21</v>
      </c>
      <c r="AU263" s="115">
        <v>74.41</v>
      </c>
      <c r="AV263" s="287">
        <f t="shared" si="131"/>
        <v>79.425999999999988</v>
      </c>
      <c r="AW263" s="271">
        <v>416</v>
      </c>
      <c r="AX263" s="271">
        <v>328</v>
      </c>
      <c r="AY263" s="271">
        <f t="shared" si="128"/>
        <v>0.55913978494623651</v>
      </c>
      <c r="AZ263" s="271">
        <f t="shared" si="129"/>
        <v>0.44086021505376344</v>
      </c>
      <c r="BD263">
        <f t="shared" si="132"/>
        <v>2026</v>
      </c>
      <c r="BE263" s="306">
        <f t="shared" si="137"/>
        <v>46082</v>
      </c>
      <c r="BF263" s="114">
        <f t="shared" si="130"/>
        <v>11.296313213703097</v>
      </c>
      <c r="BG263" s="115">
        <v>11.296313213703097</v>
      </c>
      <c r="BI263">
        <f t="shared" si="123"/>
        <v>2025</v>
      </c>
      <c r="BJ263" s="306">
        <v>45688</v>
      </c>
      <c r="BK263">
        <f t="shared" si="124"/>
        <v>7.75</v>
      </c>
      <c r="BL263">
        <v>7.67</v>
      </c>
      <c r="BM263">
        <v>7.83</v>
      </c>
      <c r="BO263">
        <f t="shared" si="125"/>
        <v>2028</v>
      </c>
      <c r="BP263" s="286">
        <v>47088</v>
      </c>
      <c r="BQ263">
        <f t="shared" si="126"/>
        <v>14.18</v>
      </c>
      <c r="BR263">
        <v>14.09</v>
      </c>
      <c r="BS263">
        <v>14.27</v>
      </c>
      <c r="BT263">
        <f t="shared" si="133"/>
        <v>2035</v>
      </c>
      <c r="BU263" s="286">
        <v>49461</v>
      </c>
      <c r="BV263">
        <f t="shared" si="139"/>
        <v>5.5515500000000007</v>
      </c>
      <c r="BW263" s="580">
        <v>5.6154000000000002</v>
      </c>
      <c r="BX263" s="580">
        <v>5.4877000000000002</v>
      </c>
      <c r="BY263">
        <f t="shared" si="134"/>
        <v>2038</v>
      </c>
      <c r="BZ263" s="286">
        <v>50557</v>
      </c>
      <c r="CA263">
        <f t="shared" si="122"/>
        <v>6.3085000000000004</v>
      </c>
      <c r="CB263" s="580">
        <v>6.6958000000000002</v>
      </c>
      <c r="CC263" s="580">
        <v>5.9211999999999998</v>
      </c>
      <c r="CD263" s="364">
        <f t="shared" si="135"/>
        <v>2039</v>
      </c>
      <c r="CE263" s="381">
        <v>50952</v>
      </c>
      <c r="CF263" s="364">
        <f t="shared" si="120"/>
        <v>4.39825</v>
      </c>
      <c r="CG263" s="411">
        <v>4.6159999999999997</v>
      </c>
      <c r="CH263" s="411">
        <v>4.1805000000000003</v>
      </c>
      <c r="CI263" s="364">
        <f t="shared" si="136"/>
        <v>2041</v>
      </c>
      <c r="CJ263" s="381">
        <v>51683</v>
      </c>
      <c r="CK263" s="364">
        <f t="shared" si="121"/>
        <v>6.8219499999999993</v>
      </c>
      <c r="CL263" s="411">
        <v>7.2294999999999998</v>
      </c>
      <c r="CM263" s="411">
        <v>6.4143999999999997</v>
      </c>
    </row>
    <row r="264" spans="44:91">
      <c r="AR264">
        <f t="shared" si="127"/>
        <v>2026</v>
      </c>
      <c r="AS264" s="307">
        <f t="shared" si="138"/>
        <v>46113</v>
      </c>
      <c r="AT264" s="115">
        <v>82.76</v>
      </c>
      <c r="AU264" s="115">
        <v>78.849999999999994</v>
      </c>
      <c r="AV264" s="287">
        <f t="shared" si="131"/>
        <v>81.078699999999998</v>
      </c>
      <c r="AW264" s="271">
        <v>416</v>
      </c>
      <c r="AX264" s="271">
        <v>304</v>
      </c>
      <c r="AY264" s="271">
        <f t="shared" si="128"/>
        <v>0.57777777777777772</v>
      </c>
      <c r="AZ264" s="271">
        <f t="shared" si="129"/>
        <v>0.42222222222222222</v>
      </c>
      <c r="BD264">
        <f t="shared" si="132"/>
        <v>2026</v>
      </c>
      <c r="BE264" s="306">
        <f t="shared" si="137"/>
        <v>46113</v>
      </c>
      <c r="BF264" s="114">
        <f t="shared" si="130"/>
        <v>10.691364872213157</v>
      </c>
      <c r="BG264" s="115">
        <v>10.691364872213157</v>
      </c>
      <c r="BI264">
        <f t="shared" si="123"/>
        <v>2025</v>
      </c>
      <c r="BJ264" s="306">
        <v>45716</v>
      </c>
      <c r="BK264">
        <f t="shared" si="124"/>
        <v>7.2050000000000001</v>
      </c>
      <c r="BL264">
        <v>7.18</v>
      </c>
      <c r="BM264">
        <v>7.23</v>
      </c>
      <c r="BO264">
        <f t="shared" si="125"/>
        <v>2029</v>
      </c>
      <c r="BP264" s="286">
        <v>47119</v>
      </c>
      <c r="BQ264">
        <f t="shared" si="126"/>
        <v>15.535</v>
      </c>
      <c r="BR264">
        <v>15.33</v>
      </c>
      <c r="BS264">
        <v>15.74</v>
      </c>
      <c r="BT264">
        <f t="shared" si="133"/>
        <v>2035</v>
      </c>
      <c r="BU264" s="286">
        <v>49491</v>
      </c>
      <c r="BV264">
        <f t="shared" si="139"/>
        <v>5.6392500000000005</v>
      </c>
      <c r="BW264" s="580">
        <v>5.6951000000000001</v>
      </c>
      <c r="BX264" s="580">
        <v>5.5834000000000001</v>
      </c>
      <c r="BY264">
        <f t="shared" si="134"/>
        <v>2038</v>
      </c>
      <c r="BZ264" s="286">
        <v>50587</v>
      </c>
      <c r="CA264">
        <f t="shared" si="122"/>
        <v>6.6269</v>
      </c>
      <c r="CB264" s="580">
        <v>7.0056000000000003</v>
      </c>
      <c r="CC264" s="580">
        <v>6.2481999999999998</v>
      </c>
      <c r="CD264" s="364">
        <f t="shared" si="135"/>
        <v>2039</v>
      </c>
      <c r="CE264" s="381">
        <v>50983</v>
      </c>
      <c r="CF264" s="364">
        <f t="shared" si="120"/>
        <v>4.4766500000000002</v>
      </c>
      <c r="CG264" s="411">
        <v>4.7205000000000004</v>
      </c>
      <c r="CH264" s="411">
        <v>4.2328000000000001</v>
      </c>
      <c r="CI264" s="364">
        <f t="shared" si="136"/>
        <v>2041</v>
      </c>
      <c r="CJ264" s="381">
        <v>51714</v>
      </c>
      <c r="CK264" s="364">
        <f t="shared" si="121"/>
        <v>7.2016</v>
      </c>
      <c r="CL264" s="411">
        <v>7.5277000000000003</v>
      </c>
      <c r="CM264" s="411">
        <v>6.8754999999999997</v>
      </c>
    </row>
    <row r="265" spans="44:91">
      <c r="AR265">
        <f t="shared" si="127"/>
        <v>2026</v>
      </c>
      <c r="AS265" s="307">
        <f t="shared" si="138"/>
        <v>46143</v>
      </c>
      <c r="AT265" s="115">
        <v>84.28</v>
      </c>
      <c r="AU265" s="115">
        <v>79.28</v>
      </c>
      <c r="AV265" s="287">
        <f t="shared" si="131"/>
        <v>82.13</v>
      </c>
      <c r="AW265" s="271">
        <v>400</v>
      </c>
      <c r="AX265" s="271">
        <v>344</v>
      </c>
      <c r="AY265" s="271">
        <f t="shared" si="128"/>
        <v>0.5376344086021505</v>
      </c>
      <c r="AZ265" s="271">
        <f t="shared" si="129"/>
        <v>0.46236559139784944</v>
      </c>
      <c r="BD265">
        <f t="shared" si="132"/>
        <v>2026</v>
      </c>
      <c r="BE265" s="306">
        <f t="shared" si="137"/>
        <v>46143</v>
      </c>
      <c r="BF265" s="114">
        <f t="shared" si="130"/>
        <v>10.582610114192494</v>
      </c>
      <c r="BG265" s="115">
        <v>10.582610114192494</v>
      </c>
      <c r="BI265">
        <f t="shared" si="123"/>
        <v>2025</v>
      </c>
      <c r="BJ265" s="306">
        <v>45747</v>
      </c>
      <c r="BK265">
        <f t="shared" si="124"/>
        <v>6.7650000000000006</v>
      </c>
      <c r="BL265">
        <v>6.79</v>
      </c>
      <c r="BM265">
        <v>6.74</v>
      </c>
      <c r="BO265">
        <f t="shared" si="125"/>
        <v>2029</v>
      </c>
      <c r="BP265" s="286">
        <v>47150</v>
      </c>
      <c r="BQ265">
        <f t="shared" si="126"/>
        <v>14.45</v>
      </c>
      <c r="BR265">
        <v>14.36</v>
      </c>
      <c r="BS265">
        <v>14.54</v>
      </c>
      <c r="BT265">
        <f t="shared" si="133"/>
        <v>2035</v>
      </c>
      <c r="BU265" s="286">
        <v>49522</v>
      </c>
      <c r="BV265">
        <f t="shared" si="139"/>
        <v>5.7509499999999996</v>
      </c>
      <c r="BW265" s="580">
        <v>5.7588999999999997</v>
      </c>
      <c r="BX265" s="580">
        <v>5.7430000000000003</v>
      </c>
      <c r="BY265">
        <f t="shared" si="134"/>
        <v>2038</v>
      </c>
      <c r="BZ265" s="286">
        <v>50618</v>
      </c>
      <c r="CA265">
        <f t="shared" si="122"/>
        <v>6.6785999999999994</v>
      </c>
      <c r="CB265" s="580">
        <v>7.0744999999999996</v>
      </c>
      <c r="CC265" s="580">
        <v>6.2827000000000002</v>
      </c>
      <c r="CD265" s="364">
        <f t="shared" si="135"/>
        <v>2039</v>
      </c>
      <c r="CE265" s="381">
        <v>51014</v>
      </c>
      <c r="CF265" s="364">
        <f t="shared" ref="CF265:CF319" si="140">AVERAGE(CG265:CH265)</f>
        <v>4.4765999999999995</v>
      </c>
      <c r="CG265" s="411">
        <v>4.6508000000000003</v>
      </c>
      <c r="CH265" s="411">
        <v>4.3023999999999996</v>
      </c>
      <c r="CI265" s="364">
        <f t="shared" si="136"/>
        <v>2041</v>
      </c>
      <c r="CJ265" s="381">
        <v>51745</v>
      </c>
      <c r="CK265" s="364">
        <f t="shared" si="121"/>
        <v>7.3393999999999995</v>
      </c>
      <c r="CL265" s="411">
        <v>7.6406999999999998</v>
      </c>
      <c r="CM265" s="411">
        <v>7.0381</v>
      </c>
    </row>
    <row r="266" spans="44:91">
      <c r="AR266">
        <f t="shared" si="127"/>
        <v>2026</v>
      </c>
      <c r="AS266" s="307">
        <f t="shared" si="138"/>
        <v>46174</v>
      </c>
      <c r="AT266" s="115">
        <v>91.23</v>
      </c>
      <c r="AU266" s="115">
        <v>81.42</v>
      </c>
      <c r="AV266" s="287">
        <f t="shared" si="131"/>
        <v>87.011700000000005</v>
      </c>
      <c r="AW266" s="271">
        <v>416</v>
      </c>
      <c r="AX266" s="271">
        <v>304</v>
      </c>
      <c r="AY266" s="271">
        <f t="shared" si="128"/>
        <v>0.57777777777777772</v>
      </c>
      <c r="AZ266" s="271">
        <f t="shared" si="129"/>
        <v>0.42222222222222222</v>
      </c>
      <c r="BD266">
        <f t="shared" si="132"/>
        <v>2026</v>
      </c>
      <c r="BE266" s="306">
        <f t="shared" si="137"/>
        <v>46174</v>
      </c>
      <c r="BF266" s="114">
        <f t="shared" si="130"/>
        <v>10.74574225122349</v>
      </c>
      <c r="BG266" s="115">
        <v>10.74574225122349</v>
      </c>
      <c r="BI266">
        <f t="shared" si="123"/>
        <v>2025</v>
      </c>
      <c r="BJ266" s="306">
        <v>45777</v>
      </c>
      <c r="BK266">
        <f t="shared" si="124"/>
        <v>6.3250000000000002</v>
      </c>
      <c r="BL266">
        <v>6.41</v>
      </c>
      <c r="BM266">
        <v>6.24</v>
      </c>
      <c r="BO266">
        <f t="shared" si="125"/>
        <v>2029</v>
      </c>
      <c r="BP266" s="286">
        <v>47178</v>
      </c>
      <c r="BQ266">
        <f t="shared" si="126"/>
        <v>13.565000000000001</v>
      </c>
      <c r="BR266">
        <v>13.58</v>
      </c>
      <c r="BS266">
        <v>13.55</v>
      </c>
      <c r="BT266">
        <f t="shared" si="133"/>
        <v>2035</v>
      </c>
      <c r="BU266" s="286">
        <v>49553</v>
      </c>
      <c r="BV266">
        <f t="shared" si="139"/>
        <v>5.6552500000000006</v>
      </c>
      <c r="BW266" s="580">
        <v>5.6313000000000004</v>
      </c>
      <c r="BX266" s="580">
        <v>5.6791999999999998</v>
      </c>
      <c r="BY266">
        <f t="shared" si="134"/>
        <v>2038</v>
      </c>
      <c r="BZ266" s="286">
        <v>50649</v>
      </c>
      <c r="CA266">
        <f t="shared" si="122"/>
        <v>6.5150500000000005</v>
      </c>
      <c r="CB266" s="580">
        <v>7.0056000000000003</v>
      </c>
      <c r="CC266" s="580">
        <v>6.0244999999999997</v>
      </c>
      <c r="CD266" s="364">
        <f t="shared" si="135"/>
        <v>2039</v>
      </c>
      <c r="CE266" s="381">
        <v>51044</v>
      </c>
      <c r="CF266" s="364">
        <f t="shared" si="140"/>
        <v>4.7204999999999995</v>
      </c>
      <c r="CG266" s="411">
        <v>4.8423999999999996</v>
      </c>
      <c r="CH266" s="411">
        <v>4.5986000000000002</v>
      </c>
      <c r="CI266" s="364">
        <f t="shared" si="136"/>
        <v>2041</v>
      </c>
      <c r="CJ266" s="381">
        <v>51775</v>
      </c>
      <c r="CK266" s="364">
        <f t="shared" si="121"/>
        <v>7.4792500000000004</v>
      </c>
      <c r="CL266" s="411">
        <v>7.6847000000000003</v>
      </c>
      <c r="CM266" s="411">
        <v>7.2737999999999996</v>
      </c>
    </row>
    <row r="267" spans="44:91">
      <c r="AR267">
        <f t="shared" si="127"/>
        <v>2026</v>
      </c>
      <c r="AS267" s="307">
        <f t="shared" si="138"/>
        <v>46204</v>
      </c>
      <c r="AT267" s="115">
        <v>86.89</v>
      </c>
      <c r="AU267" s="115">
        <v>83.28</v>
      </c>
      <c r="AV267" s="287">
        <f t="shared" si="131"/>
        <v>85.337699999999998</v>
      </c>
      <c r="AW267" s="271">
        <v>416</v>
      </c>
      <c r="AX267" s="271">
        <v>328</v>
      </c>
      <c r="AY267" s="271">
        <f t="shared" si="128"/>
        <v>0.55913978494623651</v>
      </c>
      <c r="AZ267" s="271">
        <f t="shared" si="129"/>
        <v>0.44086021505376344</v>
      </c>
      <c r="BD267">
        <f t="shared" si="132"/>
        <v>2026</v>
      </c>
      <c r="BE267" s="306">
        <f t="shared" si="137"/>
        <v>46204</v>
      </c>
      <c r="BF267" s="114">
        <f t="shared" si="130"/>
        <v>10.912272974442631</v>
      </c>
      <c r="BG267" s="115">
        <v>10.912272974442631</v>
      </c>
      <c r="BI267">
        <f t="shared" si="123"/>
        <v>2025</v>
      </c>
      <c r="BJ267" s="306">
        <v>45808</v>
      </c>
      <c r="BK267">
        <f t="shared" si="124"/>
        <v>6.3250000000000002</v>
      </c>
      <c r="BL267">
        <v>6.41</v>
      </c>
      <c r="BM267">
        <v>6.24</v>
      </c>
      <c r="BO267">
        <f t="shared" si="125"/>
        <v>2029</v>
      </c>
      <c r="BP267" s="286">
        <v>47209</v>
      </c>
      <c r="BQ267">
        <f t="shared" si="126"/>
        <v>12.68</v>
      </c>
      <c r="BR267">
        <v>12.81</v>
      </c>
      <c r="BS267">
        <v>12.55</v>
      </c>
      <c r="BT267">
        <f t="shared" si="133"/>
        <v>2035</v>
      </c>
      <c r="BU267" s="286">
        <v>49583</v>
      </c>
      <c r="BV267">
        <f t="shared" si="139"/>
        <v>5.7270500000000002</v>
      </c>
      <c r="BW267" s="580">
        <v>5.7111000000000001</v>
      </c>
      <c r="BX267" s="580">
        <v>5.7430000000000003</v>
      </c>
      <c r="BY267">
        <f t="shared" si="134"/>
        <v>2038</v>
      </c>
      <c r="BZ267" s="286">
        <v>50679</v>
      </c>
      <c r="CA267">
        <f t="shared" si="122"/>
        <v>6.5580499999999997</v>
      </c>
      <c r="CB267" s="580">
        <v>7.0571999999999999</v>
      </c>
      <c r="CC267" s="580">
        <v>6.0589000000000004</v>
      </c>
      <c r="CD267" s="364">
        <f t="shared" si="135"/>
        <v>2039</v>
      </c>
      <c r="CE267" s="381">
        <v>51075</v>
      </c>
      <c r="CF267" s="364">
        <f t="shared" si="140"/>
        <v>5.6524000000000001</v>
      </c>
      <c r="CG267" s="411">
        <v>5.4695</v>
      </c>
      <c r="CH267" s="411">
        <v>5.8353000000000002</v>
      </c>
      <c r="CI267" s="364">
        <f t="shared" si="136"/>
        <v>2041</v>
      </c>
      <c r="CJ267" s="381">
        <v>51806</v>
      </c>
      <c r="CK267" s="364">
        <f t="shared" si="121"/>
        <v>8.0647500000000001</v>
      </c>
      <c r="CL267" s="411">
        <v>8.2010000000000005</v>
      </c>
      <c r="CM267" s="411">
        <v>7.9284999999999997</v>
      </c>
    </row>
    <row r="268" spans="44:91">
      <c r="AR268">
        <f t="shared" si="127"/>
        <v>2026</v>
      </c>
      <c r="AS268" s="307">
        <f t="shared" si="138"/>
        <v>46235</v>
      </c>
      <c r="AT268" s="115">
        <v>87.32</v>
      </c>
      <c r="AU268" s="115">
        <v>83.76</v>
      </c>
      <c r="AV268" s="287">
        <f t="shared" si="131"/>
        <v>85.789199999999994</v>
      </c>
      <c r="AW268" s="271">
        <v>416</v>
      </c>
      <c r="AX268" s="271">
        <v>328</v>
      </c>
      <c r="AY268" s="271">
        <f t="shared" si="128"/>
        <v>0.55913978494623651</v>
      </c>
      <c r="AZ268" s="271">
        <f t="shared" si="129"/>
        <v>0.44086021505376344</v>
      </c>
      <c r="BD268">
        <f t="shared" si="132"/>
        <v>2026</v>
      </c>
      <c r="BE268" s="306">
        <f t="shared" si="137"/>
        <v>46235</v>
      </c>
      <c r="BF268" s="114">
        <f t="shared" si="130"/>
        <v>10.912272974442631</v>
      </c>
      <c r="BG268" s="115">
        <v>10.912272974442631</v>
      </c>
      <c r="BI268">
        <f t="shared" si="123"/>
        <v>2025</v>
      </c>
      <c r="BJ268" s="306">
        <v>45838</v>
      </c>
      <c r="BK268">
        <f t="shared" si="124"/>
        <v>6.42</v>
      </c>
      <c r="BL268">
        <v>6.5</v>
      </c>
      <c r="BM268">
        <v>6.34</v>
      </c>
      <c r="BO268">
        <f t="shared" si="125"/>
        <v>2029</v>
      </c>
      <c r="BP268" s="286">
        <v>47239</v>
      </c>
      <c r="BQ268">
        <f t="shared" si="126"/>
        <v>12.68</v>
      </c>
      <c r="BR268">
        <v>12.81</v>
      </c>
      <c r="BS268">
        <v>12.55</v>
      </c>
      <c r="BT268">
        <f t="shared" si="133"/>
        <v>2035</v>
      </c>
      <c r="BU268" s="286">
        <v>49614</v>
      </c>
      <c r="BV268">
        <f t="shared" si="139"/>
        <v>5.9503500000000003</v>
      </c>
      <c r="BW268" s="580">
        <v>5.8864999999999998</v>
      </c>
      <c r="BX268" s="580">
        <v>6.0141999999999998</v>
      </c>
      <c r="BY268">
        <f t="shared" si="134"/>
        <v>2038</v>
      </c>
      <c r="BZ268" s="286">
        <v>50710</v>
      </c>
      <c r="CA268">
        <f t="shared" si="122"/>
        <v>6.7646499999999996</v>
      </c>
      <c r="CB268" s="580">
        <v>7.2122000000000002</v>
      </c>
      <c r="CC268" s="580">
        <v>6.3170999999999999</v>
      </c>
      <c r="CD268" s="364">
        <f t="shared" si="135"/>
        <v>2039</v>
      </c>
      <c r="CE268" s="381">
        <v>51105</v>
      </c>
      <c r="CF268" s="364">
        <f t="shared" si="140"/>
        <v>6.0269000000000004</v>
      </c>
      <c r="CG268" s="411">
        <v>5.7830000000000004</v>
      </c>
      <c r="CH268" s="411">
        <v>6.2708000000000004</v>
      </c>
      <c r="CI268" s="364">
        <f t="shared" si="136"/>
        <v>2041</v>
      </c>
      <c r="CJ268" s="381">
        <v>51836</v>
      </c>
      <c r="CK268" s="364">
        <f t="shared" si="121"/>
        <v>8.3242499999999993</v>
      </c>
      <c r="CL268" s="411">
        <v>8.4585000000000008</v>
      </c>
      <c r="CM268" s="411">
        <v>8.19</v>
      </c>
    </row>
    <row r="269" spans="44:91">
      <c r="AR269">
        <f t="shared" si="127"/>
        <v>2026</v>
      </c>
      <c r="AS269" s="307">
        <f t="shared" si="138"/>
        <v>46266</v>
      </c>
      <c r="AT269" s="115">
        <v>86.55</v>
      </c>
      <c r="AU269" s="115">
        <v>81.16</v>
      </c>
      <c r="AV269" s="287">
        <f t="shared" si="131"/>
        <v>84.232299999999995</v>
      </c>
      <c r="AW269" s="271">
        <v>400</v>
      </c>
      <c r="AX269" s="271">
        <v>320</v>
      </c>
      <c r="AY269" s="271">
        <f t="shared" si="128"/>
        <v>0.55555555555555558</v>
      </c>
      <c r="AZ269" s="271">
        <f t="shared" si="129"/>
        <v>0.44444444444444442</v>
      </c>
      <c r="BD269">
        <f t="shared" si="132"/>
        <v>2026</v>
      </c>
      <c r="BE269" s="306">
        <f t="shared" si="137"/>
        <v>46266</v>
      </c>
      <c r="BF269" s="114">
        <f t="shared" si="130"/>
        <v>10.912272974442631</v>
      </c>
      <c r="BG269" s="115">
        <v>10.912272974442631</v>
      </c>
      <c r="BI269">
        <f t="shared" si="123"/>
        <v>2025</v>
      </c>
      <c r="BJ269" s="306">
        <v>45869</v>
      </c>
      <c r="BK269">
        <f t="shared" si="124"/>
        <v>6.52</v>
      </c>
      <c r="BL269">
        <v>6.6</v>
      </c>
      <c r="BM269">
        <v>6.44</v>
      </c>
      <c r="BO269">
        <f t="shared" si="125"/>
        <v>2029</v>
      </c>
      <c r="BP269" s="286">
        <v>47270</v>
      </c>
      <c r="BQ269">
        <f t="shared" si="126"/>
        <v>12.875</v>
      </c>
      <c r="BR269">
        <v>13</v>
      </c>
      <c r="BS269">
        <v>12.75</v>
      </c>
      <c r="BT269">
        <f t="shared" si="133"/>
        <v>2035</v>
      </c>
      <c r="BU269" s="286">
        <v>49644</v>
      </c>
      <c r="BV269">
        <f t="shared" si="139"/>
        <v>6.2454999999999998</v>
      </c>
      <c r="BW269" s="580">
        <v>6.1897000000000002</v>
      </c>
      <c r="BX269" s="580">
        <v>6.3013000000000003</v>
      </c>
      <c r="BY269">
        <f t="shared" si="134"/>
        <v>2038</v>
      </c>
      <c r="BZ269" s="286">
        <v>50740</v>
      </c>
      <c r="CA269">
        <f t="shared" si="122"/>
        <v>7.28965</v>
      </c>
      <c r="CB269" s="580">
        <v>7.7629999999999999</v>
      </c>
      <c r="CC269" s="580">
        <v>6.8163</v>
      </c>
      <c r="CD269" s="364">
        <f t="shared" si="135"/>
        <v>2040</v>
      </c>
      <c r="CE269" s="381">
        <v>51136</v>
      </c>
      <c r="CF269" s="364">
        <f t="shared" si="140"/>
        <v>5.9784000000000006</v>
      </c>
      <c r="CG269" s="411">
        <v>5.8090999999999999</v>
      </c>
      <c r="CH269" s="411">
        <v>6.1477000000000004</v>
      </c>
      <c r="CI269" s="364">
        <f t="shared" si="136"/>
        <v>2042</v>
      </c>
      <c r="CJ269" s="381">
        <v>51867</v>
      </c>
      <c r="CK269" s="364">
        <f t="shared" si="121"/>
        <v>8.5756499999999996</v>
      </c>
      <c r="CL269" s="411">
        <v>8.7315000000000005</v>
      </c>
      <c r="CM269" s="411">
        <v>8.4198000000000004</v>
      </c>
    </row>
    <row r="270" spans="44:91">
      <c r="AR270">
        <f t="shared" si="127"/>
        <v>2026</v>
      </c>
      <c r="AS270" s="307">
        <f t="shared" si="138"/>
        <v>46296</v>
      </c>
      <c r="AT270" s="115">
        <v>85.89</v>
      </c>
      <c r="AU270" s="115">
        <v>74.989999999999995</v>
      </c>
      <c r="AV270" s="287">
        <f t="shared" si="131"/>
        <v>81.203000000000003</v>
      </c>
      <c r="AW270" s="271">
        <v>432</v>
      </c>
      <c r="AX270" s="271">
        <v>312</v>
      </c>
      <c r="AY270" s="271">
        <f t="shared" si="128"/>
        <v>0.58064516129032262</v>
      </c>
      <c r="AZ270" s="271">
        <f t="shared" si="129"/>
        <v>0.41935483870967744</v>
      </c>
      <c r="BD270">
        <f t="shared" si="132"/>
        <v>2026</v>
      </c>
      <c r="BE270" s="306">
        <f t="shared" si="137"/>
        <v>46296</v>
      </c>
      <c r="BF270" s="114">
        <f t="shared" si="130"/>
        <v>11.296313213703097</v>
      </c>
      <c r="BG270" s="115">
        <v>11.296313213703097</v>
      </c>
      <c r="BI270">
        <f t="shared" si="123"/>
        <v>2025</v>
      </c>
      <c r="BJ270" s="306">
        <v>45900</v>
      </c>
      <c r="BK270">
        <f t="shared" si="124"/>
        <v>6.52</v>
      </c>
      <c r="BL270">
        <v>6.6</v>
      </c>
      <c r="BM270">
        <v>6.44</v>
      </c>
      <c r="BO270">
        <f t="shared" si="125"/>
        <v>2029</v>
      </c>
      <c r="BP270" s="286">
        <v>47300</v>
      </c>
      <c r="BQ270">
        <f t="shared" si="126"/>
        <v>13.074999999999999</v>
      </c>
      <c r="BR270">
        <v>13.2</v>
      </c>
      <c r="BS270">
        <v>12.95</v>
      </c>
      <c r="BT270">
        <f t="shared" si="133"/>
        <v>2036</v>
      </c>
      <c r="BU270" s="286">
        <v>49675</v>
      </c>
      <c r="BV270">
        <f t="shared" si="139"/>
        <v>6.5377999999999998</v>
      </c>
      <c r="BW270" s="580">
        <v>6.4725999999999999</v>
      </c>
      <c r="BX270" s="580">
        <v>6.6029999999999998</v>
      </c>
      <c r="BY270">
        <f t="shared" si="134"/>
        <v>2039</v>
      </c>
      <c r="BZ270" s="286">
        <v>50771</v>
      </c>
      <c r="CA270">
        <f t="shared" si="122"/>
        <v>7.3340499999999995</v>
      </c>
      <c r="CB270" s="580">
        <v>7.8182999999999998</v>
      </c>
      <c r="CC270" s="580">
        <v>6.8498000000000001</v>
      </c>
      <c r="CD270" s="364">
        <f t="shared" si="135"/>
        <v>2040</v>
      </c>
      <c r="CE270" s="381">
        <v>51167</v>
      </c>
      <c r="CF270" s="364">
        <f t="shared" si="140"/>
        <v>5.3993000000000002</v>
      </c>
      <c r="CG270" s="411">
        <v>5.4170999999999996</v>
      </c>
      <c r="CH270" s="411">
        <v>5.3815</v>
      </c>
      <c r="CI270" s="364">
        <f t="shared" si="136"/>
        <v>2042</v>
      </c>
      <c r="CJ270" s="381">
        <v>51898</v>
      </c>
      <c r="CK270" s="364">
        <f t="shared" si="121"/>
        <v>8.2221499999999992</v>
      </c>
      <c r="CL270" s="411">
        <v>8.3626000000000005</v>
      </c>
      <c r="CM270" s="411">
        <v>8.0816999999999997</v>
      </c>
    </row>
    <row r="271" spans="44:91">
      <c r="AR271">
        <f t="shared" si="127"/>
        <v>2026</v>
      </c>
      <c r="AS271" s="307">
        <f t="shared" si="138"/>
        <v>46327</v>
      </c>
      <c r="AT271" s="115">
        <v>97.01</v>
      </c>
      <c r="AU271" s="115">
        <v>85.07</v>
      </c>
      <c r="AV271" s="287">
        <f t="shared" si="131"/>
        <v>91.875799999999998</v>
      </c>
      <c r="AW271" s="271">
        <v>384</v>
      </c>
      <c r="AX271" s="271">
        <v>336</v>
      </c>
      <c r="AY271" s="271">
        <f t="shared" si="128"/>
        <v>0.53333333333333333</v>
      </c>
      <c r="AZ271" s="271">
        <f t="shared" si="129"/>
        <v>0.46666666666666667</v>
      </c>
      <c r="BD271">
        <f t="shared" si="132"/>
        <v>2026</v>
      </c>
      <c r="BE271" s="306">
        <f t="shared" si="137"/>
        <v>46327</v>
      </c>
      <c r="BF271" s="114">
        <f t="shared" si="130"/>
        <v>11.462843936922239</v>
      </c>
      <c r="BG271" s="115">
        <v>11.462843936922239</v>
      </c>
      <c r="BI271">
        <f t="shared" si="123"/>
        <v>2025</v>
      </c>
      <c r="BJ271" s="306">
        <v>45930</v>
      </c>
      <c r="BK271">
        <f t="shared" si="124"/>
        <v>6.52</v>
      </c>
      <c r="BL271">
        <v>6.6</v>
      </c>
      <c r="BM271">
        <v>6.44</v>
      </c>
      <c r="BO271">
        <f t="shared" si="125"/>
        <v>2029</v>
      </c>
      <c r="BP271" s="286">
        <v>47331</v>
      </c>
      <c r="BQ271">
        <f t="shared" si="126"/>
        <v>13.074999999999999</v>
      </c>
      <c r="BR271">
        <v>13.2</v>
      </c>
      <c r="BS271">
        <v>12.95</v>
      </c>
      <c r="BT271">
        <f t="shared" si="133"/>
        <v>2036</v>
      </c>
      <c r="BU271" s="286">
        <v>49706</v>
      </c>
      <c r="BV271">
        <f t="shared" si="139"/>
        <v>6.4073499999999992</v>
      </c>
      <c r="BW271" s="580">
        <v>6.3583999999999996</v>
      </c>
      <c r="BX271" s="580">
        <v>6.4562999999999997</v>
      </c>
      <c r="BY271">
        <f t="shared" si="134"/>
        <v>2039</v>
      </c>
      <c r="BZ271" s="286">
        <v>50802</v>
      </c>
      <c r="CA271">
        <f t="shared" si="122"/>
        <v>7.3604500000000002</v>
      </c>
      <c r="CB271" s="580">
        <v>7.8711000000000002</v>
      </c>
      <c r="CC271" s="580">
        <v>6.8498000000000001</v>
      </c>
      <c r="CD271" s="364">
        <f t="shared" si="135"/>
        <v>2040</v>
      </c>
      <c r="CE271" s="381">
        <v>51196</v>
      </c>
      <c r="CF271" s="364">
        <f t="shared" si="140"/>
        <v>5.1587499999999995</v>
      </c>
      <c r="CG271" s="411">
        <v>5.1319999999999997</v>
      </c>
      <c r="CH271" s="411">
        <v>5.1855000000000002</v>
      </c>
      <c r="CI271" s="364">
        <f t="shared" si="136"/>
        <v>2042</v>
      </c>
      <c r="CJ271" s="381">
        <v>51926</v>
      </c>
      <c r="CK271" s="364">
        <f t="shared" si="121"/>
        <v>7.1809500000000002</v>
      </c>
      <c r="CL271" s="411">
        <v>7.3365</v>
      </c>
      <c r="CM271" s="411">
        <v>7.0254000000000003</v>
      </c>
    </row>
    <row r="272" spans="44:91">
      <c r="AR272">
        <f t="shared" si="127"/>
        <v>2026</v>
      </c>
      <c r="AS272" s="307">
        <f t="shared" si="138"/>
        <v>46357</v>
      </c>
      <c r="AT272" s="115">
        <v>101.55</v>
      </c>
      <c r="AU272" s="115">
        <v>93.13</v>
      </c>
      <c r="AV272" s="287">
        <f t="shared" si="131"/>
        <v>97.929399999999987</v>
      </c>
      <c r="AW272" s="271">
        <v>416</v>
      </c>
      <c r="AX272" s="271">
        <v>328</v>
      </c>
      <c r="AY272" s="271">
        <f t="shared" si="128"/>
        <v>0.55913978494623651</v>
      </c>
      <c r="AZ272" s="271">
        <f t="shared" si="129"/>
        <v>0.44086021505376344</v>
      </c>
      <c r="BD272">
        <f t="shared" si="132"/>
        <v>2026</v>
      </c>
      <c r="BE272" s="306">
        <f t="shared" si="137"/>
        <v>46357</v>
      </c>
      <c r="BF272" s="114">
        <f t="shared" si="130"/>
        <v>12.010016313213702</v>
      </c>
      <c r="BG272" s="115">
        <v>12.010016313213702</v>
      </c>
      <c r="BI272">
        <f t="shared" si="123"/>
        <v>2025</v>
      </c>
      <c r="BJ272" s="306">
        <v>45961</v>
      </c>
      <c r="BK272">
        <f t="shared" si="124"/>
        <v>6.7650000000000006</v>
      </c>
      <c r="BL272">
        <v>6.79</v>
      </c>
      <c r="BM272">
        <v>6.74</v>
      </c>
      <c r="BO272">
        <f t="shared" si="125"/>
        <v>2029</v>
      </c>
      <c r="BP272" s="286">
        <v>47362</v>
      </c>
      <c r="BQ272">
        <f t="shared" si="126"/>
        <v>13.074999999999999</v>
      </c>
      <c r="BR272">
        <v>13.2</v>
      </c>
      <c r="BS272">
        <v>12.95</v>
      </c>
      <c r="BT272">
        <f t="shared" si="133"/>
        <v>2036</v>
      </c>
      <c r="BU272" s="286">
        <v>49735</v>
      </c>
      <c r="BV272">
        <f t="shared" si="139"/>
        <v>6.1628000000000007</v>
      </c>
      <c r="BW272" s="580">
        <v>6.1139000000000001</v>
      </c>
      <c r="BX272" s="580">
        <v>6.2117000000000004</v>
      </c>
      <c r="BY272">
        <f t="shared" si="134"/>
        <v>2039</v>
      </c>
      <c r="BZ272" s="286">
        <v>50830</v>
      </c>
      <c r="CA272">
        <f t="shared" si="122"/>
        <v>6.9642499999999998</v>
      </c>
      <c r="CB272" s="580">
        <v>7.4309000000000003</v>
      </c>
      <c r="CC272" s="580">
        <v>6.4976000000000003</v>
      </c>
      <c r="CD272" s="364">
        <f t="shared" si="135"/>
        <v>2040</v>
      </c>
      <c r="CE272" s="381">
        <v>51227</v>
      </c>
      <c r="CF272" s="364">
        <f t="shared" si="140"/>
        <v>4.5795500000000002</v>
      </c>
      <c r="CG272" s="411">
        <v>4.8112000000000004</v>
      </c>
      <c r="CH272" s="411">
        <v>4.3479000000000001</v>
      </c>
      <c r="CI272" s="364">
        <f t="shared" si="136"/>
        <v>2042</v>
      </c>
      <c r="CJ272" s="381">
        <v>51957</v>
      </c>
      <c r="CK272" s="364">
        <f t="shared" si="121"/>
        <v>6.7976999999999999</v>
      </c>
      <c r="CL272" s="411">
        <v>6.9048999999999996</v>
      </c>
      <c r="CM272" s="411">
        <v>6.6905000000000001</v>
      </c>
    </row>
    <row r="273" spans="44:91">
      <c r="AR273">
        <f t="shared" si="127"/>
        <v>2027</v>
      </c>
      <c r="AS273" s="307">
        <f t="shared" si="138"/>
        <v>46388</v>
      </c>
      <c r="AT273" s="115">
        <v>106.3</v>
      </c>
      <c r="AU273" s="115">
        <v>95.93</v>
      </c>
      <c r="AV273" s="287">
        <f t="shared" si="131"/>
        <v>101.8409</v>
      </c>
      <c r="AW273" s="271">
        <v>400</v>
      </c>
      <c r="AX273" s="271">
        <v>344</v>
      </c>
      <c r="AY273" s="271">
        <f t="shared" si="128"/>
        <v>0.5376344086021505</v>
      </c>
      <c r="AZ273" s="271">
        <f t="shared" si="129"/>
        <v>0.46236559139784944</v>
      </c>
      <c r="BD273">
        <f t="shared" si="132"/>
        <v>2027</v>
      </c>
      <c r="BE273" s="306">
        <f t="shared" si="137"/>
        <v>46388</v>
      </c>
      <c r="BF273" s="114">
        <f t="shared" si="130"/>
        <v>13.02279499728113</v>
      </c>
      <c r="BG273" s="115">
        <v>13.02279499728113</v>
      </c>
      <c r="BI273">
        <f t="shared" si="123"/>
        <v>2025</v>
      </c>
      <c r="BJ273" s="306">
        <v>45991</v>
      </c>
      <c r="BK273">
        <f t="shared" si="124"/>
        <v>6.8650000000000002</v>
      </c>
      <c r="BL273">
        <v>6.89</v>
      </c>
      <c r="BM273">
        <v>6.84</v>
      </c>
      <c r="BO273">
        <f t="shared" si="125"/>
        <v>2029</v>
      </c>
      <c r="BP273" s="286">
        <v>47392</v>
      </c>
      <c r="BQ273">
        <f t="shared" si="126"/>
        <v>13.565000000000001</v>
      </c>
      <c r="BR273">
        <v>13.58</v>
      </c>
      <c r="BS273">
        <v>13.55</v>
      </c>
      <c r="BT273">
        <f t="shared" si="133"/>
        <v>2036</v>
      </c>
      <c r="BU273" s="286">
        <v>49766</v>
      </c>
      <c r="BV273">
        <f t="shared" si="139"/>
        <v>5.8611500000000003</v>
      </c>
      <c r="BW273" s="580">
        <v>5.8693</v>
      </c>
      <c r="BX273" s="580">
        <v>5.8529999999999998</v>
      </c>
      <c r="BY273">
        <f t="shared" si="134"/>
        <v>2039</v>
      </c>
      <c r="BZ273" s="286">
        <v>50861</v>
      </c>
      <c r="CA273">
        <f t="shared" si="122"/>
        <v>6.6120999999999999</v>
      </c>
      <c r="CB273" s="580">
        <v>7.0259</v>
      </c>
      <c r="CC273" s="580">
        <v>6.1982999999999997</v>
      </c>
      <c r="CD273" s="364">
        <f t="shared" si="135"/>
        <v>2040</v>
      </c>
      <c r="CE273" s="381">
        <v>51257</v>
      </c>
      <c r="CF273" s="364">
        <f t="shared" si="140"/>
        <v>4.5974000000000004</v>
      </c>
      <c r="CG273" s="411">
        <v>4.8112000000000004</v>
      </c>
      <c r="CH273" s="411">
        <v>4.3836000000000004</v>
      </c>
      <c r="CI273" s="364">
        <f t="shared" si="136"/>
        <v>2042</v>
      </c>
      <c r="CJ273" s="381">
        <v>51987</v>
      </c>
      <c r="CK273" s="364">
        <f t="shared" ref="CK273:CK336" si="141">AVERAGE(CL273:CM273)</f>
        <v>6.7988</v>
      </c>
      <c r="CL273" s="411">
        <v>6.9451000000000001</v>
      </c>
      <c r="CM273" s="411">
        <v>6.6524999999999999</v>
      </c>
    </row>
    <row r="274" spans="44:91">
      <c r="AR274">
        <f t="shared" si="127"/>
        <v>2027</v>
      </c>
      <c r="AS274" s="307">
        <f t="shared" si="138"/>
        <v>46419</v>
      </c>
      <c r="AT274" s="115">
        <v>100.05</v>
      </c>
      <c r="AU274" s="115">
        <v>87.01</v>
      </c>
      <c r="AV274" s="287">
        <f t="shared" si="131"/>
        <v>94.442800000000005</v>
      </c>
      <c r="AW274" s="271">
        <v>384</v>
      </c>
      <c r="AX274" s="271">
        <v>288</v>
      </c>
      <c r="AY274" s="271">
        <f t="shared" si="128"/>
        <v>0.5714285714285714</v>
      </c>
      <c r="AZ274" s="271">
        <f t="shared" si="129"/>
        <v>0.42857142857142855</v>
      </c>
      <c r="BD274">
        <f t="shared" si="132"/>
        <v>2027</v>
      </c>
      <c r="BE274" s="306">
        <f t="shared" si="137"/>
        <v>46419</v>
      </c>
      <c r="BF274" s="114">
        <f t="shared" si="130"/>
        <v>12.237721587819468</v>
      </c>
      <c r="BG274" s="115">
        <v>12.237721587819468</v>
      </c>
      <c r="BI274">
        <f t="shared" si="123"/>
        <v>2025</v>
      </c>
      <c r="BJ274" s="306">
        <v>46022</v>
      </c>
      <c r="BK274">
        <f t="shared" si="124"/>
        <v>7.2050000000000001</v>
      </c>
      <c r="BL274">
        <v>7.18</v>
      </c>
      <c r="BM274">
        <v>7.23</v>
      </c>
      <c r="BO274">
        <f t="shared" si="125"/>
        <v>2029</v>
      </c>
      <c r="BP274" s="286">
        <v>47423</v>
      </c>
      <c r="BQ274">
        <f t="shared" si="126"/>
        <v>13.765000000000001</v>
      </c>
      <c r="BR274">
        <v>13.78</v>
      </c>
      <c r="BS274">
        <v>13.75</v>
      </c>
      <c r="BT274">
        <f t="shared" si="133"/>
        <v>2036</v>
      </c>
      <c r="BU274" s="286">
        <v>49796</v>
      </c>
      <c r="BV274">
        <f t="shared" si="139"/>
        <v>5.8285499999999999</v>
      </c>
      <c r="BW274" s="580">
        <v>5.8529999999999998</v>
      </c>
      <c r="BX274" s="580">
        <v>5.8041</v>
      </c>
      <c r="BY274">
        <f t="shared" si="134"/>
        <v>2039</v>
      </c>
      <c r="BZ274" s="286">
        <v>50891</v>
      </c>
      <c r="CA274">
        <f t="shared" ref="CA274:CA293" si="142">AVERAGE(CB274:CC274)</f>
        <v>6.6385000000000005</v>
      </c>
      <c r="CB274" s="580">
        <v>7.0610999999999997</v>
      </c>
      <c r="CC274" s="580">
        <v>6.2159000000000004</v>
      </c>
      <c r="CD274" s="364">
        <f t="shared" si="135"/>
        <v>2040</v>
      </c>
      <c r="CE274" s="381">
        <v>51288</v>
      </c>
      <c r="CF274" s="364">
        <f t="shared" si="140"/>
        <v>4.6151999999999997</v>
      </c>
      <c r="CG274" s="411">
        <v>4.8112000000000004</v>
      </c>
      <c r="CH274" s="411">
        <v>4.4192</v>
      </c>
      <c r="CI274" s="364">
        <f t="shared" si="136"/>
        <v>2042</v>
      </c>
      <c r="CJ274" s="381">
        <v>52018</v>
      </c>
      <c r="CK274" s="364">
        <f t="shared" si="141"/>
        <v>6.8532000000000002</v>
      </c>
      <c r="CL274" s="411">
        <v>7.1173999999999999</v>
      </c>
      <c r="CM274" s="411">
        <v>6.5890000000000004</v>
      </c>
    </row>
    <row r="275" spans="44:91">
      <c r="AR275">
        <f t="shared" si="127"/>
        <v>2027</v>
      </c>
      <c r="AS275" s="307">
        <f t="shared" si="138"/>
        <v>46447</v>
      </c>
      <c r="AT275" s="115">
        <v>84.79</v>
      </c>
      <c r="AU275" s="115">
        <v>75.819999999999993</v>
      </c>
      <c r="AV275" s="287">
        <f t="shared" si="131"/>
        <v>80.932899999999989</v>
      </c>
      <c r="AW275" s="271">
        <v>432</v>
      </c>
      <c r="AX275" s="271">
        <v>312</v>
      </c>
      <c r="AY275" s="271">
        <f t="shared" si="128"/>
        <v>0.58064516129032262</v>
      </c>
      <c r="AZ275" s="271">
        <f t="shared" si="129"/>
        <v>0.41935483870967744</v>
      </c>
      <c r="BD275">
        <f t="shared" si="132"/>
        <v>2027</v>
      </c>
      <c r="BE275" s="306">
        <f t="shared" si="137"/>
        <v>46447</v>
      </c>
      <c r="BF275" s="114">
        <f t="shared" si="130"/>
        <v>11.51042414355628</v>
      </c>
      <c r="BG275" s="115">
        <v>11.51042414355628</v>
      </c>
      <c r="BI275">
        <f t="shared" ref="BI275:BI338" si="143">YEAR(BJ275)</f>
        <v>2026</v>
      </c>
      <c r="BJ275" s="306">
        <v>46053</v>
      </c>
      <c r="BK275">
        <f t="shared" ref="BK275:BK338" si="144">AVERAGE(BL275:BM275)</f>
        <v>8.02</v>
      </c>
      <c r="BL275">
        <v>7.94</v>
      </c>
      <c r="BM275">
        <v>8.1</v>
      </c>
      <c r="BO275">
        <f t="shared" ref="BO275:BO338" si="145">YEAR(BP275)</f>
        <v>2029</v>
      </c>
      <c r="BP275" s="286">
        <v>47453</v>
      </c>
      <c r="BQ275">
        <f t="shared" ref="BQ275:BQ338" si="146">AVERAGE(BR275:BS275)</f>
        <v>14.45</v>
      </c>
      <c r="BR275">
        <v>14.36</v>
      </c>
      <c r="BS275">
        <v>14.54</v>
      </c>
      <c r="BT275">
        <f t="shared" si="133"/>
        <v>2036</v>
      </c>
      <c r="BU275" s="286">
        <v>49827</v>
      </c>
      <c r="BV275">
        <f t="shared" si="139"/>
        <v>5.7470499999999998</v>
      </c>
      <c r="BW275" s="580">
        <v>5.8204000000000002</v>
      </c>
      <c r="BX275" s="580">
        <v>5.6737000000000002</v>
      </c>
      <c r="BY275">
        <f t="shared" si="134"/>
        <v>2039</v>
      </c>
      <c r="BZ275" s="286">
        <v>50922</v>
      </c>
      <c r="CA275">
        <f t="shared" si="142"/>
        <v>6.7264999999999997</v>
      </c>
      <c r="CB275" s="580">
        <v>7.1139000000000001</v>
      </c>
      <c r="CC275" s="580">
        <v>6.3391000000000002</v>
      </c>
      <c r="CD275" s="364">
        <f t="shared" si="135"/>
        <v>2040</v>
      </c>
      <c r="CE275" s="381">
        <v>51318</v>
      </c>
      <c r="CF275" s="364">
        <f t="shared" si="140"/>
        <v>4.7042999999999999</v>
      </c>
      <c r="CG275" s="411">
        <v>4.9715999999999996</v>
      </c>
      <c r="CH275" s="411">
        <v>4.4370000000000003</v>
      </c>
      <c r="CI275" s="364">
        <f t="shared" si="136"/>
        <v>2042</v>
      </c>
      <c r="CJ275" s="381">
        <v>52048</v>
      </c>
      <c r="CK275" s="364">
        <f t="shared" si="141"/>
        <v>7.0486000000000004</v>
      </c>
      <c r="CL275" s="411">
        <v>7.4698000000000002</v>
      </c>
      <c r="CM275" s="411">
        <v>6.6273999999999997</v>
      </c>
    </row>
    <row r="276" spans="44:91">
      <c r="AR276">
        <f t="shared" si="127"/>
        <v>2027</v>
      </c>
      <c r="AS276" s="307">
        <f t="shared" si="138"/>
        <v>46478</v>
      </c>
      <c r="AT276" s="115">
        <v>84.34</v>
      </c>
      <c r="AU276" s="115">
        <v>80.349999999999994</v>
      </c>
      <c r="AV276" s="287">
        <f t="shared" si="131"/>
        <v>82.624300000000005</v>
      </c>
      <c r="AW276" s="271">
        <v>416</v>
      </c>
      <c r="AX276" s="271">
        <v>304</v>
      </c>
      <c r="AY276" s="271">
        <f t="shared" si="128"/>
        <v>0.57777777777777772</v>
      </c>
      <c r="AZ276" s="271">
        <f t="shared" si="129"/>
        <v>0.42222222222222222</v>
      </c>
      <c r="BD276">
        <f t="shared" si="132"/>
        <v>2027</v>
      </c>
      <c r="BE276" s="306">
        <f t="shared" si="137"/>
        <v>46478</v>
      </c>
      <c r="BF276" s="114">
        <f t="shared" si="130"/>
        <v>10.891881457313758</v>
      </c>
      <c r="BG276" s="115">
        <v>10.891881457313758</v>
      </c>
      <c r="BI276">
        <f t="shared" si="143"/>
        <v>2026</v>
      </c>
      <c r="BJ276" s="306">
        <v>46081</v>
      </c>
      <c r="BK276">
        <f t="shared" si="144"/>
        <v>7.46</v>
      </c>
      <c r="BL276">
        <v>7.43</v>
      </c>
      <c r="BM276">
        <v>7.49</v>
      </c>
      <c r="BO276">
        <f t="shared" si="145"/>
        <v>2030</v>
      </c>
      <c r="BP276" s="286">
        <v>47484</v>
      </c>
      <c r="BQ276">
        <f t="shared" si="146"/>
        <v>15.829999999999998</v>
      </c>
      <c r="BR276">
        <v>15.62</v>
      </c>
      <c r="BS276">
        <v>16.04</v>
      </c>
      <c r="BT276">
        <f t="shared" si="133"/>
        <v>2036</v>
      </c>
      <c r="BU276" s="286">
        <v>49857</v>
      </c>
      <c r="BV276">
        <f t="shared" si="139"/>
        <v>5.8041</v>
      </c>
      <c r="BW276" s="580">
        <v>5.8693</v>
      </c>
      <c r="BX276" s="580">
        <v>5.7389000000000001</v>
      </c>
      <c r="BY276">
        <f t="shared" si="134"/>
        <v>2039</v>
      </c>
      <c r="BZ276" s="286">
        <v>50952</v>
      </c>
      <c r="CA276">
        <f t="shared" si="142"/>
        <v>7.0523000000000007</v>
      </c>
      <c r="CB276" s="580">
        <v>7.4485000000000001</v>
      </c>
      <c r="CC276" s="580">
        <v>6.6561000000000003</v>
      </c>
      <c r="CD276" s="364">
        <f t="shared" si="135"/>
        <v>2040</v>
      </c>
      <c r="CE276" s="381">
        <v>51349</v>
      </c>
      <c r="CF276" s="364">
        <f t="shared" si="140"/>
        <v>4.7755999999999998</v>
      </c>
      <c r="CG276" s="411">
        <v>5.0785</v>
      </c>
      <c r="CH276" s="411">
        <v>4.4726999999999997</v>
      </c>
      <c r="CI276" s="364">
        <f t="shared" si="136"/>
        <v>2042</v>
      </c>
      <c r="CJ276" s="381">
        <v>52079</v>
      </c>
      <c r="CK276" s="364">
        <f t="shared" si="141"/>
        <v>7.5299999999999994</v>
      </c>
      <c r="CL276" s="411">
        <v>7.8921999999999999</v>
      </c>
      <c r="CM276" s="411">
        <v>7.1677999999999997</v>
      </c>
    </row>
    <row r="277" spans="44:91">
      <c r="AR277">
        <f t="shared" si="127"/>
        <v>2027</v>
      </c>
      <c r="AS277" s="307">
        <f t="shared" si="138"/>
        <v>46508</v>
      </c>
      <c r="AT277" s="115">
        <v>85.88</v>
      </c>
      <c r="AU277" s="115">
        <v>80.78</v>
      </c>
      <c r="AV277" s="287">
        <f t="shared" si="131"/>
        <v>83.686999999999983</v>
      </c>
      <c r="AW277" s="271">
        <v>400</v>
      </c>
      <c r="AX277" s="271">
        <v>344</v>
      </c>
      <c r="AY277" s="271">
        <f t="shared" si="128"/>
        <v>0.5376344086021505</v>
      </c>
      <c r="AZ277" s="271">
        <f t="shared" si="129"/>
        <v>0.46236559139784944</v>
      </c>
      <c r="BD277">
        <f t="shared" si="132"/>
        <v>2027</v>
      </c>
      <c r="BE277" s="306">
        <f t="shared" si="137"/>
        <v>46508</v>
      </c>
      <c r="BF277" s="114">
        <f t="shared" si="130"/>
        <v>10.77972811310495</v>
      </c>
      <c r="BG277" s="115">
        <v>10.77972811310495</v>
      </c>
      <c r="BI277">
        <f t="shared" si="143"/>
        <v>2026</v>
      </c>
      <c r="BJ277" s="306">
        <v>46112</v>
      </c>
      <c r="BK277">
        <f t="shared" si="144"/>
        <v>7</v>
      </c>
      <c r="BL277">
        <v>7.03</v>
      </c>
      <c r="BM277">
        <v>6.97</v>
      </c>
      <c r="BO277">
        <f t="shared" si="145"/>
        <v>2030</v>
      </c>
      <c r="BP277" s="286">
        <v>47515</v>
      </c>
      <c r="BQ277">
        <f t="shared" si="146"/>
        <v>14.725000000000001</v>
      </c>
      <c r="BR277">
        <v>14.63</v>
      </c>
      <c r="BS277">
        <v>14.82</v>
      </c>
      <c r="BT277">
        <f t="shared" si="133"/>
        <v>2036</v>
      </c>
      <c r="BU277" s="286">
        <v>49888</v>
      </c>
      <c r="BV277">
        <f t="shared" si="139"/>
        <v>5.9997499999999997</v>
      </c>
      <c r="BW277" s="580">
        <v>6.0160999999999998</v>
      </c>
      <c r="BX277" s="580">
        <v>5.9833999999999996</v>
      </c>
      <c r="BY277">
        <f t="shared" si="134"/>
        <v>2039</v>
      </c>
      <c r="BZ277" s="286">
        <v>50983</v>
      </c>
      <c r="CA277">
        <f t="shared" si="142"/>
        <v>7.1667500000000004</v>
      </c>
      <c r="CB277" s="580">
        <v>7.5365000000000002</v>
      </c>
      <c r="CC277" s="580">
        <v>6.7969999999999997</v>
      </c>
      <c r="CD277" s="364">
        <f t="shared" si="135"/>
        <v>2040</v>
      </c>
      <c r="CE277" s="381">
        <v>51380</v>
      </c>
      <c r="CF277" s="364">
        <f t="shared" si="140"/>
        <v>4.7399500000000003</v>
      </c>
      <c r="CG277" s="411">
        <v>4.9538000000000002</v>
      </c>
      <c r="CH277" s="411">
        <v>4.5260999999999996</v>
      </c>
      <c r="CI277" s="364">
        <f t="shared" si="136"/>
        <v>2042</v>
      </c>
      <c r="CJ277" s="381">
        <v>52110</v>
      </c>
      <c r="CK277" s="364">
        <f t="shared" si="141"/>
        <v>7.6871499999999999</v>
      </c>
      <c r="CL277" s="411">
        <v>7.9957000000000003</v>
      </c>
      <c r="CM277" s="411">
        <v>7.3785999999999996</v>
      </c>
    </row>
    <row r="278" spans="44:91">
      <c r="AR278">
        <f t="shared" ref="AR278:AR341" si="147">+YEAR(AS278)</f>
        <v>2027</v>
      </c>
      <c r="AS278" s="307">
        <f t="shared" si="138"/>
        <v>46539</v>
      </c>
      <c r="AT278" s="115">
        <v>92.96</v>
      </c>
      <c r="AU278" s="115">
        <v>82.97</v>
      </c>
      <c r="AV278" s="287">
        <f t="shared" si="131"/>
        <v>88.664299999999997</v>
      </c>
      <c r="AW278" s="271">
        <v>416</v>
      </c>
      <c r="AX278" s="271">
        <v>304</v>
      </c>
      <c r="AY278" s="271">
        <f t="shared" ref="AY278:AY341" si="148">AW278/(AW278+AX278)</f>
        <v>0.57777777777777772</v>
      </c>
      <c r="AZ278" s="271">
        <f t="shared" ref="AZ278:AZ341" si="149">AX278/(AW278+AX278)</f>
        <v>0.42222222222222222</v>
      </c>
      <c r="BD278">
        <f t="shared" si="132"/>
        <v>2027</v>
      </c>
      <c r="BE278" s="306">
        <f t="shared" si="137"/>
        <v>46539</v>
      </c>
      <c r="BF278" s="114">
        <f t="shared" ref="BF278:BF341" si="150">BG278</f>
        <v>10.949657422512235</v>
      </c>
      <c r="BG278" s="115">
        <v>10.949657422512235</v>
      </c>
      <c r="BI278">
        <f t="shared" si="143"/>
        <v>2026</v>
      </c>
      <c r="BJ278" s="306">
        <v>46142</v>
      </c>
      <c r="BK278">
        <f t="shared" si="144"/>
        <v>6.5449999999999999</v>
      </c>
      <c r="BL278">
        <v>6.63</v>
      </c>
      <c r="BM278">
        <v>6.46</v>
      </c>
      <c r="BO278">
        <f t="shared" si="145"/>
        <v>2030</v>
      </c>
      <c r="BP278" s="286">
        <v>47543</v>
      </c>
      <c r="BQ278">
        <f t="shared" si="146"/>
        <v>13.82</v>
      </c>
      <c r="BR278">
        <v>13.84</v>
      </c>
      <c r="BS278">
        <v>13.8</v>
      </c>
      <c r="BT278">
        <f t="shared" si="133"/>
        <v>2036</v>
      </c>
      <c r="BU278" s="286">
        <v>49919</v>
      </c>
      <c r="BV278">
        <f t="shared" si="139"/>
        <v>5.8774499999999996</v>
      </c>
      <c r="BW278" s="580">
        <v>5.8529999999999998</v>
      </c>
      <c r="BX278" s="580">
        <v>5.9019000000000004</v>
      </c>
      <c r="BY278">
        <f t="shared" si="134"/>
        <v>2039</v>
      </c>
      <c r="BZ278" s="286">
        <v>51014</v>
      </c>
      <c r="CA278">
        <f t="shared" si="142"/>
        <v>7.0699000000000005</v>
      </c>
      <c r="CB278" s="580">
        <v>7.4661</v>
      </c>
      <c r="CC278" s="580">
        <v>6.6737000000000002</v>
      </c>
      <c r="CD278" s="364">
        <f t="shared" si="135"/>
        <v>2040</v>
      </c>
      <c r="CE278" s="381">
        <v>51410</v>
      </c>
      <c r="CF278" s="364">
        <f t="shared" si="140"/>
        <v>5.0339999999999998</v>
      </c>
      <c r="CG278" s="411">
        <v>5.2032999999999996</v>
      </c>
      <c r="CH278" s="411">
        <v>4.8647</v>
      </c>
      <c r="CI278" s="364">
        <f t="shared" si="136"/>
        <v>2042</v>
      </c>
      <c r="CJ278" s="381">
        <v>52140</v>
      </c>
      <c r="CK278" s="364">
        <f t="shared" si="141"/>
        <v>7.8308</v>
      </c>
      <c r="CL278" s="411">
        <v>8.0471000000000004</v>
      </c>
      <c r="CM278" s="411">
        <v>7.6144999999999996</v>
      </c>
    </row>
    <row r="279" spans="44:91">
      <c r="AR279">
        <f t="shared" si="147"/>
        <v>2027</v>
      </c>
      <c r="AS279" s="307">
        <f t="shared" si="138"/>
        <v>46569</v>
      </c>
      <c r="AT279" s="115">
        <v>88.54</v>
      </c>
      <c r="AU279" s="115">
        <v>84.87</v>
      </c>
      <c r="AV279" s="287">
        <f t="shared" si="131"/>
        <v>86.9619</v>
      </c>
      <c r="AW279" s="271">
        <v>416</v>
      </c>
      <c r="AX279" s="271">
        <v>328</v>
      </c>
      <c r="AY279" s="271">
        <f t="shared" si="148"/>
        <v>0.55913978494623651</v>
      </c>
      <c r="AZ279" s="271">
        <f t="shared" si="149"/>
        <v>0.44086021505376344</v>
      </c>
      <c r="BD279">
        <f t="shared" si="132"/>
        <v>2027</v>
      </c>
      <c r="BE279" s="306">
        <f t="shared" si="137"/>
        <v>46569</v>
      </c>
      <c r="BF279" s="114">
        <f t="shared" si="150"/>
        <v>11.119586731919519</v>
      </c>
      <c r="BG279" s="115">
        <v>11.119586731919519</v>
      </c>
      <c r="BI279">
        <f t="shared" si="143"/>
        <v>2026</v>
      </c>
      <c r="BJ279" s="306">
        <v>46173</v>
      </c>
      <c r="BK279">
        <f t="shared" si="144"/>
        <v>6.5449999999999999</v>
      </c>
      <c r="BL279">
        <v>6.63</v>
      </c>
      <c r="BM279">
        <v>6.46</v>
      </c>
      <c r="BO279">
        <f t="shared" si="145"/>
        <v>2030</v>
      </c>
      <c r="BP279" s="286">
        <v>47574</v>
      </c>
      <c r="BQ279">
        <f t="shared" si="146"/>
        <v>12.92</v>
      </c>
      <c r="BR279">
        <v>13.05</v>
      </c>
      <c r="BS279">
        <v>12.79</v>
      </c>
      <c r="BT279">
        <f t="shared" si="133"/>
        <v>2036</v>
      </c>
      <c r="BU279" s="286">
        <v>49949</v>
      </c>
      <c r="BV279">
        <f t="shared" si="139"/>
        <v>5.97525</v>
      </c>
      <c r="BW279" s="580">
        <v>5.9508000000000001</v>
      </c>
      <c r="BX279" s="580">
        <v>5.9996999999999998</v>
      </c>
      <c r="BY279">
        <f t="shared" si="134"/>
        <v>2039</v>
      </c>
      <c r="BZ279" s="286">
        <v>51044</v>
      </c>
      <c r="CA279">
        <f t="shared" si="142"/>
        <v>7.1227</v>
      </c>
      <c r="CB279" s="580">
        <v>7.5189000000000004</v>
      </c>
      <c r="CC279" s="580">
        <v>6.7264999999999997</v>
      </c>
      <c r="CD279" s="364">
        <f t="shared" si="135"/>
        <v>2040</v>
      </c>
      <c r="CE279" s="381">
        <v>51441</v>
      </c>
      <c r="CF279" s="364">
        <f t="shared" si="140"/>
        <v>6.0675500000000007</v>
      </c>
      <c r="CG279" s="411">
        <v>5.8448000000000002</v>
      </c>
      <c r="CH279" s="411">
        <v>6.2903000000000002</v>
      </c>
      <c r="CI279" s="364">
        <f t="shared" si="136"/>
        <v>2042</v>
      </c>
      <c r="CJ279" s="381">
        <v>52171</v>
      </c>
      <c r="CK279" s="364">
        <f t="shared" si="141"/>
        <v>8.4183000000000003</v>
      </c>
      <c r="CL279" s="411">
        <v>8.5645000000000007</v>
      </c>
      <c r="CM279" s="411">
        <v>8.2721</v>
      </c>
    </row>
    <row r="280" spans="44:91">
      <c r="AR280">
        <f t="shared" si="147"/>
        <v>2027</v>
      </c>
      <c r="AS280" s="307">
        <f t="shared" si="138"/>
        <v>46600</v>
      </c>
      <c r="AT280" s="115">
        <v>88.98</v>
      </c>
      <c r="AU280" s="115">
        <v>85.35</v>
      </c>
      <c r="AV280" s="287">
        <f t="shared" si="131"/>
        <v>87.419099999999986</v>
      </c>
      <c r="AW280" s="271">
        <v>416</v>
      </c>
      <c r="AX280" s="271">
        <v>328</v>
      </c>
      <c r="AY280" s="271">
        <f t="shared" si="148"/>
        <v>0.55913978494623651</v>
      </c>
      <c r="AZ280" s="271">
        <f t="shared" si="149"/>
        <v>0.44086021505376344</v>
      </c>
      <c r="BD280">
        <f t="shared" si="132"/>
        <v>2027</v>
      </c>
      <c r="BE280" s="306">
        <f t="shared" si="137"/>
        <v>46600</v>
      </c>
      <c r="BF280" s="114">
        <f t="shared" si="150"/>
        <v>11.119586731919519</v>
      </c>
      <c r="BG280" s="115">
        <v>11.119586731919519</v>
      </c>
      <c r="BI280">
        <f t="shared" si="143"/>
        <v>2026</v>
      </c>
      <c r="BJ280" s="306">
        <v>46203</v>
      </c>
      <c r="BK280">
        <f t="shared" si="144"/>
        <v>6.6449999999999996</v>
      </c>
      <c r="BL280">
        <v>6.73</v>
      </c>
      <c r="BM280">
        <v>6.56</v>
      </c>
      <c r="BO280">
        <f t="shared" si="145"/>
        <v>2030</v>
      </c>
      <c r="BP280" s="286">
        <v>47604</v>
      </c>
      <c r="BQ280">
        <f t="shared" si="146"/>
        <v>12.92</v>
      </c>
      <c r="BR280">
        <v>13.05</v>
      </c>
      <c r="BS280">
        <v>12.79</v>
      </c>
      <c r="BT280">
        <f t="shared" si="133"/>
        <v>2036</v>
      </c>
      <c r="BU280" s="286">
        <v>49980</v>
      </c>
      <c r="BV280">
        <f t="shared" si="139"/>
        <v>6.1872500000000006</v>
      </c>
      <c r="BW280" s="580">
        <v>6.1302000000000003</v>
      </c>
      <c r="BX280" s="580">
        <v>6.2443</v>
      </c>
      <c r="BY280">
        <f t="shared" si="134"/>
        <v>2039</v>
      </c>
      <c r="BZ280" s="286">
        <v>51075</v>
      </c>
      <c r="CA280">
        <f t="shared" si="142"/>
        <v>7.2988</v>
      </c>
      <c r="CB280" s="580">
        <v>7.7477999999999998</v>
      </c>
      <c r="CC280" s="580">
        <v>6.8498000000000001</v>
      </c>
      <c r="CD280" s="364">
        <f t="shared" si="135"/>
        <v>2040</v>
      </c>
      <c r="CE280" s="381">
        <v>51471</v>
      </c>
      <c r="CF280" s="364">
        <f t="shared" si="140"/>
        <v>6.4238999999999997</v>
      </c>
      <c r="CG280" s="411">
        <v>6.2012</v>
      </c>
      <c r="CH280" s="411">
        <v>6.6466000000000003</v>
      </c>
      <c r="CI280" s="364">
        <f t="shared" si="136"/>
        <v>2042</v>
      </c>
      <c r="CJ280" s="381">
        <v>52201</v>
      </c>
      <c r="CK280" s="364">
        <f t="shared" si="141"/>
        <v>8.6718499999999992</v>
      </c>
      <c r="CL280" s="411">
        <v>8.8252000000000006</v>
      </c>
      <c r="CM280" s="411">
        <v>8.5184999999999995</v>
      </c>
    </row>
    <row r="281" spans="44:91">
      <c r="AR281">
        <f t="shared" si="147"/>
        <v>2027</v>
      </c>
      <c r="AS281" s="307">
        <f t="shared" si="138"/>
        <v>46631</v>
      </c>
      <c r="AT281" s="115">
        <v>88.2</v>
      </c>
      <c r="AU281" s="115">
        <v>82.71</v>
      </c>
      <c r="AV281" s="287">
        <f t="shared" si="131"/>
        <v>85.83929999999998</v>
      </c>
      <c r="AW281" s="271">
        <v>400</v>
      </c>
      <c r="AX281" s="271">
        <v>320</v>
      </c>
      <c r="AY281" s="271">
        <f t="shared" si="148"/>
        <v>0.55555555555555558</v>
      </c>
      <c r="AZ281" s="271">
        <f t="shared" si="149"/>
        <v>0.44444444444444442</v>
      </c>
      <c r="BD281">
        <f t="shared" si="132"/>
        <v>2027</v>
      </c>
      <c r="BE281" s="306">
        <f t="shared" si="137"/>
        <v>46631</v>
      </c>
      <c r="BF281" s="114">
        <f t="shared" si="150"/>
        <v>11.119586731919519</v>
      </c>
      <c r="BG281" s="115">
        <v>11.119586731919519</v>
      </c>
      <c r="BI281">
        <f t="shared" si="143"/>
        <v>2026</v>
      </c>
      <c r="BJ281" s="306">
        <v>46234</v>
      </c>
      <c r="BK281">
        <f t="shared" si="144"/>
        <v>6.75</v>
      </c>
      <c r="BL281">
        <v>6.83</v>
      </c>
      <c r="BM281">
        <v>6.67</v>
      </c>
      <c r="BO281">
        <f t="shared" si="145"/>
        <v>2030</v>
      </c>
      <c r="BP281" s="286">
        <v>47635</v>
      </c>
      <c r="BQ281">
        <f t="shared" si="146"/>
        <v>13.120000000000001</v>
      </c>
      <c r="BR281">
        <v>13.25</v>
      </c>
      <c r="BS281">
        <v>12.99</v>
      </c>
      <c r="BT281">
        <f t="shared" si="133"/>
        <v>2036</v>
      </c>
      <c r="BU281" s="286">
        <v>50010</v>
      </c>
      <c r="BV281">
        <f t="shared" si="139"/>
        <v>6.47255</v>
      </c>
      <c r="BW281" s="580">
        <v>6.4073000000000002</v>
      </c>
      <c r="BX281" s="580">
        <v>6.5377999999999998</v>
      </c>
      <c r="BY281">
        <f t="shared" si="134"/>
        <v>2039</v>
      </c>
      <c r="BZ281" s="286">
        <v>51105</v>
      </c>
      <c r="CA281">
        <f t="shared" si="142"/>
        <v>7.7566500000000005</v>
      </c>
      <c r="CB281" s="580">
        <v>8.2408999999999999</v>
      </c>
      <c r="CC281" s="580">
        <v>7.2724000000000002</v>
      </c>
      <c r="CD281" s="364">
        <f t="shared" si="135"/>
        <v>2041</v>
      </c>
      <c r="CE281" s="381">
        <v>51502</v>
      </c>
      <c r="CF281" s="364">
        <f t="shared" si="140"/>
        <v>6.3985000000000003</v>
      </c>
      <c r="CG281" s="411">
        <v>6.1433</v>
      </c>
      <c r="CH281" s="411">
        <v>6.6536999999999997</v>
      </c>
      <c r="CI281" s="364">
        <f t="shared" si="136"/>
        <v>2043</v>
      </c>
      <c r="CJ281" s="381">
        <v>52232</v>
      </c>
      <c r="CK281" s="364">
        <f t="shared" si="141"/>
        <v>8.9369499999999995</v>
      </c>
      <c r="CL281" s="411">
        <v>9.1164000000000005</v>
      </c>
      <c r="CM281" s="411">
        <v>8.7575000000000003</v>
      </c>
    </row>
    <row r="282" spans="44:91">
      <c r="AR282">
        <f t="shared" si="147"/>
        <v>2027</v>
      </c>
      <c r="AS282" s="307">
        <f t="shared" si="138"/>
        <v>46661</v>
      </c>
      <c r="AT282" s="115">
        <v>87.52</v>
      </c>
      <c r="AU282" s="115">
        <v>76.41</v>
      </c>
      <c r="AV282" s="287">
        <f t="shared" si="131"/>
        <v>82.742699999999985</v>
      </c>
      <c r="AW282" s="271">
        <v>416</v>
      </c>
      <c r="AX282" s="271">
        <v>328</v>
      </c>
      <c r="AY282" s="271">
        <f t="shared" si="148"/>
        <v>0.55913978494623651</v>
      </c>
      <c r="AZ282" s="271">
        <f t="shared" si="149"/>
        <v>0.44086021505376344</v>
      </c>
      <c r="BD282">
        <f t="shared" si="132"/>
        <v>2027</v>
      </c>
      <c r="BE282" s="306">
        <f t="shared" si="137"/>
        <v>46661</v>
      </c>
      <c r="BF282" s="114">
        <f t="shared" si="150"/>
        <v>11.51042414355628</v>
      </c>
      <c r="BG282" s="115">
        <v>11.51042414355628</v>
      </c>
      <c r="BI282">
        <f t="shared" si="143"/>
        <v>2026</v>
      </c>
      <c r="BJ282" s="306">
        <v>46265</v>
      </c>
      <c r="BK282">
        <f t="shared" si="144"/>
        <v>6.75</v>
      </c>
      <c r="BL282">
        <v>6.83</v>
      </c>
      <c r="BM282">
        <v>6.67</v>
      </c>
      <c r="BO282">
        <f t="shared" si="145"/>
        <v>2030</v>
      </c>
      <c r="BP282" s="286">
        <v>47665</v>
      </c>
      <c r="BQ282">
        <f t="shared" si="146"/>
        <v>13.32</v>
      </c>
      <c r="BR282">
        <v>13.45</v>
      </c>
      <c r="BS282">
        <v>13.19</v>
      </c>
      <c r="BT282">
        <f t="shared" si="133"/>
        <v>2037</v>
      </c>
      <c r="BU282" s="286">
        <v>50041</v>
      </c>
      <c r="BV282">
        <f t="shared" si="139"/>
        <v>6.6899499999999996</v>
      </c>
      <c r="BW282" s="580">
        <v>6.6150000000000002</v>
      </c>
      <c r="BX282" s="580">
        <v>6.7648999999999999</v>
      </c>
      <c r="BY282">
        <f t="shared" si="134"/>
        <v>2040</v>
      </c>
      <c r="BZ282" s="286">
        <v>51136</v>
      </c>
      <c r="CA282">
        <f t="shared" si="142"/>
        <v>7.8179499999999997</v>
      </c>
      <c r="CB282" s="580">
        <v>8.3042999999999996</v>
      </c>
      <c r="CC282" s="580">
        <v>7.3315999999999999</v>
      </c>
      <c r="CD282" s="364">
        <f t="shared" si="135"/>
        <v>2041</v>
      </c>
      <c r="CE282" s="381">
        <v>51533</v>
      </c>
      <c r="CF282" s="364">
        <f t="shared" si="140"/>
        <v>6.1797500000000003</v>
      </c>
      <c r="CG282" s="411">
        <v>6.0156999999999998</v>
      </c>
      <c r="CH282" s="411">
        <v>6.3437999999999999</v>
      </c>
      <c r="CI282" s="364">
        <f t="shared" si="136"/>
        <v>2043</v>
      </c>
      <c r="CJ282" s="381">
        <v>52263</v>
      </c>
      <c r="CK282" s="364">
        <f t="shared" si="141"/>
        <v>8.4612999999999996</v>
      </c>
      <c r="CL282" s="411">
        <v>8.61</v>
      </c>
      <c r="CM282" s="411">
        <v>8.3125999999999998</v>
      </c>
    </row>
    <row r="283" spans="44:91">
      <c r="AR283">
        <f t="shared" si="147"/>
        <v>2027</v>
      </c>
      <c r="AS283" s="307">
        <f t="shared" si="138"/>
        <v>46692</v>
      </c>
      <c r="AT283" s="115">
        <v>98.85</v>
      </c>
      <c r="AU283" s="115">
        <v>86.68</v>
      </c>
      <c r="AV283" s="287">
        <f t="shared" si="131"/>
        <v>93.616899999999987</v>
      </c>
      <c r="AW283" s="271">
        <v>400</v>
      </c>
      <c r="AX283" s="271">
        <v>320</v>
      </c>
      <c r="AY283" s="271">
        <f t="shared" si="148"/>
        <v>0.55555555555555558</v>
      </c>
      <c r="AZ283" s="271">
        <f t="shared" si="149"/>
        <v>0.44444444444444442</v>
      </c>
      <c r="BD283">
        <f t="shared" si="132"/>
        <v>2027</v>
      </c>
      <c r="BE283" s="306">
        <f t="shared" si="137"/>
        <v>46692</v>
      </c>
      <c r="BF283" s="114">
        <f t="shared" si="150"/>
        <v>11.67695486677542</v>
      </c>
      <c r="BG283" s="115">
        <v>11.67695486677542</v>
      </c>
      <c r="BI283">
        <f t="shared" si="143"/>
        <v>2026</v>
      </c>
      <c r="BJ283" s="306">
        <v>46295</v>
      </c>
      <c r="BK283">
        <f t="shared" si="144"/>
        <v>6.75</v>
      </c>
      <c r="BL283">
        <v>6.83</v>
      </c>
      <c r="BM283">
        <v>6.67</v>
      </c>
      <c r="BO283">
        <f t="shared" si="145"/>
        <v>2030</v>
      </c>
      <c r="BP283" s="286">
        <v>47696</v>
      </c>
      <c r="BQ283">
        <f t="shared" si="146"/>
        <v>13.32</v>
      </c>
      <c r="BR283">
        <v>13.45</v>
      </c>
      <c r="BS283">
        <v>13.19</v>
      </c>
      <c r="BT283">
        <f t="shared" si="133"/>
        <v>2037</v>
      </c>
      <c r="BU283" s="286">
        <v>50072</v>
      </c>
      <c r="BV283">
        <f t="shared" si="139"/>
        <v>6.6816500000000003</v>
      </c>
      <c r="BW283" s="580">
        <v>6.6150000000000002</v>
      </c>
      <c r="BX283" s="580">
        <v>6.7483000000000004</v>
      </c>
      <c r="BY283">
        <f t="shared" si="134"/>
        <v>2040</v>
      </c>
      <c r="BZ283" s="286">
        <v>51167</v>
      </c>
      <c r="CA283">
        <f t="shared" si="142"/>
        <v>7.8269500000000001</v>
      </c>
      <c r="CB283" s="580">
        <v>8.3402999999999992</v>
      </c>
      <c r="CC283" s="580">
        <v>7.3136000000000001</v>
      </c>
      <c r="CD283" s="364">
        <f t="shared" si="135"/>
        <v>2041</v>
      </c>
      <c r="CE283" s="381">
        <v>51561</v>
      </c>
      <c r="CF283" s="364">
        <f t="shared" si="140"/>
        <v>5.4596999999999998</v>
      </c>
      <c r="CG283" s="411">
        <v>5.4687999999999999</v>
      </c>
      <c r="CH283" s="411">
        <v>5.4505999999999997</v>
      </c>
      <c r="CI283" s="364">
        <f t="shared" si="136"/>
        <v>2043</v>
      </c>
      <c r="CJ283" s="381">
        <v>52291</v>
      </c>
      <c r="CK283" s="364">
        <f t="shared" si="141"/>
        <v>7.59605</v>
      </c>
      <c r="CL283" s="411">
        <v>7.7657999999999996</v>
      </c>
      <c r="CM283" s="411">
        <v>7.4263000000000003</v>
      </c>
    </row>
    <row r="284" spans="44:91">
      <c r="AR284">
        <f t="shared" si="147"/>
        <v>2027</v>
      </c>
      <c r="AS284" s="307">
        <f t="shared" si="138"/>
        <v>46722</v>
      </c>
      <c r="AT284" s="115">
        <v>103.48</v>
      </c>
      <c r="AU284" s="115">
        <v>94.9</v>
      </c>
      <c r="AV284" s="287">
        <f t="shared" si="131"/>
        <v>99.790599999999998</v>
      </c>
      <c r="AW284" s="271">
        <v>416</v>
      </c>
      <c r="AX284" s="271">
        <v>328</v>
      </c>
      <c r="AY284" s="271">
        <f t="shared" si="148"/>
        <v>0.55913978494623651</v>
      </c>
      <c r="AZ284" s="271">
        <f t="shared" si="149"/>
        <v>0.44086021505376344</v>
      </c>
      <c r="BD284">
        <f t="shared" si="132"/>
        <v>2027</v>
      </c>
      <c r="BE284" s="306">
        <f t="shared" si="137"/>
        <v>46722</v>
      </c>
      <c r="BF284" s="114">
        <f t="shared" si="150"/>
        <v>12.237721587819468</v>
      </c>
      <c r="BG284" s="115">
        <v>12.237721587819468</v>
      </c>
      <c r="BI284">
        <f t="shared" si="143"/>
        <v>2026</v>
      </c>
      <c r="BJ284" s="306">
        <v>46326</v>
      </c>
      <c r="BK284">
        <f t="shared" si="144"/>
        <v>7</v>
      </c>
      <c r="BL284">
        <v>7.03</v>
      </c>
      <c r="BM284">
        <v>6.97</v>
      </c>
      <c r="BO284">
        <f t="shared" si="145"/>
        <v>2030</v>
      </c>
      <c r="BP284" s="286">
        <v>47727</v>
      </c>
      <c r="BQ284">
        <f t="shared" si="146"/>
        <v>13.32</v>
      </c>
      <c r="BR284">
        <v>13.45</v>
      </c>
      <c r="BS284">
        <v>13.19</v>
      </c>
      <c r="BT284">
        <f t="shared" si="133"/>
        <v>2037</v>
      </c>
      <c r="BU284" s="286">
        <v>50100</v>
      </c>
      <c r="BV284">
        <f t="shared" si="139"/>
        <v>6.3066999999999993</v>
      </c>
      <c r="BW284" s="580">
        <v>6.2649999999999997</v>
      </c>
      <c r="BX284" s="580">
        <v>6.3483999999999998</v>
      </c>
      <c r="BY284">
        <f t="shared" si="134"/>
        <v>2040</v>
      </c>
      <c r="BZ284" s="286">
        <v>51196</v>
      </c>
      <c r="CA284">
        <f t="shared" si="142"/>
        <v>7.3045499999999999</v>
      </c>
      <c r="CB284" s="580">
        <v>7.7638999999999996</v>
      </c>
      <c r="CC284" s="580">
        <v>6.8452000000000002</v>
      </c>
      <c r="CD284" s="364">
        <f t="shared" si="135"/>
        <v>2041</v>
      </c>
      <c r="CE284" s="381">
        <v>51592</v>
      </c>
      <c r="CF284" s="364">
        <f t="shared" si="140"/>
        <v>4.9765499999999996</v>
      </c>
      <c r="CG284" s="411">
        <v>5.1952999999999996</v>
      </c>
      <c r="CH284" s="411">
        <v>4.7577999999999996</v>
      </c>
      <c r="CI284" s="364">
        <f t="shared" si="136"/>
        <v>2043</v>
      </c>
      <c r="CJ284" s="381">
        <v>52322</v>
      </c>
      <c r="CK284" s="364">
        <f t="shared" si="141"/>
        <v>7.1830499999999997</v>
      </c>
      <c r="CL284" s="411">
        <v>7.3352000000000004</v>
      </c>
      <c r="CM284" s="411">
        <v>7.0308999999999999</v>
      </c>
    </row>
    <row r="285" spans="44:91">
      <c r="AR285">
        <f t="shared" si="147"/>
        <v>2028</v>
      </c>
      <c r="AS285" s="307">
        <f t="shared" si="138"/>
        <v>46753</v>
      </c>
      <c r="AT285" s="115">
        <v>108.32</v>
      </c>
      <c r="AU285" s="115">
        <v>97.76</v>
      </c>
      <c r="AV285" s="287">
        <f t="shared" si="131"/>
        <v>103.77919999999999</v>
      </c>
      <c r="AW285" s="271">
        <v>400</v>
      </c>
      <c r="AX285" s="271">
        <v>344</v>
      </c>
      <c r="AY285" s="271">
        <f t="shared" si="148"/>
        <v>0.5376344086021505</v>
      </c>
      <c r="AZ285" s="271">
        <f t="shared" si="149"/>
        <v>0.46236559139784944</v>
      </c>
      <c r="BD285">
        <f t="shared" si="132"/>
        <v>2028</v>
      </c>
      <c r="BE285" s="306">
        <f t="shared" si="137"/>
        <v>46753</v>
      </c>
      <c r="BF285" s="114">
        <f t="shared" si="150"/>
        <v>13.270891789015767</v>
      </c>
      <c r="BG285" s="115">
        <v>13.270891789015767</v>
      </c>
      <c r="BI285">
        <f t="shared" si="143"/>
        <v>2026</v>
      </c>
      <c r="BJ285" s="306">
        <v>46356</v>
      </c>
      <c r="BK285">
        <f t="shared" si="144"/>
        <v>7.1050000000000004</v>
      </c>
      <c r="BL285">
        <v>7.13</v>
      </c>
      <c r="BM285">
        <v>7.08</v>
      </c>
      <c r="BO285">
        <f t="shared" si="145"/>
        <v>2030</v>
      </c>
      <c r="BP285" s="286">
        <v>47757</v>
      </c>
      <c r="BQ285">
        <f t="shared" si="146"/>
        <v>13.82</v>
      </c>
      <c r="BR285">
        <v>13.84</v>
      </c>
      <c r="BS285">
        <v>13.8</v>
      </c>
      <c r="BT285">
        <f t="shared" si="133"/>
        <v>2037</v>
      </c>
      <c r="BU285" s="286">
        <v>50131</v>
      </c>
      <c r="BV285">
        <f t="shared" si="139"/>
        <v>5.9901</v>
      </c>
      <c r="BW285" s="580">
        <v>5.9650999999999996</v>
      </c>
      <c r="BX285" s="580">
        <v>6.0151000000000003</v>
      </c>
      <c r="BY285">
        <f t="shared" si="134"/>
        <v>2040</v>
      </c>
      <c r="BZ285" s="286">
        <v>51227</v>
      </c>
      <c r="CA285">
        <f t="shared" si="142"/>
        <v>6.8542000000000005</v>
      </c>
      <c r="CB285" s="580">
        <v>7.2415000000000003</v>
      </c>
      <c r="CC285" s="580">
        <v>6.4668999999999999</v>
      </c>
      <c r="CD285" s="364">
        <f t="shared" si="135"/>
        <v>2041</v>
      </c>
      <c r="CE285" s="381">
        <v>51622</v>
      </c>
      <c r="CF285" s="364">
        <f t="shared" si="140"/>
        <v>4.9492499999999993</v>
      </c>
      <c r="CG285" s="411">
        <v>5.1406999999999998</v>
      </c>
      <c r="CH285" s="411">
        <v>4.7577999999999996</v>
      </c>
      <c r="CI285" s="364">
        <f t="shared" si="136"/>
        <v>2043</v>
      </c>
      <c r="CJ285" s="381">
        <v>52352</v>
      </c>
      <c r="CK285" s="364">
        <f t="shared" si="141"/>
        <v>7.2149999999999999</v>
      </c>
      <c r="CL285" s="411">
        <v>7.3737000000000004</v>
      </c>
      <c r="CM285" s="411">
        <v>7.0563000000000002</v>
      </c>
    </row>
    <row r="286" spans="44:91">
      <c r="AR286">
        <f t="shared" si="147"/>
        <v>2028</v>
      </c>
      <c r="AS286" s="307">
        <f t="shared" si="138"/>
        <v>46784</v>
      </c>
      <c r="AT286" s="115">
        <v>101.95</v>
      </c>
      <c r="AU286" s="115">
        <v>88.67</v>
      </c>
      <c r="AV286" s="287">
        <f t="shared" ref="AV286:AV349" si="151">AT286*0.57+AU286*0.43</f>
        <v>96.239599999999996</v>
      </c>
      <c r="AW286" s="271">
        <v>400</v>
      </c>
      <c r="AX286" s="271">
        <v>296</v>
      </c>
      <c r="AY286" s="271">
        <f t="shared" si="148"/>
        <v>0.57471264367816088</v>
      </c>
      <c r="AZ286" s="271">
        <f t="shared" si="149"/>
        <v>0.42528735632183906</v>
      </c>
      <c r="BD286">
        <f t="shared" si="132"/>
        <v>2028</v>
      </c>
      <c r="BE286" s="306">
        <f t="shared" si="137"/>
        <v>46784</v>
      </c>
      <c r="BF286" s="114">
        <f t="shared" si="150"/>
        <v>12.472224034801522</v>
      </c>
      <c r="BG286" s="115">
        <v>12.472224034801522</v>
      </c>
      <c r="BI286">
        <f t="shared" si="143"/>
        <v>2026</v>
      </c>
      <c r="BJ286" s="306">
        <v>46387</v>
      </c>
      <c r="BK286">
        <f t="shared" si="144"/>
        <v>7.46</v>
      </c>
      <c r="BL286">
        <v>7.43</v>
      </c>
      <c r="BM286">
        <v>7.49</v>
      </c>
      <c r="BO286">
        <f t="shared" si="145"/>
        <v>2030</v>
      </c>
      <c r="BP286" s="286">
        <v>47788</v>
      </c>
      <c r="BQ286">
        <f t="shared" si="146"/>
        <v>14.024999999999999</v>
      </c>
      <c r="BR286">
        <v>14.04</v>
      </c>
      <c r="BS286">
        <v>14.01</v>
      </c>
      <c r="BT286">
        <f t="shared" si="133"/>
        <v>2037</v>
      </c>
      <c r="BU286" s="286">
        <v>50161</v>
      </c>
      <c r="BV286">
        <f t="shared" si="139"/>
        <v>5.9567999999999994</v>
      </c>
      <c r="BW286" s="580">
        <v>5.9650999999999996</v>
      </c>
      <c r="BX286" s="580">
        <v>5.9485000000000001</v>
      </c>
      <c r="BY286">
        <f t="shared" si="134"/>
        <v>2040</v>
      </c>
      <c r="BZ286" s="286">
        <v>51257</v>
      </c>
      <c r="CA286">
        <f t="shared" si="142"/>
        <v>6.8721999999999994</v>
      </c>
      <c r="CB286" s="580">
        <v>7.2774999999999999</v>
      </c>
      <c r="CC286" s="580">
        <v>6.4668999999999999</v>
      </c>
      <c r="CD286" s="364">
        <f t="shared" si="135"/>
        <v>2041</v>
      </c>
      <c r="CE286" s="381">
        <v>51653</v>
      </c>
      <c r="CF286" s="364">
        <f t="shared" si="140"/>
        <v>4.9765999999999995</v>
      </c>
      <c r="CG286" s="411">
        <v>5.1589</v>
      </c>
      <c r="CH286" s="411">
        <v>4.7942999999999998</v>
      </c>
      <c r="CI286" s="364">
        <f t="shared" si="136"/>
        <v>2043</v>
      </c>
      <c r="CJ286" s="381">
        <v>52383</v>
      </c>
      <c r="CK286" s="364">
        <f t="shared" si="141"/>
        <v>7.2757500000000004</v>
      </c>
      <c r="CL286" s="411">
        <v>7.5791000000000004</v>
      </c>
      <c r="CM286" s="411">
        <v>6.9724000000000004</v>
      </c>
    </row>
    <row r="287" spans="44:91">
      <c r="AR287">
        <f t="shared" si="147"/>
        <v>2028</v>
      </c>
      <c r="AS287" s="307">
        <f t="shared" si="138"/>
        <v>46813</v>
      </c>
      <c r="AT287" s="115">
        <v>86.4</v>
      </c>
      <c r="AU287" s="115">
        <v>77.260000000000005</v>
      </c>
      <c r="AV287" s="287">
        <f t="shared" si="151"/>
        <v>82.469799999999992</v>
      </c>
      <c r="AW287" s="271">
        <v>432</v>
      </c>
      <c r="AX287" s="271">
        <v>312</v>
      </c>
      <c r="AY287" s="271">
        <f t="shared" si="148"/>
        <v>0.58064516129032262</v>
      </c>
      <c r="AZ287" s="271">
        <f t="shared" si="149"/>
        <v>0.41935483870967744</v>
      </c>
      <c r="BD287">
        <f t="shared" si="132"/>
        <v>2028</v>
      </c>
      <c r="BE287" s="306">
        <f t="shared" si="137"/>
        <v>46813</v>
      </c>
      <c r="BF287" s="114">
        <f t="shared" si="150"/>
        <v>11.727933659597609</v>
      </c>
      <c r="BG287" s="115">
        <v>11.727933659597609</v>
      </c>
      <c r="BI287">
        <f t="shared" si="143"/>
        <v>2027</v>
      </c>
      <c r="BJ287" s="306">
        <v>46418</v>
      </c>
      <c r="BK287">
        <f t="shared" si="144"/>
        <v>8.3000000000000007</v>
      </c>
      <c r="BL287">
        <v>8.2100000000000009</v>
      </c>
      <c r="BM287">
        <v>8.39</v>
      </c>
      <c r="BO287">
        <f t="shared" si="145"/>
        <v>2030</v>
      </c>
      <c r="BP287" s="286">
        <v>47818</v>
      </c>
      <c r="BQ287">
        <f t="shared" si="146"/>
        <v>14.725000000000001</v>
      </c>
      <c r="BR287">
        <v>14.63</v>
      </c>
      <c r="BS287">
        <v>14.82</v>
      </c>
      <c r="BT287">
        <f t="shared" si="133"/>
        <v>2037</v>
      </c>
      <c r="BU287" s="286">
        <v>50192</v>
      </c>
      <c r="BV287">
        <f t="shared" si="139"/>
        <v>5.9068000000000005</v>
      </c>
      <c r="BW287" s="580">
        <v>5.9817999999999998</v>
      </c>
      <c r="BX287" s="580">
        <v>5.8318000000000003</v>
      </c>
      <c r="BY287">
        <f t="shared" si="134"/>
        <v>2040</v>
      </c>
      <c r="BZ287" s="286">
        <v>51288</v>
      </c>
      <c r="CA287">
        <f t="shared" si="142"/>
        <v>6.9262999999999995</v>
      </c>
      <c r="CB287" s="580">
        <v>7.3315999999999999</v>
      </c>
      <c r="CC287" s="580">
        <v>6.5209999999999999</v>
      </c>
      <c r="CD287" s="364">
        <f t="shared" si="135"/>
        <v>2041</v>
      </c>
      <c r="CE287" s="381">
        <v>51683</v>
      </c>
      <c r="CF287" s="364">
        <f t="shared" si="140"/>
        <v>5.0312999999999999</v>
      </c>
      <c r="CG287" s="411">
        <v>5.2865000000000002</v>
      </c>
      <c r="CH287" s="411">
        <v>4.7760999999999996</v>
      </c>
      <c r="CI287" s="364">
        <f t="shared" si="136"/>
        <v>2043</v>
      </c>
      <c r="CJ287" s="381">
        <v>52413</v>
      </c>
      <c r="CK287" s="364">
        <f t="shared" si="141"/>
        <v>7.4706000000000001</v>
      </c>
      <c r="CL287" s="411">
        <v>7.9156000000000004</v>
      </c>
      <c r="CM287" s="411">
        <v>7.0255999999999998</v>
      </c>
    </row>
    <row r="288" spans="44:91">
      <c r="AR288">
        <f t="shared" si="147"/>
        <v>2028</v>
      </c>
      <c r="AS288" s="307">
        <f t="shared" si="138"/>
        <v>46844</v>
      </c>
      <c r="AT288" s="115">
        <v>85.94</v>
      </c>
      <c r="AU288" s="115">
        <v>81.87</v>
      </c>
      <c r="AV288" s="287">
        <f t="shared" si="151"/>
        <v>84.189899999999994</v>
      </c>
      <c r="AW288" s="271">
        <v>400</v>
      </c>
      <c r="AX288" s="271">
        <v>320</v>
      </c>
      <c r="AY288" s="271">
        <f t="shared" si="148"/>
        <v>0.55555555555555558</v>
      </c>
      <c r="AZ288" s="271">
        <f t="shared" si="149"/>
        <v>0.44444444444444442</v>
      </c>
      <c r="BD288">
        <f t="shared" si="132"/>
        <v>2028</v>
      </c>
      <c r="BE288" s="306">
        <f t="shared" si="137"/>
        <v>46844</v>
      </c>
      <c r="BF288" s="114">
        <f t="shared" si="150"/>
        <v>11.099195214790647</v>
      </c>
      <c r="BG288" s="115">
        <v>11.099195214790647</v>
      </c>
      <c r="BI288">
        <f t="shared" si="143"/>
        <v>2027</v>
      </c>
      <c r="BJ288" s="306">
        <v>46446</v>
      </c>
      <c r="BK288">
        <f t="shared" si="144"/>
        <v>7.7200000000000006</v>
      </c>
      <c r="BL288">
        <v>7.69</v>
      </c>
      <c r="BM288">
        <v>7.75</v>
      </c>
      <c r="BO288">
        <f t="shared" si="145"/>
        <v>2031</v>
      </c>
      <c r="BP288" s="286">
        <v>47849</v>
      </c>
      <c r="BQ288">
        <f t="shared" si="146"/>
        <v>16.13</v>
      </c>
      <c r="BR288">
        <v>15.92</v>
      </c>
      <c r="BS288">
        <v>16.34</v>
      </c>
      <c r="BT288">
        <f t="shared" si="133"/>
        <v>2037</v>
      </c>
      <c r="BU288" s="286">
        <v>50222</v>
      </c>
      <c r="BV288">
        <f t="shared" si="139"/>
        <v>5.9568000000000003</v>
      </c>
      <c r="BW288" s="580">
        <v>6.0151000000000003</v>
      </c>
      <c r="BX288" s="580">
        <v>5.8985000000000003</v>
      </c>
      <c r="BY288">
        <f t="shared" si="134"/>
        <v>2040</v>
      </c>
      <c r="BZ288" s="286">
        <v>51318</v>
      </c>
      <c r="CA288">
        <f t="shared" si="142"/>
        <v>7.2684999999999995</v>
      </c>
      <c r="CB288" s="580">
        <v>7.6558000000000002</v>
      </c>
      <c r="CC288" s="580">
        <v>6.8811999999999998</v>
      </c>
      <c r="CD288" s="364">
        <f t="shared" si="135"/>
        <v>2041</v>
      </c>
      <c r="CE288" s="381">
        <v>51714</v>
      </c>
      <c r="CF288" s="364">
        <f t="shared" si="140"/>
        <v>5.0950500000000005</v>
      </c>
      <c r="CG288" s="411">
        <v>5.3776000000000002</v>
      </c>
      <c r="CH288" s="411">
        <v>4.8125</v>
      </c>
      <c r="CI288" s="364">
        <f t="shared" si="136"/>
        <v>2043</v>
      </c>
      <c r="CJ288" s="381">
        <v>52444</v>
      </c>
      <c r="CK288" s="364">
        <f t="shared" si="141"/>
        <v>7.8568499999999997</v>
      </c>
      <c r="CL288" s="411">
        <v>8.2226999999999997</v>
      </c>
      <c r="CM288" s="411">
        <v>7.4909999999999997</v>
      </c>
    </row>
    <row r="289" spans="44:91">
      <c r="AR289">
        <f t="shared" si="147"/>
        <v>2028</v>
      </c>
      <c r="AS289" s="307">
        <f t="shared" si="138"/>
        <v>46874</v>
      </c>
      <c r="AT289" s="115">
        <v>87.51</v>
      </c>
      <c r="AU289" s="115">
        <v>82.32</v>
      </c>
      <c r="AV289" s="287">
        <f t="shared" si="151"/>
        <v>85.278300000000002</v>
      </c>
      <c r="AW289" s="271">
        <v>416</v>
      </c>
      <c r="AX289" s="271">
        <v>328</v>
      </c>
      <c r="AY289" s="271">
        <f t="shared" si="148"/>
        <v>0.55913978494623651</v>
      </c>
      <c r="AZ289" s="271">
        <f t="shared" si="149"/>
        <v>0.44086021505376344</v>
      </c>
      <c r="BD289">
        <f t="shared" si="132"/>
        <v>2028</v>
      </c>
      <c r="BE289" s="306">
        <f t="shared" si="137"/>
        <v>46874</v>
      </c>
      <c r="BF289" s="114">
        <f t="shared" si="150"/>
        <v>10.983643284393692</v>
      </c>
      <c r="BG289" s="115">
        <v>10.983643284393692</v>
      </c>
      <c r="BI289">
        <f t="shared" si="143"/>
        <v>2027</v>
      </c>
      <c r="BJ289" s="306">
        <v>46477</v>
      </c>
      <c r="BK289">
        <f t="shared" si="144"/>
        <v>7.25</v>
      </c>
      <c r="BL289">
        <v>7.28</v>
      </c>
      <c r="BM289">
        <v>7.22</v>
      </c>
      <c r="BO289">
        <f t="shared" si="145"/>
        <v>2031</v>
      </c>
      <c r="BP289" s="286">
        <v>47880</v>
      </c>
      <c r="BQ289">
        <f t="shared" si="146"/>
        <v>15.004999999999999</v>
      </c>
      <c r="BR289">
        <v>14.91</v>
      </c>
      <c r="BS289">
        <v>15.1</v>
      </c>
      <c r="BT289">
        <f t="shared" si="133"/>
        <v>2037</v>
      </c>
      <c r="BU289" s="286">
        <v>50253</v>
      </c>
      <c r="BV289">
        <f t="shared" si="139"/>
        <v>6.1734</v>
      </c>
      <c r="BW289" s="580">
        <v>6.1817000000000002</v>
      </c>
      <c r="BX289" s="580">
        <v>6.1650999999999998</v>
      </c>
      <c r="BY289">
        <f t="shared" si="134"/>
        <v>2040</v>
      </c>
      <c r="BZ289" s="286">
        <v>51349</v>
      </c>
      <c r="CA289">
        <f t="shared" si="142"/>
        <v>7.3315999999999999</v>
      </c>
      <c r="CB289" s="580">
        <v>7.7279</v>
      </c>
      <c r="CC289" s="580">
        <v>6.9352999999999998</v>
      </c>
      <c r="CD289" s="364">
        <f t="shared" si="135"/>
        <v>2041</v>
      </c>
      <c r="CE289" s="381">
        <v>51745</v>
      </c>
      <c r="CF289" s="364">
        <f t="shared" si="140"/>
        <v>5.0495000000000001</v>
      </c>
      <c r="CG289" s="411">
        <v>5.25</v>
      </c>
      <c r="CH289" s="411">
        <v>4.8490000000000002</v>
      </c>
      <c r="CI289" s="364">
        <f t="shared" si="136"/>
        <v>2043</v>
      </c>
      <c r="CJ289" s="381">
        <v>52475</v>
      </c>
      <c r="CK289" s="364">
        <f t="shared" si="141"/>
        <v>8.0479000000000003</v>
      </c>
      <c r="CL289" s="411">
        <v>8.3613999999999997</v>
      </c>
      <c r="CM289" s="411">
        <v>7.7343999999999999</v>
      </c>
    </row>
    <row r="290" spans="44:91">
      <c r="AR290">
        <f t="shared" si="147"/>
        <v>2028</v>
      </c>
      <c r="AS290" s="307">
        <f t="shared" si="138"/>
        <v>46905</v>
      </c>
      <c r="AT290" s="115">
        <v>94.73</v>
      </c>
      <c r="AU290" s="115">
        <v>84.54</v>
      </c>
      <c r="AV290" s="287">
        <f t="shared" si="151"/>
        <v>90.348299999999995</v>
      </c>
      <c r="AW290" s="271">
        <v>416</v>
      </c>
      <c r="AX290" s="271">
        <v>304</v>
      </c>
      <c r="AY290" s="271">
        <f t="shared" si="148"/>
        <v>0.57777777777777772</v>
      </c>
      <c r="AZ290" s="271">
        <f t="shared" si="149"/>
        <v>0.42222222222222222</v>
      </c>
      <c r="BD290">
        <f t="shared" ref="BD290:BD353" si="152">+YEAR(BE290)</f>
        <v>2028</v>
      </c>
      <c r="BE290" s="306">
        <f t="shared" si="137"/>
        <v>46905</v>
      </c>
      <c r="BF290" s="114">
        <f t="shared" si="150"/>
        <v>11.156971179989123</v>
      </c>
      <c r="BG290" s="115">
        <v>11.156971179989123</v>
      </c>
      <c r="BI290">
        <f t="shared" si="143"/>
        <v>2027</v>
      </c>
      <c r="BJ290" s="306">
        <v>46507</v>
      </c>
      <c r="BK290">
        <f t="shared" si="144"/>
        <v>6.7750000000000004</v>
      </c>
      <c r="BL290">
        <v>6.86</v>
      </c>
      <c r="BM290">
        <v>6.69</v>
      </c>
      <c r="BO290">
        <f t="shared" si="145"/>
        <v>2031</v>
      </c>
      <c r="BP290" s="286">
        <v>47908</v>
      </c>
      <c r="BQ290">
        <f t="shared" si="146"/>
        <v>14.09</v>
      </c>
      <c r="BR290">
        <v>14.11</v>
      </c>
      <c r="BS290">
        <v>14.07</v>
      </c>
      <c r="BT290">
        <f t="shared" ref="BT290:BT353" si="153">YEAR(BU290)</f>
        <v>2037</v>
      </c>
      <c r="BU290" s="286">
        <v>50284</v>
      </c>
      <c r="BV290">
        <f t="shared" si="139"/>
        <v>6.0401000000000007</v>
      </c>
      <c r="BW290" s="580">
        <v>6.0151000000000003</v>
      </c>
      <c r="BX290" s="580">
        <v>6.0651000000000002</v>
      </c>
      <c r="BY290">
        <f t="shared" ref="BY290:BY293" si="154">YEAR(BZ290)</f>
        <v>2040</v>
      </c>
      <c r="BZ290" s="286">
        <v>51380</v>
      </c>
      <c r="CA290">
        <f t="shared" si="142"/>
        <v>7.1694499999999994</v>
      </c>
      <c r="CB290" s="580">
        <v>7.6197999999999997</v>
      </c>
      <c r="CC290" s="580">
        <v>6.7191000000000001</v>
      </c>
      <c r="CD290" s="364">
        <f t="shared" ref="CD290:CD319" si="155">YEAR(CE290)</f>
        <v>2041</v>
      </c>
      <c r="CE290" s="381">
        <v>51775</v>
      </c>
      <c r="CF290" s="364">
        <f t="shared" si="140"/>
        <v>5.1861999999999995</v>
      </c>
      <c r="CG290" s="411">
        <v>5.3776000000000002</v>
      </c>
      <c r="CH290" s="411">
        <v>4.9947999999999997</v>
      </c>
      <c r="CI290" s="364">
        <f t="shared" ref="CI290:CI353" si="156">YEAR(CJ290)</f>
        <v>2043</v>
      </c>
      <c r="CJ290" s="381">
        <v>52505</v>
      </c>
      <c r="CK290" s="364">
        <f t="shared" si="141"/>
        <v>8.1966999999999999</v>
      </c>
      <c r="CL290" s="411">
        <v>8.4192</v>
      </c>
      <c r="CM290" s="411">
        <v>7.9741999999999997</v>
      </c>
    </row>
    <row r="291" spans="44:91">
      <c r="AR291">
        <f t="shared" si="147"/>
        <v>2028</v>
      </c>
      <c r="AS291" s="307">
        <f t="shared" si="138"/>
        <v>46935</v>
      </c>
      <c r="AT291" s="115">
        <v>90.22</v>
      </c>
      <c r="AU291" s="115">
        <v>86.48</v>
      </c>
      <c r="AV291" s="287">
        <f t="shared" si="151"/>
        <v>88.611799999999988</v>
      </c>
      <c r="AW291" s="271">
        <v>400</v>
      </c>
      <c r="AX291" s="271">
        <v>344</v>
      </c>
      <c r="AY291" s="271">
        <f t="shared" si="148"/>
        <v>0.5376344086021505</v>
      </c>
      <c r="AZ291" s="271">
        <f t="shared" si="149"/>
        <v>0.46236559139784944</v>
      </c>
      <c r="BD291">
        <f t="shared" si="152"/>
        <v>2028</v>
      </c>
      <c r="BE291" s="306">
        <f t="shared" ref="BE291:BE354" si="157">EOMONTH(BE290,0)+1</f>
        <v>46935</v>
      </c>
      <c r="BF291" s="114">
        <f t="shared" si="150"/>
        <v>11.330299075584557</v>
      </c>
      <c r="BG291" s="115">
        <v>11.330299075584557</v>
      </c>
      <c r="BI291">
        <f t="shared" si="143"/>
        <v>2027</v>
      </c>
      <c r="BJ291" s="306">
        <v>46538</v>
      </c>
      <c r="BK291">
        <f t="shared" si="144"/>
        <v>6.7750000000000004</v>
      </c>
      <c r="BL291">
        <v>6.86</v>
      </c>
      <c r="BM291">
        <v>6.69</v>
      </c>
      <c r="BO291">
        <f t="shared" si="145"/>
        <v>2031</v>
      </c>
      <c r="BP291" s="286">
        <v>47939</v>
      </c>
      <c r="BQ291">
        <f t="shared" si="146"/>
        <v>13.164999999999999</v>
      </c>
      <c r="BR291">
        <v>13.3</v>
      </c>
      <c r="BS291">
        <v>13.03</v>
      </c>
      <c r="BT291">
        <f t="shared" si="153"/>
        <v>2037</v>
      </c>
      <c r="BU291" s="286">
        <v>50314</v>
      </c>
      <c r="BV291">
        <f t="shared" si="139"/>
        <v>6.0900999999999996</v>
      </c>
      <c r="BW291" s="580">
        <v>6.0651000000000002</v>
      </c>
      <c r="BX291" s="580">
        <v>6.1151</v>
      </c>
      <c r="BY291">
        <f t="shared" si="154"/>
        <v>2040</v>
      </c>
      <c r="BZ291" s="286">
        <v>51410</v>
      </c>
      <c r="CA291">
        <f t="shared" si="142"/>
        <v>7.1693999999999996</v>
      </c>
      <c r="CB291" s="580">
        <v>7.6917999999999997</v>
      </c>
      <c r="CC291" s="580">
        <v>6.6470000000000002</v>
      </c>
      <c r="CD291" s="364">
        <f t="shared" si="155"/>
        <v>2041</v>
      </c>
      <c r="CE291" s="381">
        <v>51806</v>
      </c>
      <c r="CF291" s="364">
        <f t="shared" si="140"/>
        <v>6.0430000000000001</v>
      </c>
      <c r="CG291" s="411">
        <v>5.9062999999999999</v>
      </c>
      <c r="CH291" s="411">
        <v>6.1797000000000004</v>
      </c>
      <c r="CI291" s="364">
        <f t="shared" si="156"/>
        <v>2043</v>
      </c>
      <c r="CJ291" s="381">
        <v>52536</v>
      </c>
      <c r="CK291" s="364">
        <f t="shared" si="141"/>
        <v>8.8327500000000008</v>
      </c>
      <c r="CL291" s="411">
        <v>8.9819999999999993</v>
      </c>
      <c r="CM291" s="411">
        <v>8.6835000000000004</v>
      </c>
    </row>
    <row r="292" spans="44:91">
      <c r="AR292">
        <f t="shared" si="147"/>
        <v>2028</v>
      </c>
      <c r="AS292" s="307">
        <f t="shared" si="138"/>
        <v>46966</v>
      </c>
      <c r="AT292" s="115">
        <v>90.67</v>
      </c>
      <c r="AU292" s="115">
        <v>86.97</v>
      </c>
      <c r="AV292" s="287">
        <f t="shared" si="151"/>
        <v>89.079000000000008</v>
      </c>
      <c r="AW292" s="271">
        <v>432</v>
      </c>
      <c r="AX292" s="271">
        <v>312</v>
      </c>
      <c r="AY292" s="271">
        <f t="shared" si="148"/>
        <v>0.58064516129032262</v>
      </c>
      <c r="AZ292" s="271">
        <f t="shared" si="149"/>
        <v>0.41935483870967744</v>
      </c>
      <c r="BD292">
        <f t="shared" si="152"/>
        <v>2028</v>
      </c>
      <c r="BE292" s="306">
        <f t="shared" si="157"/>
        <v>46966</v>
      </c>
      <c r="BF292" s="114">
        <f t="shared" si="150"/>
        <v>11.330299075584557</v>
      </c>
      <c r="BG292" s="115">
        <v>11.330299075584557</v>
      </c>
      <c r="BI292">
        <f t="shared" si="143"/>
        <v>2027</v>
      </c>
      <c r="BJ292" s="306">
        <v>46568</v>
      </c>
      <c r="BK292">
        <f t="shared" si="144"/>
        <v>6.88</v>
      </c>
      <c r="BL292">
        <v>6.97</v>
      </c>
      <c r="BM292">
        <v>6.79</v>
      </c>
      <c r="BO292">
        <f t="shared" si="145"/>
        <v>2031</v>
      </c>
      <c r="BP292" s="286">
        <v>47969</v>
      </c>
      <c r="BQ292">
        <f t="shared" si="146"/>
        <v>13.164999999999999</v>
      </c>
      <c r="BR292">
        <v>13.3</v>
      </c>
      <c r="BS292">
        <v>13.03</v>
      </c>
      <c r="BT292">
        <f t="shared" si="153"/>
        <v>2037</v>
      </c>
      <c r="BU292" s="286">
        <v>50345</v>
      </c>
      <c r="BV292">
        <f t="shared" si="139"/>
        <v>6.3816500000000005</v>
      </c>
      <c r="BW292" s="580">
        <v>6.3150000000000004</v>
      </c>
      <c r="BX292" s="580">
        <v>6.4482999999999997</v>
      </c>
      <c r="BY292">
        <f t="shared" si="154"/>
        <v>2040</v>
      </c>
      <c r="BZ292" s="286">
        <v>51441</v>
      </c>
      <c r="CA292">
        <f t="shared" si="142"/>
        <v>7.4216499999999996</v>
      </c>
      <c r="CB292" s="580">
        <v>7.89</v>
      </c>
      <c r="CC292" s="580">
        <v>6.9532999999999996</v>
      </c>
      <c r="CD292" s="364">
        <f t="shared" si="155"/>
        <v>2041</v>
      </c>
      <c r="CE292" s="381">
        <v>51836</v>
      </c>
      <c r="CF292" s="364">
        <f t="shared" si="140"/>
        <v>6.4531500000000008</v>
      </c>
      <c r="CG292" s="411">
        <v>6.2891000000000004</v>
      </c>
      <c r="CH292" s="411">
        <v>6.6172000000000004</v>
      </c>
      <c r="CI292" s="364">
        <f t="shared" si="156"/>
        <v>2043</v>
      </c>
      <c r="CJ292" s="381">
        <v>52566</v>
      </c>
      <c r="CK292" s="364">
        <f t="shared" si="141"/>
        <v>9.1146999999999991</v>
      </c>
      <c r="CL292" s="411">
        <v>9.2560000000000002</v>
      </c>
      <c r="CM292" s="411">
        <v>8.9733999999999998</v>
      </c>
    </row>
    <row r="293" spans="44:91">
      <c r="AR293">
        <f t="shared" si="147"/>
        <v>2028</v>
      </c>
      <c r="AS293" s="307">
        <f t="shared" si="138"/>
        <v>46997</v>
      </c>
      <c r="AT293" s="115">
        <v>89.87</v>
      </c>
      <c r="AU293" s="115">
        <v>84.28</v>
      </c>
      <c r="AV293" s="287">
        <f t="shared" si="151"/>
        <v>87.46629999999999</v>
      </c>
      <c r="AW293" s="271">
        <v>400</v>
      </c>
      <c r="AX293" s="271">
        <v>320</v>
      </c>
      <c r="AY293" s="271">
        <f t="shared" si="148"/>
        <v>0.55555555555555558</v>
      </c>
      <c r="AZ293" s="271">
        <f t="shared" si="149"/>
        <v>0.44444444444444442</v>
      </c>
      <c r="BD293">
        <f t="shared" si="152"/>
        <v>2028</v>
      </c>
      <c r="BE293" s="306">
        <f t="shared" si="157"/>
        <v>46997</v>
      </c>
      <c r="BF293" s="114">
        <f t="shared" si="150"/>
        <v>11.330299075584557</v>
      </c>
      <c r="BG293" s="115">
        <v>11.330299075584557</v>
      </c>
      <c r="BI293">
        <f t="shared" si="143"/>
        <v>2027</v>
      </c>
      <c r="BJ293" s="306">
        <v>46599</v>
      </c>
      <c r="BK293">
        <f t="shared" si="144"/>
        <v>6.9850000000000003</v>
      </c>
      <c r="BL293">
        <v>7.07</v>
      </c>
      <c r="BM293">
        <v>6.9</v>
      </c>
      <c r="BO293">
        <f t="shared" si="145"/>
        <v>2031</v>
      </c>
      <c r="BP293" s="286">
        <v>48000</v>
      </c>
      <c r="BQ293">
        <f t="shared" si="146"/>
        <v>13.370000000000001</v>
      </c>
      <c r="BR293">
        <v>13.5</v>
      </c>
      <c r="BS293">
        <v>13.24</v>
      </c>
      <c r="BT293">
        <f t="shared" si="153"/>
        <v>2037</v>
      </c>
      <c r="BU293" s="286">
        <v>50375</v>
      </c>
      <c r="BV293">
        <f t="shared" si="139"/>
        <v>6.7065999999999999</v>
      </c>
      <c r="BW293" s="580">
        <v>6.6150000000000002</v>
      </c>
      <c r="BX293" s="580">
        <v>6.7981999999999996</v>
      </c>
      <c r="BY293">
        <f t="shared" si="154"/>
        <v>2040</v>
      </c>
      <c r="BZ293" s="286">
        <v>51471</v>
      </c>
      <c r="CA293">
        <f t="shared" si="142"/>
        <v>7.9079999999999995</v>
      </c>
      <c r="CB293" s="580">
        <v>8.4123999999999999</v>
      </c>
      <c r="CC293" s="580">
        <v>7.4036</v>
      </c>
      <c r="CD293" s="364">
        <f t="shared" si="155"/>
        <v>2042</v>
      </c>
      <c r="CE293" s="381">
        <v>51867</v>
      </c>
      <c r="CF293" s="364">
        <f t="shared" si="140"/>
        <v>6.4774000000000003</v>
      </c>
      <c r="CG293" s="411">
        <v>6.3094000000000001</v>
      </c>
      <c r="CH293" s="411">
        <v>6.6454000000000004</v>
      </c>
      <c r="CI293" s="364">
        <f t="shared" si="156"/>
        <v>2044</v>
      </c>
      <c r="CJ293" s="381">
        <v>52597</v>
      </c>
      <c r="CK293" s="364">
        <f t="shared" si="141"/>
        <v>9.4606999999999992</v>
      </c>
      <c r="CL293" s="411">
        <v>9.6646000000000001</v>
      </c>
      <c r="CM293" s="411">
        <v>9.2568000000000001</v>
      </c>
    </row>
    <row r="294" spans="44:91">
      <c r="AR294">
        <f t="shared" si="147"/>
        <v>2028</v>
      </c>
      <c r="AS294" s="307">
        <f t="shared" si="138"/>
        <v>47027</v>
      </c>
      <c r="AT294" s="115">
        <v>89.19</v>
      </c>
      <c r="AU294" s="115">
        <v>77.86</v>
      </c>
      <c r="AV294" s="287">
        <f t="shared" si="151"/>
        <v>84.318099999999987</v>
      </c>
      <c r="AW294" s="271">
        <v>416</v>
      </c>
      <c r="AX294" s="271">
        <v>328</v>
      </c>
      <c r="AY294" s="271">
        <f t="shared" si="148"/>
        <v>0.55913978494623651</v>
      </c>
      <c r="AZ294" s="271">
        <f t="shared" si="149"/>
        <v>0.44086021505376344</v>
      </c>
      <c r="BD294">
        <f t="shared" si="152"/>
        <v>2028</v>
      </c>
      <c r="BE294" s="306">
        <f t="shared" si="157"/>
        <v>47027</v>
      </c>
      <c r="BF294" s="114">
        <f t="shared" si="150"/>
        <v>11.727933659597609</v>
      </c>
      <c r="BG294" s="115">
        <v>11.727933659597609</v>
      </c>
      <c r="BI294">
        <f t="shared" si="143"/>
        <v>2027</v>
      </c>
      <c r="BJ294" s="306">
        <v>46630</v>
      </c>
      <c r="BK294">
        <f t="shared" si="144"/>
        <v>6.9850000000000003</v>
      </c>
      <c r="BL294">
        <v>7.07</v>
      </c>
      <c r="BM294">
        <v>6.9</v>
      </c>
      <c r="BO294">
        <f t="shared" si="145"/>
        <v>2031</v>
      </c>
      <c r="BP294" s="286">
        <v>48030</v>
      </c>
      <c r="BQ294">
        <f t="shared" si="146"/>
        <v>13.57</v>
      </c>
      <c r="BR294">
        <v>13.7</v>
      </c>
      <c r="BS294">
        <v>13.44</v>
      </c>
      <c r="BT294">
        <f t="shared" si="153"/>
        <v>2038</v>
      </c>
      <c r="BU294" s="286">
        <v>50406</v>
      </c>
      <c r="BV294">
        <f t="shared" si="139"/>
        <v>7.0329499999999996</v>
      </c>
      <c r="BW294" s="580">
        <v>6.9478</v>
      </c>
      <c r="BX294" s="580">
        <v>7.1181000000000001</v>
      </c>
      <c r="BZ294" s="286"/>
      <c r="CB294" s="580"/>
      <c r="CC294" s="580"/>
      <c r="CD294" s="364">
        <f t="shared" si="155"/>
        <v>2042</v>
      </c>
      <c r="CE294" s="381">
        <v>51898</v>
      </c>
      <c r="CF294" s="364">
        <f t="shared" si="140"/>
        <v>6.1507000000000005</v>
      </c>
      <c r="CG294" s="411">
        <v>6.0853999999999999</v>
      </c>
      <c r="CH294" s="411">
        <v>6.2160000000000002</v>
      </c>
      <c r="CI294" s="364">
        <f t="shared" si="156"/>
        <v>2044</v>
      </c>
      <c r="CJ294" s="381">
        <v>52628</v>
      </c>
      <c r="CK294" s="364">
        <f t="shared" si="141"/>
        <v>8.5499000000000009</v>
      </c>
      <c r="CL294" s="411">
        <v>8.7120999999999995</v>
      </c>
      <c r="CM294" s="411">
        <v>8.3877000000000006</v>
      </c>
    </row>
    <row r="295" spans="44:91">
      <c r="AR295">
        <f t="shared" si="147"/>
        <v>2028</v>
      </c>
      <c r="AS295" s="307">
        <f t="shared" si="138"/>
        <v>47058</v>
      </c>
      <c r="AT295" s="115">
        <v>100.73</v>
      </c>
      <c r="AU295" s="115">
        <v>88.33</v>
      </c>
      <c r="AV295" s="287">
        <f t="shared" si="151"/>
        <v>95.397999999999996</v>
      </c>
      <c r="AW295" s="271">
        <v>400</v>
      </c>
      <c r="AX295" s="271">
        <v>320</v>
      </c>
      <c r="AY295" s="271">
        <f t="shared" si="148"/>
        <v>0.55555555555555558</v>
      </c>
      <c r="AZ295" s="271">
        <f t="shared" si="149"/>
        <v>0.44444444444444442</v>
      </c>
      <c r="BD295">
        <f t="shared" si="152"/>
        <v>2028</v>
      </c>
      <c r="BE295" s="306">
        <f t="shared" si="157"/>
        <v>47058</v>
      </c>
      <c r="BF295" s="114">
        <f t="shared" si="150"/>
        <v>11.897862969004894</v>
      </c>
      <c r="BG295" s="115">
        <v>11.897862969004894</v>
      </c>
      <c r="BI295">
        <f t="shared" si="143"/>
        <v>2027</v>
      </c>
      <c r="BJ295" s="306">
        <v>46660</v>
      </c>
      <c r="BK295">
        <f t="shared" si="144"/>
        <v>6.9850000000000003</v>
      </c>
      <c r="BL295">
        <v>7.07</v>
      </c>
      <c r="BM295">
        <v>6.9</v>
      </c>
      <c r="BO295">
        <f t="shared" si="145"/>
        <v>2031</v>
      </c>
      <c r="BP295" s="286">
        <v>48061</v>
      </c>
      <c r="BQ295">
        <f t="shared" si="146"/>
        <v>13.57</v>
      </c>
      <c r="BR295">
        <v>13.7</v>
      </c>
      <c r="BS295">
        <v>13.44</v>
      </c>
      <c r="BT295">
        <f t="shared" si="153"/>
        <v>2038</v>
      </c>
      <c r="BU295" s="286">
        <v>50437</v>
      </c>
      <c r="BV295">
        <f t="shared" si="139"/>
        <v>7.0244</v>
      </c>
      <c r="BW295" s="580">
        <v>6.9137000000000004</v>
      </c>
      <c r="BX295" s="580">
        <v>7.1351000000000004</v>
      </c>
      <c r="BZ295" s="286"/>
      <c r="CB295" s="580"/>
      <c r="CC295" s="580"/>
      <c r="CD295" s="364">
        <f t="shared" si="155"/>
        <v>2042</v>
      </c>
      <c r="CE295" s="381">
        <v>51926</v>
      </c>
      <c r="CF295" s="364">
        <f t="shared" si="140"/>
        <v>5.6000500000000004</v>
      </c>
      <c r="CG295" s="411">
        <v>5.6374000000000004</v>
      </c>
      <c r="CH295" s="411">
        <v>5.5627000000000004</v>
      </c>
      <c r="CI295" s="364">
        <f t="shared" si="156"/>
        <v>2044</v>
      </c>
      <c r="CJ295" s="381">
        <v>52657</v>
      </c>
      <c r="CK295" s="364">
        <f t="shared" si="141"/>
        <v>7.9393499999999992</v>
      </c>
      <c r="CL295" s="411">
        <v>8.1153999999999993</v>
      </c>
      <c r="CM295" s="411">
        <v>7.7633000000000001</v>
      </c>
    </row>
    <row r="296" spans="44:91">
      <c r="AR296">
        <f t="shared" si="147"/>
        <v>2028</v>
      </c>
      <c r="AS296" s="307">
        <f t="shared" si="138"/>
        <v>47088</v>
      </c>
      <c r="AT296" s="115">
        <v>105.45</v>
      </c>
      <c r="AU296" s="115">
        <v>96.7</v>
      </c>
      <c r="AV296" s="287">
        <f t="shared" si="151"/>
        <v>101.6875</v>
      </c>
      <c r="AW296" s="271">
        <v>400</v>
      </c>
      <c r="AX296" s="271">
        <v>344</v>
      </c>
      <c r="AY296" s="271">
        <f t="shared" si="148"/>
        <v>0.5376344086021505</v>
      </c>
      <c r="AZ296" s="271">
        <f t="shared" si="149"/>
        <v>0.46236559139784944</v>
      </c>
      <c r="BD296">
        <f t="shared" si="152"/>
        <v>2028</v>
      </c>
      <c r="BE296" s="306">
        <f t="shared" si="157"/>
        <v>47088</v>
      </c>
      <c r="BF296" s="114">
        <f t="shared" si="150"/>
        <v>12.472224034801522</v>
      </c>
      <c r="BG296" s="115">
        <v>12.472224034801522</v>
      </c>
      <c r="BI296">
        <f t="shared" si="143"/>
        <v>2027</v>
      </c>
      <c r="BJ296" s="306">
        <v>46691</v>
      </c>
      <c r="BK296">
        <f t="shared" si="144"/>
        <v>7.25</v>
      </c>
      <c r="BL296">
        <v>7.28</v>
      </c>
      <c r="BM296">
        <v>7.22</v>
      </c>
      <c r="BO296">
        <f t="shared" si="145"/>
        <v>2031</v>
      </c>
      <c r="BP296" s="286">
        <v>48092</v>
      </c>
      <c r="BQ296">
        <f t="shared" si="146"/>
        <v>13.57</v>
      </c>
      <c r="BR296">
        <v>13.7</v>
      </c>
      <c r="BS296">
        <v>13.44</v>
      </c>
      <c r="BT296">
        <f t="shared" si="153"/>
        <v>2038</v>
      </c>
      <c r="BU296" s="286">
        <v>50465</v>
      </c>
      <c r="BV296">
        <f t="shared" si="139"/>
        <v>6.5987</v>
      </c>
      <c r="BW296" s="580">
        <v>6.5560999999999998</v>
      </c>
      <c r="BX296" s="580">
        <v>6.6413000000000002</v>
      </c>
      <c r="BZ296" s="286"/>
      <c r="CB296" s="580"/>
      <c r="CC296" s="580"/>
      <c r="CD296" s="364">
        <f t="shared" si="155"/>
        <v>2042</v>
      </c>
      <c r="CE296" s="381">
        <v>51957</v>
      </c>
      <c r="CF296" s="364">
        <f t="shared" si="140"/>
        <v>5.1707000000000001</v>
      </c>
      <c r="CG296" s="411">
        <v>5.3947000000000003</v>
      </c>
      <c r="CH296" s="411">
        <v>4.9466999999999999</v>
      </c>
      <c r="CI296" s="364">
        <f t="shared" si="156"/>
        <v>2044</v>
      </c>
      <c r="CJ296" s="381">
        <v>52688</v>
      </c>
      <c r="CK296" s="364">
        <f t="shared" si="141"/>
        <v>7.5527499999999996</v>
      </c>
      <c r="CL296" s="411">
        <v>7.6855000000000002</v>
      </c>
      <c r="CM296" s="411">
        <v>7.42</v>
      </c>
    </row>
    <row r="297" spans="44:91">
      <c r="AR297">
        <f t="shared" si="147"/>
        <v>2029</v>
      </c>
      <c r="AS297" s="307">
        <f t="shared" si="138"/>
        <v>47119</v>
      </c>
      <c r="AT297" s="115">
        <v>110.37</v>
      </c>
      <c r="AU297" s="115">
        <v>99.61</v>
      </c>
      <c r="AV297" s="287">
        <f t="shared" si="151"/>
        <v>105.7432</v>
      </c>
      <c r="AW297" s="271">
        <v>416</v>
      </c>
      <c r="AX297" s="271">
        <v>328</v>
      </c>
      <c r="AY297" s="271">
        <f t="shared" si="148"/>
        <v>0.55913978494623651</v>
      </c>
      <c r="AZ297" s="271">
        <f t="shared" si="149"/>
        <v>0.44086021505376344</v>
      </c>
      <c r="BD297">
        <f t="shared" si="152"/>
        <v>2029</v>
      </c>
      <c r="BE297" s="306">
        <f t="shared" si="157"/>
        <v>47119</v>
      </c>
      <c r="BF297" s="114">
        <f t="shared" si="150"/>
        <v>13.522387166938554</v>
      </c>
      <c r="BG297" s="115">
        <v>13.522387166938554</v>
      </c>
      <c r="BI297">
        <f t="shared" si="143"/>
        <v>2027</v>
      </c>
      <c r="BJ297" s="306">
        <v>46721</v>
      </c>
      <c r="BK297">
        <f t="shared" si="144"/>
        <v>7.35</v>
      </c>
      <c r="BL297">
        <v>7.38</v>
      </c>
      <c r="BM297">
        <v>7.32</v>
      </c>
      <c r="BO297">
        <f t="shared" si="145"/>
        <v>2031</v>
      </c>
      <c r="BP297" s="286">
        <v>48122</v>
      </c>
      <c r="BQ297">
        <f t="shared" si="146"/>
        <v>14.09</v>
      </c>
      <c r="BR297">
        <v>14.11</v>
      </c>
      <c r="BS297">
        <v>14.07</v>
      </c>
      <c r="BT297">
        <f t="shared" si="153"/>
        <v>2038</v>
      </c>
      <c r="BU297" s="286">
        <v>50496</v>
      </c>
      <c r="BV297">
        <f t="shared" si="139"/>
        <v>6.3092500000000005</v>
      </c>
      <c r="BW297" s="580">
        <v>6.2836999999999996</v>
      </c>
      <c r="BX297" s="580">
        <v>6.3348000000000004</v>
      </c>
      <c r="BZ297" s="286"/>
      <c r="CB297" s="580"/>
      <c r="CC297" s="580"/>
      <c r="CD297" s="364">
        <f t="shared" si="155"/>
        <v>2042</v>
      </c>
      <c r="CE297" s="381">
        <v>51987</v>
      </c>
      <c r="CF297" s="364">
        <f t="shared" si="140"/>
        <v>5.1800499999999996</v>
      </c>
      <c r="CG297" s="411">
        <v>5.4134000000000002</v>
      </c>
      <c r="CH297" s="411">
        <v>4.9466999999999999</v>
      </c>
      <c r="CI297" s="364">
        <f t="shared" si="156"/>
        <v>2044</v>
      </c>
      <c r="CJ297" s="381">
        <v>52718</v>
      </c>
      <c r="CK297" s="364">
        <f t="shared" si="141"/>
        <v>7.56555</v>
      </c>
      <c r="CL297" s="411">
        <v>7.7347999999999999</v>
      </c>
      <c r="CM297" s="411">
        <v>7.3963000000000001</v>
      </c>
    </row>
    <row r="298" spans="44:91">
      <c r="AR298">
        <f t="shared" si="147"/>
        <v>2029</v>
      </c>
      <c r="AS298" s="307">
        <f t="shared" si="138"/>
        <v>47150</v>
      </c>
      <c r="AT298" s="115">
        <v>103.88</v>
      </c>
      <c r="AU298" s="115">
        <v>90.35</v>
      </c>
      <c r="AV298" s="287">
        <f t="shared" si="151"/>
        <v>98.062099999999987</v>
      </c>
      <c r="AW298" s="271">
        <v>384</v>
      </c>
      <c r="AX298" s="271">
        <v>288</v>
      </c>
      <c r="AY298" s="271">
        <f t="shared" si="148"/>
        <v>0.5714285714285714</v>
      </c>
      <c r="AZ298" s="271">
        <f t="shared" si="149"/>
        <v>0.42857142857142855</v>
      </c>
      <c r="BD298">
        <f t="shared" si="152"/>
        <v>2029</v>
      </c>
      <c r="BE298" s="306">
        <f t="shared" si="157"/>
        <v>47150</v>
      </c>
      <c r="BF298" s="114">
        <f t="shared" si="150"/>
        <v>12.706726481783576</v>
      </c>
      <c r="BG298" s="115">
        <v>12.706726481783576</v>
      </c>
      <c r="BI298">
        <f t="shared" si="143"/>
        <v>2027</v>
      </c>
      <c r="BJ298" s="306">
        <v>46752</v>
      </c>
      <c r="BK298">
        <f t="shared" si="144"/>
        <v>7.7200000000000006</v>
      </c>
      <c r="BL298">
        <v>7.69</v>
      </c>
      <c r="BM298">
        <v>7.75</v>
      </c>
      <c r="BO298">
        <f t="shared" si="145"/>
        <v>2031</v>
      </c>
      <c r="BP298" s="286">
        <v>48153</v>
      </c>
      <c r="BQ298">
        <f t="shared" si="146"/>
        <v>14.29</v>
      </c>
      <c r="BR298">
        <v>14.31</v>
      </c>
      <c r="BS298">
        <v>14.27</v>
      </c>
      <c r="BT298">
        <f t="shared" si="153"/>
        <v>2038</v>
      </c>
      <c r="BU298" s="286">
        <v>50526</v>
      </c>
      <c r="BV298">
        <f t="shared" si="139"/>
        <v>6.2155500000000004</v>
      </c>
      <c r="BW298" s="580">
        <v>6.2325999999999997</v>
      </c>
      <c r="BX298" s="580">
        <v>6.1985000000000001</v>
      </c>
      <c r="BZ298" s="286"/>
      <c r="CB298" s="580"/>
      <c r="CC298" s="580"/>
      <c r="CD298" s="364">
        <f t="shared" si="155"/>
        <v>2042</v>
      </c>
      <c r="CE298" s="381">
        <v>52018</v>
      </c>
      <c r="CF298" s="364">
        <f t="shared" si="140"/>
        <v>5.2080000000000002</v>
      </c>
      <c r="CG298" s="411">
        <v>5.4320000000000004</v>
      </c>
      <c r="CH298" s="411">
        <v>4.984</v>
      </c>
      <c r="CI298" s="364">
        <f t="shared" si="156"/>
        <v>2044</v>
      </c>
      <c r="CJ298" s="381">
        <v>52749</v>
      </c>
      <c r="CK298" s="364">
        <f t="shared" si="141"/>
        <v>7.6227</v>
      </c>
      <c r="CL298" s="411">
        <v>7.9405999999999999</v>
      </c>
      <c r="CM298" s="411">
        <v>7.3048000000000002</v>
      </c>
    </row>
    <row r="299" spans="44:91">
      <c r="AR299">
        <f t="shared" si="147"/>
        <v>2029</v>
      </c>
      <c r="AS299" s="307">
        <f t="shared" si="138"/>
        <v>47178</v>
      </c>
      <c r="AT299" s="115">
        <v>88.05</v>
      </c>
      <c r="AU299" s="115">
        <v>78.73</v>
      </c>
      <c r="AV299" s="287">
        <f t="shared" si="151"/>
        <v>84.042399999999986</v>
      </c>
      <c r="AW299" s="271">
        <v>432</v>
      </c>
      <c r="AX299" s="271">
        <v>312</v>
      </c>
      <c r="AY299" s="271">
        <f t="shared" si="148"/>
        <v>0.58064516129032262</v>
      </c>
      <c r="AZ299" s="271">
        <f t="shared" si="149"/>
        <v>0.41935483870967744</v>
      </c>
      <c r="BD299">
        <f t="shared" si="152"/>
        <v>2029</v>
      </c>
      <c r="BE299" s="306">
        <f t="shared" si="157"/>
        <v>47178</v>
      </c>
      <c r="BF299" s="114">
        <f t="shared" si="150"/>
        <v>11.952240348015225</v>
      </c>
      <c r="BG299" s="115">
        <v>11.952240348015225</v>
      </c>
      <c r="BI299">
        <f t="shared" si="143"/>
        <v>2028</v>
      </c>
      <c r="BJ299" s="306">
        <v>46783</v>
      </c>
      <c r="BK299">
        <f t="shared" si="144"/>
        <v>8.59</v>
      </c>
      <c r="BL299">
        <v>8.5</v>
      </c>
      <c r="BM299">
        <v>8.68</v>
      </c>
      <c r="BO299">
        <f t="shared" si="145"/>
        <v>2031</v>
      </c>
      <c r="BP299" s="286">
        <v>48183</v>
      </c>
      <c r="BQ299">
        <f t="shared" si="146"/>
        <v>15.004999999999999</v>
      </c>
      <c r="BR299">
        <v>14.91</v>
      </c>
      <c r="BS299">
        <v>15.1</v>
      </c>
      <c r="BT299">
        <f t="shared" si="153"/>
        <v>2038</v>
      </c>
      <c r="BU299" s="286">
        <v>50557</v>
      </c>
      <c r="BV299">
        <f t="shared" si="139"/>
        <v>6.1814999999999998</v>
      </c>
      <c r="BW299" s="580">
        <v>6.2325999999999997</v>
      </c>
      <c r="BX299" s="580">
        <v>6.1303999999999998</v>
      </c>
      <c r="BZ299" s="286"/>
      <c r="CB299" s="580"/>
      <c r="CC299" s="580"/>
      <c r="CD299" s="364">
        <f t="shared" si="155"/>
        <v>2042</v>
      </c>
      <c r="CE299" s="381">
        <v>52048</v>
      </c>
      <c r="CF299" s="364">
        <f t="shared" si="140"/>
        <v>5.3293999999999997</v>
      </c>
      <c r="CG299" s="411">
        <v>5.6374000000000004</v>
      </c>
      <c r="CH299" s="411">
        <v>5.0213999999999999</v>
      </c>
      <c r="CI299" s="364">
        <f t="shared" si="156"/>
        <v>2044</v>
      </c>
      <c r="CJ299" s="381">
        <v>52779</v>
      </c>
      <c r="CK299" s="364">
        <f t="shared" si="141"/>
        <v>7.8652499999999996</v>
      </c>
      <c r="CL299" s="411">
        <v>8.3653999999999993</v>
      </c>
      <c r="CM299" s="411">
        <v>7.3651</v>
      </c>
    </row>
    <row r="300" spans="44:91">
      <c r="AR300">
        <f t="shared" si="147"/>
        <v>2029</v>
      </c>
      <c r="AS300" s="307">
        <f t="shared" si="138"/>
        <v>47209</v>
      </c>
      <c r="AT300" s="115">
        <v>87.57</v>
      </c>
      <c r="AU300" s="115">
        <v>83.43</v>
      </c>
      <c r="AV300" s="287">
        <f t="shared" si="151"/>
        <v>85.789799999999985</v>
      </c>
      <c r="AW300" s="271">
        <v>400</v>
      </c>
      <c r="AX300" s="271">
        <v>320</v>
      </c>
      <c r="AY300" s="271">
        <f t="shared" si="148"/>
        <v>0.55555555555555558</v>
      </c>
      <c r="AZ300" s="271">
        <f t="shared" si="149"/>
        <v>0.44444444444444442</v>
      </c>
      <c r="BD300">
        <f t="shared" si="152"/>
        <v>2029</v>
      </c>
      <c r="BE300" s="306">
        <f t="shared" si="157"/>
        <v>47209</v>
      </c>
      <c r="BF300" s="114">
        <f t="shared" si="150"/>
        <v>11.309907558455681</v>
      </c>
      <c r="BG300" s="115">
        <v>11.309907558455681</v>
      </c>
      <c r="BI300">
        <f t="shared" si="143"/>
        <v>2028</v>
      </c>
      <c r="BJ300" s="306">
        <v>46812</v>
      </c>
      <c r="BK300">
        <f t="shared" si="144"/>
        <v>7.99</v>
      </c>
      <c r="BL300">
        <v>7.96</v>
      </c>
      <c r="BM300">
        <v>8.02</v>
      </c>
      <c r="BO300">
        <f t="shared" si="145"/>
        <v>2032</v>
      </c>
      <c r="BP300" s="286">
        <v>48214</v>
      </c>
      <c r="BQ300">
        <f t="shared" si="146"/>
        <v>16.434999999999999</v>
      </c>
      <c r="BR300">
        <v>16.22</v>
      </c>
      <c r="BS300">
        <v>16.649999999999999</v>
      </c>
      <c r="BT300">
        <f t="shared" si="153"/>
        <v>2038</v>
      </c>
      <c r="BU300" s="286">
        <v>50587</v>
      </c>
      <c r="BV300">
        <f t="shared" si="139"/>
        <v>6.2751999999999999</v>
      </c>
      <c r="BW300" s="580">
        <v>6.3348000000000004</v>
      </c>
      <c r="BX300" s="580">
        <v>6.2156000000000002</v>
      </c>
      <c r="BZ300" s="286"/>
      <c r="CB300" s="580"/>
      <c r="CC300" s="580"/>
      <c r="CD300" s="364">
        <f t="shared" si="155"/>
        <v>2042</v>
      </c>
      <c r="CE300" s="381">
        <v>52079</v>
      </c>
      <c r="CF300" s="364">
        <f t="shared" si="140"/>
        <v>5.3947000000000003</v>
      </c>
      <c r="CG300" s="411">
        <v>5.7306999999999997</v>
      </c>
      <c r="CH300" s="411">
        <v>5.0587</v>
      </c>
      <c r="CI300" s="364">
        <f t="shared" si="156"/>
        <v>2044</v>
      </c>
      <c r="CJ300" s="381">
        <v>52810</v>
      </c>
      <c r="CK300" s="364">
        <f t="shared" si="141"/>
        <v>8.350950000000001</v>
      </c>
      <c r="CL300" s="411">
        <v>8.7652000000000001</v>
      </c>
      <c r="CM300" s="411">
        <v>7.9367000000000001</v>
      </c>
    </row>
    <row r="301" spans="44:91">
      <c r="AR301">
        <f t="shared" si="147"/>
        <v>2029</v>
      </c>
      <c r="AS301" s="307">
        <f t="shared" si="138"/>
        <v>47239</v>
      </c>
      <c r="AT301" s="115">
        <v>89.18</v>
      </c>
      <c r="AU301" s="115">
        <v>83.88</v>
      </c>
      <c r="AV301" s="287">
        <f t="shared" si="151"/>
        <v>86.900999999999996</v>
      </c>
      <c r="AW301" s="271">
        <v>416</v>
      </c>
      <c r="AX301" s="271">
        <v>328</v>
      </c>
      <c r="AY301" s="271">
        <f t="shared" si="148"/>
        <v>0.55913978494623651</v>
      </c>
      <c r="AZ301" s="271">
        <f t="shared" si="149"/>
        <v>0.44086021505376344</v>
      </c>
      <c r="BD301">
        <f t="shared" si="152"/>
        <v>2029</v>
      </c>
      <c r="BE301" s="306">
        <f t="shared" si="157"/>
        <v>47239</v>
      </c>
      <c r="BF301" s="114">
        <f t="shared" si="150"/>
        <v>11.194355628058725</v>
      </c>
      <c r="BG301" s="115">
        <v>11.194355628058725</v>
      </c>
      <c r="BI301">
        <f t="shared" si="143"/>
        <v>2028</v>
      </c>
      <c r="BJ301" s="306">
        <v>46843</v>
      </c>
      <c r="BK301">
        <f t="shared" si="144"/>
        <v>7.5</v>
      </c>
      <c r="BL301">
        <v>7.53</v>
      </c>
      <c r="BM301">
        <v>7.47</v>
      </c>
      <c r="BO301">
        <f t="shared" si="145"/>
        <v>2032</v>
      </c>
      <c r="BP301" s="286">
        <v>48245</v>
      </c>
      <c r="BQ301">
        <f t="shared" si="146"/>
        <v>15.29</v>
      </c>
      <c r="BR301">
        <v>15.19</v>
      </c>
      <c r="BS301">
        <v>15.39</v>
      </c>
      <c r="BT301">
        <f t="shared" si="153"/>
        <v>2038</v>
      </c>
      <c r="BU301" s="286">
        <v>50618</v>
      </c>
      <c r="BV301">
        <f t="shared" ref="BV301:BV356" si="158">AVERAGE(BW301:BX301)</f>
        <v>6.4625000000000004</v>
      </c>
      <c r="BW301" s="580">
        <v>6.4539999999999997</v>
      </c>
      <c r="BX301" s="580">
        <v>6.4710000000000001</v>
      </c>
      <c r="BZ301" s="286"/>
      <c r="CB301" s="580"/>
      <c r="CC301" s="580"/>
      <c r="CD301" s="364">
        <f t="shared" si="155"/>
        <v>2042</v>
      </c>
      <c r="CE301" s="381">
        <v>52110</v>
      </c>
      <c r="CF301" s="364">
        <f t="shared" si="140"/>
        <v>5.3573500000000003</v>
      </c>
      <c r="CG301" s="411">
        <v>5.6186999999999996</v>
      </c>
      <c r="CH301" s="411">
        <v>5.0960000000000001</v>
      </c>
      <c r="CI301" s="364">
        <f t="shared" si="156"/>
        <v>2044</v>
      </c>
      <c r="CJ301" s="381">
        <v>52841</v>
      </c>
      <c r="CK301" s="364">
        <f t="shared" si="141"/>
        <v>8.5583999999999989</v>
      </c>
      <c r="CL301" s="411">
        <v>8.8897999999999993</v>
      </c>
      <c r="CM301" s="411">
        <v>8.2270000000000003</v>
      </c>
    </row>
    <row r="302" spans="44:91">
      <c r="AR302">
        <f t="shared" si="147"/>
        <v>2029</v>
      </c>
      <c r="AS302" s="307">
        <f t="shared" ref="AS302:AS365" si="159">EOMONTH(AS301,0)+1</f>
        <v>47270</v>
      </c>
      <c r="AT302" s="115">
        <v>96.53</v>
      </c>
      <c r="AU302" s="115">
        <v>86.15</v>
      </c>
      <c r="AV302" s="287">
        <f t="shared" si="151"/>
        <v>92.066599999999994</v>
      </c>
      <c r="AW302" s="271">
        <v>416</v>
      </c>
      <c r="AX302" s="271">
        <v>304</v>
      </c>
      <c r="AY302" s="271">
        <f t="shared" si="148"/>
        <v>0.57777777777777772</v>
      </c>
      <c r="AZ302" s="271">
        <f t="shared" si="149"/>
        <v>0.42222222222222222</v>
      </c>
      <c r="BD302">
        <f t="shared" si="152"/>
        <v>2029</v>
      </c>
      <c r="BE302" s="306">
        <f t="shared" si="157"/>
        <v>47270</v>
      </c>
      <c r="BF302" s="114">
        <f t="shared" si="150"/>
        <v>11.367683523654158</v>
      </c>
      <c r="BG302" s="115">
        <v>11.367683523654158</v>
      </c>
      <c r="BI302">
        <f t="shared" si="143"/>
        <v>2028</v>
      </c>
      <c r="BJ302" s="306">
        <v>46873</v>
      </c>
      <c r="BK302">
        <f t="shared" si="144"/>
        <v>7.01</v>
      </c>
      <c r="BL302">
        <v>7.1</v>
      </c>
      <c r="BM302">
        <v>6.92</v>
      </c>
      <c r="BO302">
        <f t="shared" si="145"/>
        <v>2032</v>
      </c>
      <c r="BP302" s="286">
        <v>48274</v>
      </c>
      <c r="BQ302">
        <f t="shared" si="146"/>
        <v>14.35</v>
      </c>
      <c r="BR302">
        <v>14.37</v>
      </c>
      <c r="BS302">
        <v>14.33</v>
      </c>
      <c r="BT302">
        <f t="shared" si="153"/>
        <v>2038</v>
      </c>
      <c r="BU302" s="286">
        <v>50649</v>
      </c>
      <c r="BV302">
        <f t="shared" si="158"/>
        <v>6.3262499999999999</v>
      </c>
      <c r="BW302" s="580">
        <v>6.3007</v>
      </c>
      <c r="BX302" s="580">
        <v>6.3517999999999999</v>
      </c>
      <c r="BZ302" s="286"/>
      <c r="CB302" s="580"/>
      <c r="CC302" s="580"/>
      <c r="CD302" s="364">
        <f t="shared" si="155"/>
        <v>2042</v>
      </c>
      <c r="CE302" s="381">
        <v>52140</v>
      </c>
      <c r="CF302" s="364">
        <f t="shared" si="140"/>
        <v>5.5907</v>
      </c>
      <c r="CG302" s="411">
        <v>5.7866999999999997</v>
      </c>
      <c r="CH302" s="411">
        <v>5.3947000000000003</v>
      </c>
      <c r="CI302" s="364">
        <f t="shared" si="156"/>
        <v>2044</v>
      </c>
      <c r="CJ302" s="381">
        <v>52871</v>
      </c>
      <c r="CK302" s="364">
        <f t="shared" si="141"/>
        <v>8.6686499999999995</v>
      </c>
      <c r="CL302" s="411">
        <v>8.9259000000000004</v>
      </c>
      <c r="CM302" s="411">
        <v>8.4114000000000004</v>
      </c>
    </row>
    <row r="303" spans="44:91">
      <c r="AR303">
        <f t="shared" si="147"/>
        <v>2029</v>
      </c>
      <c r="AS303" s="307">
        <f t="shared" si="159"/>
        <v>47300</v>
      </c>
      <c r="AT303" s="115">
        <v>91.94</v>
      </c>
      <c r="AU303" s="115">
        <v>88.12</v>
      </c>
      <c r="AV303" s="287">
        <f t="shared" si="151"/>
        <v>90.297399999999996</v>
      </c>
      <c r="AW303" s="271">
        <v>400</v>
      </c>
      <c r="AX303" s="271">
        <v>344</v>
      </c>
      <c r="AY303" s="271">
        <f t="shared" si="148"/>
        <v>0.5376344086021505</v>
      </c>
      <c r="AZ303" s="271">
        <f t="shared" si="149"/>
        <v>0.46236559139784944</v>
      </c>
      <c r="BD303">
        <f t="shared" si="152"/>
        <v>2029</v>
      </c>
      <c r="BE303" s="306">
        <f t="shared" si="157"/>
        <v>47300</v>
      </c>
      <c r="BF303" s="114">
        <f t="shared" si="150"/>
        <v>11.541011419249593</v>
      </c>
      <c r="BG303" s="115">
        <v>11.541011419249593</v>
      </c>
      <c r="BI303">
        <f t="shared" si="143"/>
        <v>2028</v>
      </c>
      <c r="BJ303" s="306">
        <v>46904</v>
      </c>
      <c r="BK303">
        <f t="shared" si="144"/>
        <v>7.01</v>
      </c>
      <c r="BL303">
        <v>7.1</v>
      </c>
      <c r="BM303">
        <v>6.92</v>
      </c>
      <c r="BO303">
        <f t="shared" si="145"/>
        <v>2032</v>
      </c>
      <c r="BP303" s="286">
        <v>48305</v>
      </c>
      <c r="BQ303">
        <f t="shared" si="146"/>
        <v>13.414999999999999</v>
      </c>
      <c r="BR303">
        <v>13.55</v>
      </c>
      <c r="BS303">
        <v>13.28</v>
      </c>
      <c r="BT303">
        <f t="shared" si="153"/>
        <v>2038</v>
      </c>
      <c r="BU303" s="286">
        <v>50679</v>
      </c>
      <c r="BV303">
        <f t="shared" si="158"/>
        <v>6.4625000000000004</v>
      </c>
      <c r="BW303" s="580">
        <v>6.4028999999999998</v>
      </c>
      <c r="BX303" s="580">
        <v>6.5221</v>
      </c>
      <c r="BZ303" s="286"/>
      <c r="CB303" s="580"/>
      <c r="CC303" s="580"/>
      <c r="CD303" s="364">
        <f t="shared" si="155"/>
        <v>2042</v>
      </c>
      <c r="CE303" s="381">
        <v>52171</v>
      </c>
      <c r="CF303" s="364">
        <f t="shared" si="140"/>
        <v>6.5146999999999995</v>
      </c>
      <c r="CG303" s="411">
        <v>6.4774000000000003</v>
      </c>
      <c r="CH303" s="411">
        <v>6.5519999999999996</v>
      </c>
      <c r="CI303" s="364">
        <f t="shared" si="156"/>
        <v>2044</v>
      </c>
      <c r="CJ303" s="381">
        <v>52902</v>
      </c>
      <c r="CK303" s="364">
        <f t="shared" si="141"/>
        <v>9.3552999999999997</v>
      </c>
      <c r="CL303" s="411">
        <v>9.5211000000000006</v>
      </c>
      <c r="CM303" s="411">
        <v>9.1895000000000007</v>
      </c>
    </row>
    <row r="304" spans="44:91">
      <c r="AR304">
        <f t="shared" si="147"/>
        <v>2029</v>
      </c>
      <c r="AS304" s="307">
        <f t="shared" si="159"/>
        <v>47331</v>
      </c>
      <c r="AT304" s="115">
        <v>92.39</v>
      </c>
      <c r="AU304" s="115">
        <v>88.63</v>
      </c>
      <c r="AV304" s="287">
        <f t="shared" si="151"/>
        <v>90.773200000000003</v>
      </c>
      <c r="AW304" s="271">
        <v>432</v>
      </c>
      <c r="AX304" s="271">
        <v>312</v>
      </c>
      <c r="AY304" s="271">
        <f t="shared" si="148"/>
        <v>0.58064516129032262</v>
      </c>
      <c r="AZ304" s="271">
        <f t="shared" si="149"/>
        <v>0.41935483870967744</v>
      </c>
      <c r="BD304">
        <f t="shared" si="152"/>
        <v>2029</v>
      </c>
      <c r="BE304" s="306">
        <f t="shared" si="157"/>
        <v>47331</v>
      </c>
      <c r="BF304" s="114">
        <f t="shared" si="150"/>
        <v>11.541011419249593</v>
      </c>
      <c r="BG304" s="115">
        <v>11.541011419249593</v>
      </c>
      <c r="BI304">
        <f t="shared" si="143"/>
        <v>2028</v>
      </c>
      <c r="BJ304" s="306">
        <v>46934</v>
      </c>
      <c r="BK304">
        <f t="shared" si="144"/>
        <v>7.12</v>
      </c>
      <c r="BL304">
        <v>7.21</v>
      </c>
      <c r="BM304">
        <v>7.03</v>
      </c>
      <c r="BO304">
        <f t="shared" si="145"/>
        <v>2032</v>
      </c>
      <c r="BP304" s="286">
        <v>48335</v>
      </c>
      <c r="BQ304">
        <f t="shared" si="146"/>
        <v>13.414999999999999</v>
      </c>
      <c r="BR304">
        <v>13.55</v>
      </c>
      <c r="BS304">
        <v>13.28</v>
      </c>
      <c r="BT304">
        <f t="shared" si="153"/>
        <v>2038</v>
      </c>
      <c r="BU304" s="286">
        <v>50710</v>
      </c>
      <c r="BV304">
        <f t="shared" si="158"/>
        <v>6.7605000000000004</v>
      </c>
      <c r="BW304" s="580">
        <v>6.6582999999999997</v>
      </c>
      <c r="BX304" s="580">
        <v>6.8627000000000002</v>
      </c>
      <c r="BZ304" s="286"/>
      <c r="CB304" s="580"/>
      <c r="CC304" s="580"/>
      <c r="CD304" s="364">
        <f t="shared" si="155"/>
        <v>2042</v>
      </c>
      <c r="CE304" s="381">
        <v>52201</v>
      </c>
      <c r="CF304" s="364">
        <f t="shared" si="140"/>
        <v>6.8880499999999998</v>
      </c>
      <c r="CG304" s="411">
        <v>6.7946999999999997</v>
      </c>
      <c r="CH304" s="411">
        <v>6.9813999999999998</v>
      </c>
      <c r="CI304" s="364">
        <f t="shared" si="156"/>
        <v>2044</v>
      </c>
      <c r="CJ304" s="381">
        <v>52932</v>
      </c>
      <c r="CK304" s="364">
        <f t="shared" si="141"/>
        <v>9.5989000000000004</v>
      </c>
      <c r="CL304" s="411">
        <v>9.7912999999999997</v>
      </c>
      <c r="CM304" s="411">
        <v>9.4064999999999994</v>
      </c>
    </row>
    <row r="305" spans="44:91">
      <c r="AR305">
        <f t="shared" si="147"/>
        <v>2029</v>
      </c>
      <c r="AS305" s="307">
        <f t="shared" si="159"/>
        <v>47362</v>
      </c>
      <c r="AT305" s="115">
        <v>91.58</v>
      </c>
      <c r="AU305" s="115">
        <v>85.88</v>
      </c>
      <c r="AV305" s="287">
        <f t="shared" si="151"/>
        <v>89.128999999999991</v>
      </c>
      <c r="AW305" s="271">
        <v>384</v>
      </c>
      <c r="AX305" s="271">
        <v>336</v>
      </c>
      <c r="AY305" s="271">
        <f t="shared" si="148"/>
        <v>0.53333333333333333</v>
      </c>
      <c r="AZ305" s="271">
        <f t="shared" si="149"/>
        <v>0.46666666666666667</v>
      </c>
      <c r="BD305">
        <f t="shared" si="152"/>
        <v>2029</v>
      </c>
      <c r="BE305" s="306">
        <f t="shared" si="157"/>
        <v>47362</v>
      </c>
      <c r="BF305" s="114">
        <f t="shared" si="150"/>
        <v>11.541011419249593</v>
      </c>
      <c r="BG305" s="115">
        <v>11.541011419249593</v>
      </c>
      <c r="BI305">
        <f t="shared" si="143"/>
        <v>2028</v>
      </c>
      <c r="BJ305" s="306">
        <v>46965</v>
      </c>
      <c r="BK305">
        <f t="shared" si="144"/>
        <v>7.23</v>
      </c>
      <c r="BL305">
        <v>7.32</v>
      </c>
      <c r="BM305">
        <v>7.14</v>
      </c>
      <c r="BO305">
        <f t="shared" si="145"/>
        <v>2032</v>
      </c>
      <c r="BP305" s="286">
        <v>48366</v>
      </c>
      <c r="BQ305">
        <f t="shared" si="146"/>
        <v>13.625</v>
      </c>
      <c r="BR305">
        <v>13.76</v>
      </c>
      <c r="BS305">
        <v>13.49</v>
      </c>
      <c r="BT305">
        <f t="shared" si="153"/>
        <v>2038</v>
      </c>
      <c r="BU305" s="286">
        <v>50740</v>
      </c>
      <c r="BV305">
        <f t="shared" si="158"/>
        <v>7.0755499999999998</v>
      </c>
      <c r="BW305" s="580">
        <v>6.9819000000000004</v>
      </c>
      <c r="BX305" s="580">
        <v>7.1692</v>
      </c>
      <c r="BZ305" s="286"/>
      <c r="CB305" s="580"/>
      <c r="CC305" s="580"/>
      <c r="CD305" s="364">
        <f t="shared" si="155"/>
        <v>2043</v>
      </c>
      <c r="CE305" s="381">
        <v>52232</v>
      </c>
      <c r="CF305" s="364">
        <f t="shared" si="140"/>
        <v>6.7570499999999996</v>
      </c>
      <c r="CG305" s="411">
        <v>6.7283999999999997</v>
      </c>
      <c r="CH305" s="411">
        <v>6.7857000000000003</v>
      </c>
      <c r="CI305" s="364">
        <f t="shared" si="156"/>
        <v>2045</v>
      </c>
      <c r="CJ305" s="381">
        <v>52963</v>
      </c>
      <c r="CK305" s="364">
        <f t="shared" si="141"/>
        <v>9.8841000000000001</v>
      </c>
      <c r="CL305" s="411">
        <v>10.0977</v>
      </c>
      <c r="CM305" s="411">
        <v>9.6705000000000005</v>
      </c>
    </row>
    <row r="306" spans="44:91">
      <c r="AR306">
        <f t="shared" si="147"/>
        <v>2029</v>
      </c>
      <c r="AS306" s="307">
        <f t="shared" si="159"/>
        <v>47392</v>
      </c>
      <c r="AT306" s="115">
        <v>90.88</v>
      </c>
      <c r="AU306" s="115">
        <v>79.34</v>
      </c>
      <c r="AV306" s="287">
        <f t="shared" si="151"/>
        <v>85.9178</v>
      </c>
      <c r="AW306" s="271">
        <v>432</v>
      </c>
      <c r="AX306" s="271">
        <v>312</v>
      </c>
      <c r="AY306" s="271">
        <f t="shared" si="148"/>
        <v>0.58064516129032262</v>
      </c>
      <c r="AZ306" s="271">
        <f t="shared" si="149"/>
        <v>0.41935483870967744</v>
      </c>
      <c r="BD306">
        <f t="shared" si="152"/>
        <v>2029</v>
      </c>
      <c r="BE306" s="306">
        <f t="shared" si="157"/>
        <v>47392</v>
      </c>
      <c r="BF306" s="114">
        <f t="shared" si="150"/>
        <v>11.952240348015225</v>
      </c>
      <c r="BG306" s="115">
        <v>11.952240348015225</v>
      </c>
      <c r="BI306">
        <f t="shared" si="143"/>
        <v>2028</v>
      </c>
      <c r="BJ306" s="306">
        <v>46996</v>
      </c>
      <c r="BK306">
        <f t="shared" si="144"/>
        <v>7.23</v>
      </c>
      <c r="BL306">
        <v>7.32</v>
      </c>
      <c r="BM306">
        <v>7.14</v>
      </c>
      <c r="BO306">
        <f t="shared" si="145"/>
        <v>2032</v>
      </c>
      <c r="BP306" s="286">
        <v>48396</v>
      </c>
      <c r="BQ306">
        <f t="shared" si="146"/>
        <v>13.83</v>
      </c>
      <c r="BR306">
        <v>13.96</v>
      </c>
      <c r="BS306">
        <v>13.7</v>
      </c>
      <c r="BT306">
        <f t="shared" si="153"/>
        <v>2039</v>
      </c>
      <c r="BU306" s="286">
        <v>50771</v>
      </c>
      <c r="BV306">
        <f t="shared" si="158"/>
        <v>7.1859999999999999</v>
      </c>
      <c r="BW306" s="580">
        <v>7.1772999999999998</v>
      </c>
      <c r="BX306" s="580">
        <v>7.1947000000000001</v>
      </c>
      <c r="BZ306" s="286"/>
      <c r="CB306" s="580"/>
      <c r="CC306" s="580"/>
      <c r="CD306" s="364">
        <f t="shared" si="155"/>
        <v>2043</v>
      </c>
      <c r="CE306" s="381">
        <v>52263</v>
      </c>
      <c r="CF306" s="364">
        <f t="shared" si="140"/>
        <v>6.56595</v>
      </c>
      <c r="CG306" s="411">
        <v>6.5754999999999999</v>
      </c>
      <c r="CH306" s="411">
        <v>6.5564</v>
      </c>
      <c r="CI306" s="364">
        <f t="shared" si="156"/>
        <v>2045</v>
      </c>
      <c r="CJ306" s="381">
        <v>52994</v>
      </c>
      <c r="CK306" s="364">
        <f t="shared" si="141"/>
        <v>9.3648999999999987</v>
      </c>
      <c r="CL306" s="411">
        <v>9.5459999999999994</v>
      </c>
      <c r="CM306" s="411">
        <v>9.1837999999999997</v>
      </c>
    </row>
    <row r="307" spans="44:91">
      <c r="AR307">
        <f t="shared" si="147"/>
        <v>2029</v>
      </c>
      <c r="AS307" s="307">
        <f t="shared" si="159"/>
        <v>47423</v>
      </c>
      <c r="AT307" s="115">
        <v>102.64</v>
      </c>
      <c r="AU307" s="115">
        <v>90.01</v>
      </c>
      <c r="AV307" s="287">
        <f t="shared" si="151"/>
        <v>97.209100000000007</v>
      </c>
      <c r="AW307" s="271">
        <v>400</v>
      </c>
      <c r="AX307" s="271">
        <v>320</v>
      </c>
      <c r="AY307" s="271">
        <f t="shared" si="148"/>
        <v>0.55555555555555558</v>
      </c>
      <c r="AZ307" s="271">
        <f t="shared" si="149"/>
        <v>0.44444444444444442</v>
      </c>
      <c r="BD307">
        <f t="shared" si="152"/>
        <v>2029</v>
      </c>
      <c r="BE307" s="306">
        <f t="shared" si="157"/>
        <v>47423</v>
      </c>
      <c r="BF307" s="114">
        <f t="shared" si="150"/>
        <v>12.125568243610658</v>
      </c>
      <c r="BG307" s="115">
        <v>12.125568243610658</v>
      </c>
      <c r="BI307">
        <f t="shared" si="143"/>
        <v>2028</v>
      </c>
      <c r="BJ307" s="306">
        <v>47026</v>
      </c>
      <c r="BK307">
        <f t="shared" si="144"/>
        <v>7.23</v>
      </c>
      <c r="BL307">
        <v>7.32</v>
      </c>
      <c r="BM307">
        <v>7.14</v>
      </c>
      <c r="BO307">
        <f t="shared" si="145"/>
        <v>2032</v>
      </c>
      <c r="BP307" s="286">
        <v>48427</v>
      </c>
      <c r="BQ307">
        <f t="shared" si="146"/>
        <v>13.83</v>
      </c>
      <c r="BR307">
        <v>13.96</v>
      </c>
      <c r="BS307">
        <v>13.7</v>
      </c>
      <c r="BT307">
        <f t="shared" si="153"/>
        <v>2039</v>
      </c>
      <c r="BU307" s="286">
        <v>50802</v>
      </c>
      <c r="BV307">
        <f t="shared" si="158"/>
        <v>7.2991999999999999</v>
      </c>
      <c r="BW307" s="580">
        <v>7.1947000000000001</v>
      </c>
      <c r="BX307" s="580">
        <v>7.4036999999999997</v>
      </c>
      <c r="BZ307" s="286"/>
      <c r="CB307" s="580"/>
      <c r="CC307" s="580"/>
      <c r="CD307" s="364">
        <f t="shared" si="155"/>
        <v>2043</v>
      </c>
      <c r="CE307" s="381">
        <v>52291</v>
      </c>
      <c r="CF307" s="364">
        <f t="shared" si="140"/>
        <v>6.0020500000000006</v>
      </c>
      <c r="CG307" s="411">
        <v>6.0785</v>
      </c>
      <c r="CH307" s="411">
        <v>5.9256000000000002</v>
      </c>
      <c r="CI307" s="364">
        <f t="shared" si="156"/>
        <v>2045</v>
      </c>
      <c r="CJ307" s="381">
        <v>53022</v>
      </c>
      <c r="CK307" s="364">
        <f t="shared" si="141"/>
        <v>8.4567499999999995</v>
      </c>
      <c r="CL307" s="411">
        <v>8.6509</v>
      </c>
      <c r="CM307" s="411">
        <v>8.2626000000000008</v>
      </c>
    </row>
    <row r="308" spans="44:91">
      <c r="AR308">
        <f t="shared" si="147"/>
        <v>2029</v>
      </c>
      <c r="AS308" s="307">
        <f t="shared" si="159"/>
        <v>47453</v>
      </c>
      <c r="AT308" s="115">
        <v>107.45</v>
      </c>
      <c r="AU308" s="115">
        <v>98.54</v>
      </c>
      <c r="AV308" s="287">
        <f t="shared" si="151"/>
        <v>103.61869999999999</v>
      </c>
      <c r="AW308" s="271">
        <v>400</v>
      </c>
      <c r="AX308" s="271">
        <v>344</v>
      </c>
      <c r="AY308" s="271">
        <f t="shared" si="148"/>
        <v>0.5376344086021505</v>
      </c>
      <c r="AZ308" s="271">
        <f t="shared" si="149"/>
        <v>0.46236559139784944</v>
      </c>
      <c r="BD308">
        <f t="shared" si="152"/>
        <v>2029</v>
      </c>
      <c r="BE308" s="306">
        <f t="shared" si="157"/>
        <v>47453</v>
      </c>
      <c r="BF308" s="114">
        <f t="shared" si="150"/>
        <v>12.706726481783576</v>
      </c>
      <c r="BG308" s="115">
        <v>12.706726481783576</v>
      </c>
      <c r="BI308">
        <f t="shared" si="143"/>
        <v>2028</v>
      </c>
      <c r="BJ308" s="306">
        <v>47057</v>
      </c>
      <c r="BK308">
        <f t="shared" si="144"/>
        <v>7.5</v>
      </c>
      <c r="BL308">
        <v>7.53</v>
      </c>
      <c r="BM308">
        <v>7.47</v>
      </c>
      <c r="BO308">
        <f t="shared" si="145"/>
        <v>2032</v>
      </c>
      <c r="BP308" s="286">
        <v>48458</v>
      </c>
      <c r="BQ308">
        <f t="shared" si="146"/>
        <v>13.83</v>
      </c>
      <c r="BR308">
        <v>13.96</v>
      </c>
      <c r="BS308">
        <v>13.7</v>
      </c>
      <c r="BT308">
        <f t="shared" si="153"/>
        <v>2039</v>
      </c>
      <c r="BU308" s="286">
        <v>50830</v>
      </c>
      <c r="BV308">
        <f t="shared" si="158"/>
        <v>6.8027499999999996</v>
      </c>
      <c r="BW308" s="580">
        <v>6.7591999999999999</v>
      </c>
      <c r="BX308" s="580">
        <v>6.8463000000000003</v>
      </c>
      <c r="BZ308" s="286"/>
      <c r="CB308" s="580"/>
      <c r="CC308" s="580"/>
      <c r="CD308" s="364">
        <f t="shared" si="155"/>
        <v>2043</v>
      </c>
      <c r="CE308" s="381">
        <v>52322</v>
      </c>
      <c r="CF308" s="364">
        <f t="shared" si="140"/>
        <v>5.5145999999999997</v>
      </c>
      <c r="CG308" s="411">
        <v>5.83</v>
      </c>
      <c r="CH308" s="411">
        <v>5.1992000000000003</v>
      </c>
      <c r="CI308" s="364">
        <f t="shared" si="156"/>
        <v>2045</v>
      </c>
      <c r="CJ308" s="381">
        <v>53053</v>
      </c>
      <c r="CK308" s="364">
        <f t="shared" si="141"/>
        <v>8.0160499999999999</v>
      </c>
      <c r="CL308" s="411">
        <v>8.2003000000000004</v>
      </c>
      <c r="CM308" s="411">
        <v>7.8318000000000003</v>
      </c>
    </row>
    <row r="309" spans="44:91">
      <c r="AR309">
        <f t="shared" si="147"/>
        <v>2030</v>
      </c>
      <c r="AS309" s="307">
        <f t="shared" si="159"/>
        <v>47484</v>
      </c>
      <c r="AT309" s="115">
        <v>112.58</v>
      </c>
      <c r="AU309" s="115">
        <v>101.61</v>
      </c>
      <c r="AV309" s="287">
        <f t="shared" si="151"/>
        <v>107.8629</v>
      </c>
      <c r="AW309" s="271">
        <v>416</v>
      </c>
      <c r="AX309" s="271">
        <v>328</v>
      </c>
      <c r="AY309" s="271">
        <f t="shared" si="148"/>
        <v>0.55913978494623651</v>
      </c>
      <c r="AZ309" s="271">
        <f t="shared" si="149"/>
        <v>0.44086021505376344</v>
      </c>
      <c r="BD309">
        <f t="shared" si="152"/>
        <v>2030</v>
      </c>
      <c r="BE309" s="306">
        <f t="shared" si="157"/>
        <v>47484</v>
      </c>
      <c r="BF309" s="114">
        <f t="shared" si="150"/>
        <v>13.790875475802068</v>
      </c>
      <c r="BG309" s="115">
        <v>13.790875475802068</v>
      </c>
      <c r="BI309">
        <f t="shared" si="143"/>
        <v>2028</v>
      </c>
      <c r="BJ309" s="306">
        <v>47087</v>
      </c>
      <c r="BK309">
        <f t="shared" si="144"/>
        <v>7.6099999999999994</v>
      </c>
      <c r="BL309">
        <v>7.64</v>
      </c>
      <c r="BM309">
        <v>7.58</v>
      </c>
      <c r="BO309">
        <f t="shared" si="145"/>
        <v>2032</v>
      </c>
      <c r="BP309" s="286">
        <v>48488</v>
      </c>
      <c r="BQ309">
        <f t="shared" si="146"/>
        <v>14.35</v>
      </c>
      <c r="BR309">
        <v>14.37</v>
      </c>
      <c r="BS309">
        <v>14.33</v>
      </c>
      <c r="BT309">
        <f t="shared" si="153"/>
        <v>2039</v>
      </c>
      <c r="BU309" s="286">
        <v>50861</v>
      </c>
      <c r="BV309">
        <f t="shared" si="158"/>
        <v>6.4891500000000004</v>
      </c>
      <c r="BW309" s="580">
        <v>6.4455999999999998</v>
      </c>
      <c r="BX309" s="580">
        <v>6.5327000000000002</v>
      </c>
      <c r="BZ309" s="286"/>
      <c r="CB309" s="580"/>
      <c r="CC309" s="580"/>
      <c r="CD309" s="364">
        <f t="shared" si="155"/>
        <v>2043</v>
      </c>
      <c r="CE309" s="381">
        <v>52352</v>
      </c>
      <c r="CF309" s="364">
        <f t="shared" si="140"/>
        <v>5.4954999999999998</v>
      </c>
      <c r="CG309" s="411">
        <v>5.7918000000000003</v>
      </c>
      <c r="CH309" s="411">
        <v>5.1992000000000003</v>
      </c>
      <c r="CI309" s="364">
        <f t="shared" si="156"/>
        <v>2045</v>
      </c>
      <c r="CJ309" s="381">
        <v>53083</v>
      </c>
      <c r="CK309" s="364">
        <f t="shared" si="141"/>
        <v>8.0442999999999998</v>
      </c>
      <c r="CL309" s="411">
        <v>8.2367000000000008</v>
      </c>
      <c r="CM309" s="411">
        <v>7.8518999999999997</v>
      </c>
    </row>
    <row r="310" spans="44:91">
      <c r="AR310">
        <f t="shared" si="147"/>
        <v>2030</v>
      </c>
      <c r="AS310" s="307">
        <f t="shared" si="159"/>
        <v>47515</v>
      </c>
      <c r="AT310" s="115">
        <v>105.96</v>
      </c>
      <c r="AU310" s="115">
        <v>92.16</v>
      </c>
      <c r="AV310" s="287">
        <f t="shared" si="151"/>
        <v>100.02599999999998</v>
      </c>
      <c r="AW310" s="271">
        <v>384</v>
      </c>
      <c r="AX310" s="271">
        <v>288</v>
      </c>
      <c r="AY310" s="271">
        <f t="shared" si="148"/>
        <v>0.5714285714285714</v>
      </c>
      <c r="AZ310" s="271">
        <f t="shared" si="149"/>
        <v>0.42857142857142855</v>
      </c>
      <c r="BD310">
        <f t="shared" si="152"/>
        <v>2030</v>
      </c>
      <c r="BE310" s="306">
        <f t="shared" si="157"/>
        <v>47515</v>
      </c>
      <c r="BF310" s="114">
        <f t="shared" si="150"/>
        <v>12.961620445894505</v>
      </c>
      <c r="BG310" s="115">
        <v>12.961620445894505</v>
      </c>
      <c r="BI310">
        <f t="shared" si="143"/>
        <v>2028</v>
      </c>
      <c r="BJ310" s="306">
        <v>47118</v>
      </c>
      <c r="BK310">
        <f t="shared" si="144"/>
        <v>7.99</v>
      </c>
      <c r="BL310">
        <v>7.96</v>
      </c>
      <c r="BM310">
        <v>8.02</v>
      </c>
      <c r="BO310">
        <f t="shared" si="145"/>
        <v>2032</v>
      </c>
      <c r="BP310" s="286">
        <v>48519</v>
      </c>
      <c r="BQ310">
        <f t="shared" si="146"/>
        <v>14.559999999999999</v>
      </c>
      <c r="BR310">
        <v>14.58</v>
      </c>
      <c r="BS310">
        <v>14.54</v>
      </c>
      <c r="BT310">
        <f t="shared" si="153"/>
        <v>2039</v>
      </c>
      <c r="BU310" s="286">
        <v>50891</v>
      </c>
      <c r="BV310">
        <f t="shared" si="158"/>
        <v>6.4455999999999998</v>
      </c>
      <c r="BW310" s="580">
        <v>6.4455999999999998</v>
      </c>
      <c r="BX310" s="580">
        <v>6.4455999999999998</v>
      </c>
      <c r="BZ310" s="286"/>
      <c r="CB310" s="580"/>
      <c r="CC310" s="580"/>
      <c r="CD310" s="364">
        <f t="shared" si="155"/>
        <v>2043</v>
      </c>
      <c r="CE310" s="381">
        <v>52383</v>
      </c>
      <c r="CF310" s="364">
        <f t="shared" si="140"/>
        <v>5.5145999999999997</v>
      </c>
      <c r="CG310" s="411">
        <v>5.7918000000000003</v>
      </c>
      <c r="CH310" s="411">
        <v>5.2374000000000001</v>
      </c>
      <c r="CI310" s="364">
        <f t="shared" si="156"/>
        <v>2045</v>
      </c>
      <c r="CJ310" s="381">
        <v>53114</v>
      </c>
      <c r="CK310" s="364">
        <f t="shared" si="141"/>
        <v>8.1215000000000011</v>
      </c>
      <c r="CL310" s="411">
        <v>8.4817</v>
      </c>
      <c r="CM310" s="411">
        <v>7.7613000000000003</v>
      </c>
    </row>
    <row r="311" spans="44:91">
      <c r="AR311">
        <f t="shared" si="147"/>
        <v>2030</v>
      </c>
      <c r="AS311" s="307">
        <f t="shared" si="159"/>
        <v>47543</v>
      </c>
      <c r="AT311" s="115">
        <v>89.81</v>
      </c>
      <c r="AU311" s="115">
        <v>80.3</v>
      </c>
      <c r="AV311" s="287">
        <f t="shared" si="151"/>
        <v>85.720699999999994</v>
      </c>
      <c r="AW311" s="271">
        <v>416</v>
      </c>
      <c r="AX311" s="271">
        <v>328</v>
      </c>
      <c r="AY311" s="271">
        <f t="shared" si="148"/>
        <v>0.55913978494623651</v>
      </c>
      <c r="AZ311" s="271">
        <f t="shared" si="149"/>
        <v>0.44086021505376344</v>
      </c>
      <c r="BD311">
        <f t="shared" si="152"/>
        <v>2030</v>
      </c>
      <c r="BE311" s="306">
        <f t="shared" si="157"/>
        <v>47543</v>
      </c>
      <c r="BF311" s="114">
        <f t="shared" si="150"/>
        <v>12.190141381185427</v>
      </c>
      <c r="BG311" s="115">
        <v>12.190141381185427</v>
      </c>
      <c r="BI311">
        <f t="shared" si="143"/>
        <v>2029</v>
      </c>
      <c r="BJ311" s="306">
        <v>47149</v>
      </c>
      <c r="BK311">
        <f t="shared" si="144"/>
        <v>8.89</v>
      </c>
      <c r="BL311">
        <v>8.8000000000000007</v>
      </c>
      <c r="BM311">
        <v>8.98</v>
      </c>
      <c r="BO311">
        <f t="shared" si="145"/>
        <v>2032</v>
      </c>
      <c r="BP311" s="286">
        <v>48549</v>
      </c>
      <c r="BQ311">
        <f t="shared" si="146"/>
        <v>15.29</v>
      </c>
      <c r="BR311">
        <v>15.19</v>
      </c>
      <c r="BS311">
        <v>15.39</v>
      </c>
      <c r="BT311">
        <f t="shared" si="153"/>
        <v>2039</v>
      </c>
      <c r="BU311" s="286">
        <v>50922</v>
      </c>
      <c r="BV311">
        <f t="shared" si="158"/>
        <v>6.3846500000000006</v>
      </c>
      <c r="BW311" s="580">
        <v>6.4282000000000004</v>
      </c>
      <c r="BX311" s="580">
        <v>6.3411</v>
      </c>
      <c r="BZ311" s="286"/>
      <c r="CB311" s="580"/>
      <c r="CC311" s="580"/>
      <c r="CD311" s="364">
        <f t="shared" si="155"/>
        <v>2043</v>
      </c>
      <c r="CE311" s="381">
        <v>52413</v>
      </c>
      <c r="CF311" s="364">
        <f t="shared" si="140"/>
        <v>5.6292999999999997</v>
      </c>
      <c r="CG311" s="411">
        <v>5.9828999999999999</v>
      </c>
      <c r="CH311" s="411">
        <v>5.2756999999999996</v>
      </c>
      <c r="CI311" s="364">
        <f t="shared" si="156"/>
        <v>2045</v>
      </c>
      <c r="CJ311" s="381">
        <v>53144</v>
      </c>
      <c r="CK311" s="364">
        <f t="shared" si="141"/>
        <v>8.3297500000000007</v>
      </c>
      <c r="CL311" s="411">
        <v>8.8529999999999998</v>
      </c>
      <c r="CM311" s="411">
        <v>7.8064999999999998</v>
      </c>
    </row>
    <row r="312" spans="44:91">
      <c r="AR312">
        <f t="shared" si="147"/>
        <v>2030</v>
      </c>
      <c r="AS312" s="307">
        <f t="shared" si="159"/>
        <v>47574</v>
      </c>
      <c r="AT312" s="115">
        <v>89.32</v>
      </c>
      <c r="AU312" s="115">
        <v>85.1</v>
      </c>
      <c r="AV312" s="287">
        <f t="shared" si="151"/>
        <v>87.50539999999998</v>
      </c>
      <c r="AW312" s="271">
        <v>416</v>
      </c>
      <c r="AX312" s="271">
        <v>304</v>
      </c>
      <c r="AY312" s="271">
        <f t="shared" si="148"/>
        <v>0.57777777777777772</v>
      </c>
      <c r="AZ312" s="271">
        <f t="shared" si="149"/>
        <v>0.42222222222222222</v>
      </c>
      <c r="BD312">
        <f t="shared" si="152"/>
        <v>2030</v>
      </c>
      <c r="BE312" s="306">
        <f t="shared" si="157"/>
        <v>47574</v>
      </c>
      <c r="BF312" s="114">
        <f t="shared" si="150"/>
        <v>11.537612833061447</v>
      </c>
      <c r="BG312" s="115">
        <v>11.537612833061447</v>
      </c>
      <c r="BI312">
        <f t="shared" si="143"/>
        <v>2029</v>
      </c>
      <c r="BJ312" s="306">
        <v>47177</v>
      </c>
      <c r="BK312">
        <f t="shared" si="144"/>
        <v>8.27</v>
      </c>
      <c r="BL312">
        <v>8.24</v>
      </c>
      <c r="BM312">
        <v>8.3000000000000007</v>
      </c>
      <c r="BO312">
        <f t="shared" si="145"/>
        <v>2033</v>
      </c>
      <c r="BP312" s="286">
        <v>48580</v>
      </c>
      <c r="BQ312">
        <f t="shared" si="146"/>
        <v>16.73</v>
      </c>
      <c r="BR312">
        <v>16.510000000000002</v>
      </c>
      <c r="BS312">
        <v>16.95</v>
      </c>
      <c r="BT312">
        <f t="shared" si="153"/>
        <v>2039</v>
      </c>
      <c r="BU312" s="286">
        <v>50952</v>
      </c>
      <c r="BV312">
        <f t="shared" si="158"/>
        <v>6.4717500000000001</v>
      </c>
      <c r="BW312" s="580">
        <v>6.5152999999999999</v>
      </c>
      <c r="BX312" s="580">
        <v>6.4282000000000004</v>
      </c>
      <c r="BZ312" s="286"/>
      <c r="CB312" s="580"/>
      <c r="CC312" s="580"/>
      <c r="CD312" s="364">
        <f t="shared" si="155"/>
        <v>2043</v>
      </c>
      <c r="CE312" s="381">
        <v>52444</v>
      </c>
      <c r="CF312" s="364">
        <f t="shared" si="140"/>
        <v>5.6962000000000002</v>
      </c>
      <c r="CG312" s="411">
        <v>6.0785</v>
      </c>
      <c r="CH312" s="411">
        <v>5.3139000000000003</v>
      </c>
      <c r="CI312" s="364">
        <f t="shared" si="156"/>
        <v>2045</v>
      </c>
      <c r="CJ312" s="381">
        <v>53175</v>
      </c>
      <c r="CK312" s="364">
        <f t="shared" si="141"/>
        <v>8.6129999999999995</v>
      </c>
      <c r="CL312" s="411">
        <v>9.0325000000000006</v>
      </c>
      <c r="CM312" s="411">
        <v>8.1935000000000002</v>
      </c>
    </row>
    <row r="313" spans="44:91">
      <c r="AR313">
        <f t="shared" si="147"/>
        <v>2030</v>
      </c>
      <c r="AS313" s="307">
        <f t="shared" si="159"/>
        <v>47604</v>
      </c>
      <c r="AT313" s="115">
        <v>90.96</v>
      </c>
      <c r="AU313" s="115">
        <v>85.56</v>
      </c>
      <c r="AV313" s="287">
        <f t="shared" si="151"/>
        <v>88.637999999999991</v>
      </c>
      <c r="AW313" s="271">
        <v>416</v>
      </c>
      <c r="AX313" s="271">
        <v>328</v>
      </c>
      <c r="AY313" s="271">
        <f t="shared" si="148"/>
        <v>0.55913978494623651</v>
      </c>
      <c r="AZ313" s="271">
        <f t="shared" si="149"/>
        <v>0.44086021505376344</v>
      </c>
      <c r="BD313">
        <f t="shared" si="152"/>
        <v>2030</v>
      </c>
      <c r="BE313" s="306">
        <f t="shared" si="157"/>
        <v>47604</v>
      </c>
      <c r="BF313" s="114">
        <f t="shared" si="150"/>
        <v>11.418662316476347</v>
      </c>
      <c r="BG313" s="115">
        <v>11.418662316476347</v>
      </c>
      <c r="BI313">
        <f t="shared" si="143"/>
        <v>2029</v>
      </c>
      <c r="BJ313" s="306">
        <v>47208</v>
      </c>
      <c r="BK313">
        <f t="shared" si="144"/>
        <v>7.7650000000000006</v>
      </c>
      <c r="BL313">
        <v>7.8</v>
      </c>
      <c r="BM313">
        <v>7.73</v>
      </c>
      <c r="BO313">
        <f t="shared" si="145"/>
        <v>2033</v>
      </c>
      <c r="BP313" s="286">
        <v>48611</v>
      </c>
      <c r="BQ313">
        <f t="shared" si="146"/>
        <v>15.565000000000001</v>
      </c>
      <c r="BR313">
        <v>15.47</v>
      </c>
      <c r="BS313">
        <v>15.66</v>
      </c>
      <c r="BT313">
        <f t="shared" si="153"/>
        <v>2039</v>
      </c>
      <c r="BU313" s="286">
        <v>50983</v>
      </c>
      <c r="BV313">
        <f t="shared" si="158"/>
        <v>6.6546500000000002</v>
      </c>
      <c r="BW313" s="580">
        <v>6.6372</v>
      </c>
      <c r="BX313" s="580">
        <v>6.6721000000000004</v>
      </c>
      <c r="BZ313" s="286"/>
      <c r="CB313" s="580"/>
      <c r="CC313" s="580"/>
      <c r="CD313" s="364">
        <f t="shared" si="155"/>
        <v>2043</v>
      </c>
      <c r="CE313" s="381">
        <v>52475</v>
      </c>
      <c r="CF313" s="364">
        <f t="shared" si="140"/>
        <v>5.6579499999999996</v>
      </c>
      <c r="CG313" s="411">
        <v>5.9638</v>
      </c>
      <c r="CH313" s="411">
        <v>5.3521000000000001</v>
      </c>
      <c r="CI313" s="364">
        <f t="shared" si="156"/>
        <v>2045</v>
      </c>
      <c r="CJ313" s="381">
        <v>53206</v>
      </c>
      <c r="CK313" s="364">
        <f t="shared" si="141"/>
        <v>8.7949999999999999</v>
      </c>
      <c r="CL313" s="411">
        <v>9.1447000000000003</v>
      </c>
      <c r="CM313" s="411">
        <v>8.4452999999999996</v>
      </c>
    </row>
    <row r="314" spans="44:91">
      <c r="AR314">
        <f t="shared" si="147"/>
        <v>2030</v>
      </c>
      <c r="AS314" s="307">
        <f t="shared" si="159"/>
        <v>47635</v>
      </c>
      <c r="AT314" s="115">
        <v>98.46</v>
      </c>
      <c r="AU314" s="115">
        <v>87.87</v>
      </c>
      <c r="AV314" s="287">
        <f t="shared" si="151"/>
        <v>93.906299999999987</v>
      </c>
      <c r="AW314" s="271">
        <v>400</v>
      </c>
      <c r="AX314" s="271">
        <v>320</v>
      </c>
      <c r="AY314" s="271">
        <f t="shared" si="148"/>
        <v>0.55555555555555558</v>
      </c>
      <c r="AZ314" s="271">
        <f t="shared" si="149"/>
        <v>0.44444444444444442</v>
      </c>
      <c r="BD314">
        <f t="shared" si="152"/>
        <v>2030</v>
      </c>
      <c r="BE314" s="306">
        <f t="shared" si="157"/>
        <v>47635</v>
      </c>
      <c r="BF314" s="114">
        <f t="shared" si="150"/>
        <v>11.595388798259924</v>
      </c>
      <c r="BG314" s="115">
        <v>11.595388798259924</v>
      </c>
      <c r="BI314">
        <f t="shared" si="143"/>
        <v>2029</v>
      </c>
      <c r="BJ314" s="306">
        <v>47238</v>
      </c>
      <c r="BK314">
        <f t="shared" si="144"/>
        <v>7.2549999999999999</v>
      </c>
      <c r="BL314">
        <v>7.35</v>
      </c>
      <c r="BM314">
        <v>7.16</v>
      </c>
      <c r="BO314">
        <f t="shared" si="145"/>
        <v>2033</v>
      </c>
      <c r="BP314" s="286">
        <v>48639</v>
      </c>
      <c r="BQ314">
        <f t="shared" si="146"/>
        <v>14.61</v>
      </c>
      <c r="BR314">
        <v>14.63</v>
      </c>
      <c r="BS314">
        <v>14.59</v>
      </c>
      <c r="BT314">
        <f t="shared" si="153"/>
        <v>2039</v>
      </c>
      <c r="BU314" s="286">
        <v>51014</v>
      </c>
      <c r="BV314">
        <f t="shared" si="158"/>
        <v>6.5152999999999999</v>
      </c>
      <c r="BW314" s="580">
        <v>6.4805000000000001</v>
      </c>
      <c r="BX314" s="580">
        <v>6.5500999999999996</v>
      </c>
      <c r="BZ314" s="286"/>
      <c r="CB314" s="580"/>
      <c r="CC314" s="580"/>
      <c r="CD314" s="364">
        <f t="shared" si="155"/>
        <v>2043</v>
      </c>
      <c r="CE314" s="381">
        <v>52505</v>
      </c>
      <c r="CF314" s="364">
        <f t="shared" si="140"/>
        <v>5.6962000000000002</v>
      </c>
      <c r="CG314" s="411">
        <v>5.9828999999999999</v>
      </c>
      <c r="CH314" s="411">
        <v>5.4095000000000004</v>
      </c>
      <c r="CI314" s="364">
        <f t="shared" si="156"/>
        <v>2045</v>
      </c>
      <c r="CJ314" s="381">
        <v>53236</v>
      </c>
      <c r="CK314" s="364">
        <f t="shared" si="141"/>
        <v>8.9418499999999987</v>
      </c>
      <c r="CL314" s="411">
        <v>9.1777999999999995</v>
      </c>
      <c r="CM314" s="411">
        <v>8.7058999999999997</v>
      </c>
    </row>
    <row r="315" spans="44:91">
      <c r="AR315">
        <f t="shared" si="147"/>
        <v>2030</v>
      </c>
      <c r="AS315" s="307">
        <f t="shared" si="159"/>
        <v>47665</v>
      </c>
      <c r="AT315" s="115">
        <v>93.78</v>
      </c>
      <c r="AU315" s="115">
        <v>89.88</v>
      </c>
      <c r="AV315" s="287">
        <f t="shared" si="151"/>
        <v>92.102999999999994</v>
      </c>
      <c r="AW315" s="271">
        <v>416</v>
      </c>
      <c r="AX315" s="271">
        <v>328</v>
      </c>
      <c r="AY315" s="271">
        <f t="shared" si="148"/>
        <v>0.55913978494623651</v>
      </c>
      <c r="AZ315" s="271">
        <f t="shared" si="149"/>
        <v>0.44086021505376344</v>
      </c>
      <c r="BD315">
        <f t="shared" si="152"/>
        <v>2030</v>
      </c>
      <c r="BE315" s="306">
        <f t="shared" si="157"/>
        <v>47665</v>
      </c>
      <c r="BF315" s="114">
        <f t="shared" si="150"/>
        <v>11.775513866231645</v>
      </c>
      <c r="BG315" s="115">
        <v>11.775513866231645</v>
      </c>
      <c r="BI315">
        <f t="shared" si="143"/>
        <v>2029</v>
      </c>
      <c r="BJ315" s="306">
        <v>47269</v>
      </c>
      <c r="BK315">
        <f t="shared" si="144"/>
        <v>7.2549999999999999</v>
      </c>
      <c r="BL315">
        <v>7.35</v>
      </c>
      <c r="BM315">
        <v>7.16</v>
      </c>
      <c r="BO315">
        <f t="shared" si="145"/>
        <v>2033</v>
      </c>
      <c r="BP315" s="286">
        <v>48670</v>
      </c>
      <c r="BQ315">
        <f t="shared" si="146"/>
        <v>13.66</v>
      </c>
      <c r="BR315">
        <v>13.8</v>
      </c>
      <c r="BS315">
        <v>13.52</v>
      </c>
      <c r="BT315">
        <f t="shared" si="153"/>
        <v>2039</v>
      </c>
      <c r="BU315" s="286">
        <v>51044</v>
      </c>
      <c r="BV315">
        <f t="shared" si="158"/>
        <v>6.7156500000000001</v>
      </c>
      <c r="BW315" s="580">
        <v>6.6721000000000004</v>
      </c>
      <c r="BX315" s="580">
        <v>6.7591999999999999</v>
      </c>
      <c r="BZ315" s="286"/>
      <c r="CB315" s="580"/>
      <c r="CC315" s="580"/>
      <c r="CD315" s="364">
        <f t="shared" si="155"/>
        <v>2043</v>
      </c>
      <c r="CE315" s="381">
        <v>52536</v>
      </c>
      <c r="CF315" s="364">
        <f t="shared" si="140"/>
        <v>6.7857500000000002</v>
      </c>
      <c r="CG315" s="411">
        <v>6.7474999999999996</v>
      </c>
      <c r="CH315" s="411">
        <v>6.8239999999999998</v>
      </c>
      <c r="CI315" s="364">
        <f t="shared" si="156"/>
        <v>2045</v>
      </c>
      <c r="CJ315" s="381">
        <v>53267</v>
      </c>
      <c r="CK315" s="364">
        <f t="shared" si="141"/>
        <v>9.5666499999999992</v>
      </c>
      <c r="CL315" s="411">
        <v>9.7429000000000006</v>
      </c>
      <c r="CM315" s="411">
        <v>9.3903999999999996</v>
      </c>
    </row>
    <row r="316" spans="44:91">
      <c r="AR316">
        <f t="shared" si="147"/>
        <v>2030</v>
      </c>
      <c r="AS316" s="307">
        <f t="shared" si="159"/>
        <v>47696</v>
      </c>
      <c r="AT316" s="115">
        <v>94.24</v>
      </c>
      <c r="AU316" s="115">
        <v>90.4</v>
      </c>
      <c r="AV316" s="287">
        <f t="shared" si="151"/>
        <v>92.588799999999992</v>
      </c>
      <c r="AW316" s="271">
        <v>432</v>
      </c>
      <c r="AX316" s="271">
        <v>312</v>
      </c>
      <c r="AY316" s="271">
        <f t="shared" si="148"/>
        <v>0.58064516129032262</v>
      </c>
      <c r="AZ316" s="271">
        <f t="shared" si="149"/>
        <v>0.41935483870967744</v>
      </c>
      <c r="BD316">
        <f t="shared" si="152"/>
        <v>2030</v>
      </c>
      <c r="BE316" s="306">
        <f t="shared" si="157"/>
        <v>47696</v>
      </c>
      <c r="BF316" s="114">
        <f t="shared" si="150"/>
        <v>11.775513866231645</v>
      </c>
      <c r="BG316" s="115">
        <v>11.775513866231645</v>
      </c>
      <c r="BI316">
        <f t="shared" si="143"/>
        <v>2029</v>
      </c>
      <c r="BJ316" s="306">
        <v>47299</v>
      </c>
      <c r="BK316">
        <f t="shared" si="144"/>
        <v>7.37</v>
      </c>
      <c r="BL316">
        <v>7.46</v>
      </c>
      <c r="BM316">
        <v>7.28</v>
      </c>
      <c r="BO316">
        <f t="shared" si="145"/>
        <v>2033</v>
      </c>
      <c r="BP316" s="286">
        <v>48700</v>
      </c>
      <c r="BQ316">
        <f t="shared" si="146"/>
        <v>13.66</v>
      </c>
      <c r="BR316">
        <v>13.8</v>
      </c>
      <c r="BS316">
        <v>13.52</v>
      </c>
      <c r="BT316">
        <f t="shared" si="153"/>
        <v>2039</v>
      </c>
      <c r="BU316" s="286">
        <v>51075</v>
      </c>
      <c r="BV316">
        <f t="shared" si="158"/>
        <v>6.9856499999999997</v>
      </c>
      <c r="BW316" s="580">
        <v>6.9160000000000004</v>
      </c>
      <c r="BX316" s="580">
        <v>7.0552999999999999</v>
      </c>
      <c r="BZ316" s="286"/>
      <c r="CB316" s="580"/>
      <c r="CC316" s="580"/>
      <c r="CD316" s="364">
        <f t="shared" si="155"/>
        <v>2043</v>
      </c>
      <c r="CE316" s="381">
        <v>52566</v>
      </c>
      <c r="CF316" s="364">
        <f t="shared" si="140"/>
        <v>7.2157999999999998</v>
      </c>
      <c r="CG316" s="411">
        <v>7.1489000000000003</v>
      </c>
      <c r="CH316" s="411">
        <v>7.2827000000000002</v>
      </c>
      <c r="CI316" s="364">
        <f t="shared" si="156"/>
        <v>2045</v>
      </c>
      <c r="CJ316" s="381">
        <v>53297</v>
      </c>
      <c r="CK316" s="364">
        <f t="shared" si="141"/>
        <v>9.7714499999999997</v>
      </c>
      <c r="CL316" s="411">
        <v>9.9785000000000004</v>
      </c>
      <c r="CM316" s="411">
        <v>9.5643999999999991</v>
      </c>
    </row>
    <row r="317" spans="44:91">
      <c r="AR317">
        <f t="shared" si="147"/>
        <v>2030</v>
      </c>
      <c r="AS317" s="307">
        <f t="shared" si="159"/>
        <v>47727</v>
      </c>
      <c r="AT317" s="115">
        <v>93.41</v>
      </c>
      <c r="AU317" s="115">
        <v>87.6</v>
      </c>
      <c r="AV317" s="287">
        <f t="shared" si="151"/>
        <v>90.911699999999996</v>
      </c>
      <c r="AW317" s="271">
        <v>384</v>
      </c>
      <c r="AX317" s="271">
        <v>336</v>
      </c>
      <c r="AY317" s="271">
        <f t="shared" si="148"/>
        <v>0.53333333333333333</v>
      </c>
      <c r="AZ317" s="271">
        <f t="shared" si="149"/>
        <v>0.46666666666666667</v>
      </c>
      <c r="BD317">
        <f t="shared" si="152"/>
        <v>2030</v>
      </c>
      <c r="BE317" s="306">
        <f t="shared" si="157"/>
        <v>47727</v>
      </c>
      <c r="BF317" s="114">
        <f t="shared" si="150"/>
        <v>11.775513866231645</v>
      </c>
      <c r="BG317" s="115">
        <v>11.775513866231645</v>
      </c>
      <c r="BI317">
        <f t="shared" si="143"/>
        <v>2029</v>
      </c>
      <c r="BJ317" s="306">
        <v>47330</v>
      </c>
      <c r="BK317">
        <f t="shared" si="144"/>
        <v>7.48</v>
      </c>
      <c r="BL317">
        <v>7.57</v>
      </c>
      <c r="BM317">
        <v>7.39</v>
      </c>
      <c r="BO317">
        <f t="shared" si="145"/>
        <v>2033</v>
      </c>
      <c r="BP317" s="286">
        <v>48731</v>
      </c>
      <c r="BQ317">
        <f t="shared" si="146"/>
        <v>13.865</v>
      </c>
      <c r="BR317">
        <v>14</v>
      </c>
      <c r="BS317">
        <v>13.73</v>
      </c>
      <c r="BT317">
        <f t="shared" si="153"/>
        <v>2039</v>
      </c>
      <c r="BU317" s="286">
        <v>51105</v>
      </c>
      <c r="BV317">
        <f t="shared" si="158"/>
        <v>7.3166500000000001</v>
      </c>
      <c r="BW317" s="580">
        <v>7.2121000000000004</v>
      </c>
      <c r="BX317" s="580">
        <v>7.4211999999999998</v>
      </c>
      <c r="BZ317" s="286"/>
      <c r="CB317" s="580"/>
      <c r="CC317" s="580"/>
      <c r="CD317" s="364">
        <f t="shared" si="155"/>
        <v>2044</v>
      </c>
      <c r="CE317" s="381">
        <v>52597</v>
      </c>
      <c r="CF317" s="364">
        <f t="shared" si="140"/>
        <v>7.0856499999999993</v>
      </c>
      <c r="CG317" s="411">
        <v>7.1247999999999996</v>
      </c>
      <c r="CH317" s="411">
        <v>7.0465</v>
      </c>
      <c r="CI317" s="364">
        <f t="shared" si="156"/>
        <v>2046</v>
      </c>
      <c r="CJ317" s="381">
        <v>53328</v>
      </c>
      <c r="CK317" s="364">
        <f t="shared" si="141"/>
        <v>10.8873</v>
      </c>
      <c r="CL317" s="411">
        <v>11.060499999999999</v>
      </c>
      <c r="CM317" s="411">
        <v>10.7141</v>
      </c>
    </row>
    <row r="318" spans="44:91">
      <c r="AR318">
        <f t="shared" si="147"/>
        <v>2030</v>
      </c>
      <c r="AS318" s="307">
        <f t="shared" si="159"/>
        <v>47757</v>
      </c>
      <c r="AT318" s="115">
        <v>92.7</v>
      </c>
      <c r="AU318" s="115">
        <v>80.930000000000007</v>
      </c>
      <c r="AV318" s="287">
        <f t="shared" si="151"/>
        <v>87.638900000000007</v>
      </c>
      <c r="AW318" s="271">
        <v>432</v>
      </c>
      <c r="AX318" s="271">
        <v>312</v>
      </c>
      <c r="AY318" s="271">
        <f t="shared" si="148"/>
        <v>0.58064516129032262</v>
      </c>
      <c r="AZ318" s="271">
        <f t="shared" si="149"/>
        <v>0.41935483870967744</v>
      </c>
      <c r="BD318">
        <f t="shared" si="152"/>
        <v>2030</v>
      </c>
      <c r="BE318" s="306">
        <f t="shared" si="157"/>
        <v>47757</v>
      </c>
      <c r="BF318" s="114">
        <f t="shared" si="150"/>
        <v>12.190141381185427</v>
      </c>
      <c r="BG318" s="115">
        <v>12.190141381185427</v>
      </c>
      <c r="BI318">
        <f t="shared" si="143"/>
        <v>2029</v>
      </c>
      <c r="BJ318" s="306">
        <v>47361</v>
      </c>
      <c r="BK318">
        <f t="shared" si="144"/>
        <v>7.48</v>
      </c>
      <c r="BL318">
        <v>7.57</v>
      </c>
      <c r="BM318">
        <v>7.39</v>
      </c>
      <c r="BO318">
        <f t="shared" si="145"/>
        <v>2033</v>
      </c>
      <c r="BP318" s="286">
        <v>48761</v>
      </c>
      <c r="BQ318">
        <f t="shared" si="146"/>
        <v>14.08</v>
      </c>
      <c r="BR318">
        <v>14.21</v>
      </c>
      <c r="BS318">
        <v>13.95</v>
      </c>
      <c r="BT318">
        <f t="shared" si="153"/>
        <v>2040</v>
      </c>
      <c r="BU318" s="286">
        <v>51136</v>
      </c>
      <c r="BV318">
        <f t="shared" si="158"/>
        <v>7.4493</v>
      </c>
      <c r="BW318" s="580">
        <v>7.4671000000000003</v>
      </c>
      <c r="BX318" s="580">
        <v>7.4314999999999998</v>
      </c>
      <c r="BZ318" s="286"/>
      <c r="CB318" s="580"/>
      <c r="CC318" s="580"/>
      <c r="CD318" s="364">
        <f t="shared" si="155"/>
        <v>2044</v>
      </c>
      <c r="CE318" s="381">
        <v>52628</v>
      </c>
      <c r="CF318" s="364">
        <f t="shared" si="140"/>
        <v>6.7332999999999998</v>
      </c>
      <c r="CG318" s="411">
        <v>6.7919999999999998</v>
      </c>
      <c r="CH318" s="411">
        <v>6.6745999999999999</v>
      </c>
      <c r="CI318" s="364">
        <f t="shared" si="156"/>
        <v>2046</v>
      </c>
      <c r="CJ318" s="381">
        <v>53359</v>
      </c>
      <c r="CK318" s="364">
        <f t="shared" si="141"/>
        <v>10.497800000000002</v>
      </c>
      <c r="CL318" s="411">
        <v>10.755000000000001</v>
      </c>
      <c r="CM318" s="411">
        <v>10.240600000000001</v>
      </c>
    </row>
    <row r="319" spans="44:91">
      <c r="AR319">
        <f t="shared" si="147"/>
        <v>2030</v>
      </c>
      <c r="AS319" s="307">
        <f t="shared" si="159"/>
        <v>47788</v>
      </c>
      <c r="AT319" s="115">
        <v>104.7</v>
      </c>
      <c r="AU319" s="115">
        <v>91.81</v>
      </c>
      <c r="AV319" s="287">
        <f t="shared" si="151"/>
        <v>99.157299999999992</v>
      </c>
      <c r="AW319" s="271">
        <v>400</v>
      </c>
      <c r="AX319" s="271">
        <v>320</v>
      </c>
      <c r="AY319" s="271">
        <f t="shared" si="148"/>
        <v>0.55555555555555558</v>
      </c>
      <c r="AZ319" s="271">
        <f t="shared" si="149"/>
        <v>0.44444444444444442</v>
      </c>
      <c r="BD319">
        <f t="shared" si="152"/>
        <v>2030</v>
      </c>
      <c r="BE319" s="306">
        <f t="shared" si="157"/>
        <v>47788</v>
      </c>
      <c r="BF319" s="114">
        <f t="shared" si="150"/>
        <v>12.366867862969004</v>
      </c>
      <c r="BG319" s="115">
        <v>12.366867862969004</v>
      </c>
      <c r="BI319">
        <f t="shared" si="143"/>
        <v>2029</v>
      </c>
      <c r="BJ319" s="306">
        <v>47391</v>
      </c>
      <c r="BK319">
        <f t="shared" si="144"/>
        <v>7.48</v>
      </c>
      <c r="BL319">
        <v>7.57</v>
      </c>
      <c r="BM319">
        <v>7.39</v>
      </c>
      <c r="BO319">
        <f t="shared" si="145"/>
        <v>2033</v>
      </c>
      <c r="BP319" s="286">
        <v>48792</v>
      </c>
      <c r="BQ319">
        <f t="shared" si="146"/>
        <v>14.08</v>
      </c>
      <c r="BR319">
        <v>14.21</v>
      </c>
      <c r="BS319">
        <v>13.95</v>
      </c>
      <c r="BT319">
        <f t="shared" si="153"/>
        <v>2040</v>
      </c>
      <c r="BU319" s="286">
        <v>51167</v>
      </c>
      <c r="BV319">
        <f t="shared" si="158"/>
        <v>7.6631499999999999</v>
      </c>
      <c r="BW319" s="580">
        <v>7.5384000000000002</v>
      </c>
      <c r="BX319" s="580">
        <v>7.7878999999999996</v>
      </c>
      <c r="BZ319" s="286"/>
      <c r="CB319" s="580"/>
      <c r="CC319" s="580"/>
      <c r="CD319" s="364">
        <f t="shared" si="155"/>
        <v>2044</v>
      </c>
      <c r="CE319" s="381">
        <v>52657</v>
      </c>
      <c r="CF319" s="364">
        <f t="shared" si="140"/>
        <v>6.2830999999999992</v>
      </c>
      <c r="CG319" s="411">
        <v>6.4200999999999997</v>
      </c>
      <c r="CH319" s="411">
        <v>6.1460999999999997</v>
      </c>
      <c r="CI319" s="364">
        <f t="shared" si="156"/>
        <v>2046</v>
      </c>
      <c r="CJ319" s="381">
        <v>53387</v>
      </c>
      <c r="CK319" s="364">
        <f t="shared" si="141"/>
        <v>9.90015</v>
      </c>
      <c r="CL319" s="411">
        <v>10.1732</v>
      </c>
      <c r="CM319" s="411">
        <v>9.6271000000000004</v>
      </c>
    </row>
    <row r="320" spans="44:91">
      <c r="AR320">
        <f t="shared" si="147"/>
        <v>2030</v>
      </c>
      <c r="AS320" s="307">
        <f t="shared" si="159"/>
        <v>47818</v>
      </c>
      <c r="AT320" s="115">
        <v>109.6</v>
      </c>
      <c r="AU320" s="115">
        <v>100.51</v>
      </c>
      <c r="AV320" s="287">
        <f t="shared" si="151"/>
        <v>105.6913</v>
      </c>
      <c r="AW320" s="271">
        <v>400</v>
      </c>
      <c r="AX320" s="271">
        <v>344</v>
      </c>
      <c r="AY320" s="271">
        <f t="shared" si="148"/>
        <v>0.5376344086021505</v>
      </c>
      <c r="AZ320" s="271">
        <f t="shared" si="149"/>
        <v>0.46236559139784944</v>
      </c>
      <c r="BD320">
        <f t="shared" si="152"/>
        <v>2030</v>
      </c>
      <c r="BE320" s="306">
        <f t="shared" si="157"/>
        <v>47818</v>
      </c>
      <c r="BF320" s="114">
        <f t="shared" si="150"/>
        <v>12.961620445894505</v>
      </c>
      <c r="BG320" s="115">
        <v>12.961620445894505</v>
      </c>
      <c r="BI320">
        <f t="shared" si="143"/>
        <v>2029</v>
      </c>
      <c r="BJ320" s="306">
        <v>47422</v>
      </c>
      <c r="BK320">
        <f t="shared" si="144"/>
        <v>7.7650000000000006</v>
      </c>
      <c r="BL320">
        <v>7.8</v>
      </c>
      <c r="BM320">
        <v>7.73</v>
      </c>
      <c r="BO320">
        <f t="shared" si="145"/>
        <v>2033</v>
      </c>
      <c r="BP320" s="286">
        <v>48823</v>
      </c>
      <c r="BQ320">
        <f t="shared" si="146"/>
        <v>14.08</v>
      </c>
      <c r="BR320">
        <v>14.21</v>
      </c>
      <c r="BS320">
        <v>13.95</v>
      </c>
      <c r="BT320">
        <f t="shared" si="153"/>
        <v>2040</v>
      </c>
      <c r="BU320" s="286">
        <v>51196</v>
      </c>
      <c r="BV320">
        <f t="shared" si="158"/>
        <v>7.1730499999999999</v>
      </c>
      <c r="BW320" s="580">
        <v>7.1106999999999996</v>
      </c>
      <c r="BX320" s="580">
        <v>7.2354000000000003</v>
      </c>
      <c r="BZ320" s="286"/>
      <c r="CB320" s="580"/>
      <c r="CC320" s="580"/>
      <c r="CD320" s="364"/>
      <c r="CE320" s="381"/>
      <c r="CG320" s="411"/>
      <c r="CH320" s="411"/>
      <c r="CI320" s="364">
        <f t="shared" si="156"/>
        <v>2046</v>
      </c>
      <c r="CJ320" s="381">
        <v>53418</v>
      </c>
      <c r="CK320" s="364">
        <f t="shared" si="141"/>
        <v>9.3902999999999999</v>
      </c>
      <c r="CL320" s="411">
        <v>9.7338000000000005</v>
      </c>
      <c r="CM320" s="411">
        <v>9.0467999999999993</v>
      </c>
    </row>
    <row r="321" spans="44:91">
      <c r="AR321">
        <f t="shared" si="147"/>
        <v>2031</v>
      </c>
      <c r="AS321" s="307">
        <f t="shared" si="159"/>
        <v>47849</v>
      </c>
      <c r="AT321" s="115">
        <v>114.83</v>
      </c>
      <c r="AU321" s="115">
        <v>103.64</v>
      </c>
      <c r="AV321" s="287">
        <f t="shared" si="151"/>
        <v>110.01829999999998</v>
      </c>
      <c r="AW321" s="271">
        <v>416</v>
      </c>
      <c r="AX321" s="271">
        <v>328</v>
      </c>
      <c r="AY321" s="271">
        <f t="shared" si="148"/>
        <v>0.55913978494623651</v>
      </c>
      <c r="AZ321" s="271">
        <f t="shared" si="149"/>
        <v>0.44086021505376344</v>
      </c>
      <c r="BD321">
        <f t="shared" si="152"/>
        <v>2031</v>
      </c>
      <c r="BE321" s="306">
        <f t="shared" si="157"/>
        <v>47849</v>
      </c>
      <c r="BF321" s="114">
        <f t="shared" si="150"/>
        <v>14.069559543230017</v>
      </c>
      <c r="BG321" s="115">
        <v>14.069559543230017</v>
      </c>
      <c r="BI321">
        <f t="shared" si="143"/>
        <v>2029</v>
      </c>
      <c r="BJ321" s="306">
        <v>47452</v>
      </c>
      <c r="BK321">
        <f t="shared" si="144"/>
        <v>7.88</v>
      </c>
      <c r="BL321">
        <v>7.91</v>
      </c>
      <c r="BM321">
        <v>7.85</v>
      </c>
      <c r="BO321">
        <f t="shared" si="145"/>
        <v>2033</v>
      </c>
      <c r="BP321" s="286">
        <v>48853</v>
      </c>
      <c r="BQ321">
        <f t="shared" si="146"/>
        <v>14.61</v>
      </c>
      <c r="BR321">
        <v>14.63</v>
      </c>
      <c r="BS321">
        <v>14.59</v>
      </c>
      <c r="BT321">
        <f t="shared" si="153"/>
        <v>2040</v>
      </c>
      <c r="BU321" s="286">
        <v>51227</v>
      </c>
      <c r="BV321">
        <f t="shared" si="158"/>
        <v>6.7720500000000001</v>
      </c>
      <c r="BW321" s="580">
        <v>6.7363999999999997</v>
      </c>
      <c r="BX321" s="580">
        <v>6.8076999999999996</v>
      </c>
      <c r="BZ321" s="286"/>
      <c r="CB321" s="580"/>
      <c r="CC321" s="580"/>
      <c r="CD321" s="364"/>
      <c r="CE321" s="381"/>
      <c r="CG321" s="411"/>
      <c r="CH321" s="411"/>
      <c r="CI321" s="364">
        <f t="shared" si="156"/>
        <v>2046</v>
      </c>
      <c r="CJ321" s="381">
        <v>53448</v>
      </c>
      <c r="CK321" s="364">
        <f t="shared" si="141"/>
        <v>9.3931000000000004</v>
      </c>
      <c r="CL321" s="411">
        <v>9.7909000000000006</v>
      </c>
      <c r="CM321" s="411">
        <v>8.9953000000000003</v>
      </c>
    </row>
    <row r="322" spans="44:91">
      <c r="AR322">
        <f t="shared" si="147"/>
        <v>2031</v>
      </c>
      <c r="AS322" s="307">
        <f t="shared" si="159"/>
        <v>47880</v>
      </c>
      <c r="AT322" s="115">
        <v>108.08</v>
      </c>
      <c r="AU322" s="115">
        <v>94</v>
      </c>
      <c r="AV322" s="287">
        <f t="shared" si="151"/>
        <v>102.0256</v>
      </c>
      <c r="AW322" s="271">
        <v>384</v>
      </c>
      <c r="AX322" s="271">
        <v>288</v>
      </c>
      <c r="AY322" s="271">
        <f t="shared" si="148"/>
        <v>0.5714285714285714</v>
      </c>
      <c r="AZ322" s="271">
        <f t="shared" si="149"/>
        <v>0.42857142857142855</v>
      </c>
      <c r="BD322">
        <f t="shared" si="152"/>
        <v>2031</v>
      </c>
      <c r="BE322" s="306">
        <f t="shared" si="157"/>
        <v>47880</v>
      </c>
      <c r="BF322" s="114">
        <f t="shared" si="150"/>
        <v>13.216514410005436</v>
      </c>
      <c r="BG322" s="115">
        <v>13.216514410005436</v>
      </c>
      <c r="BI322">
        <f t="shared" si="143"/>
        <v>2029</v>
      </c>
      <c r="BJ322" s="306">
        <v>47483</v>
      </c>
      <c r="BK322">
        <f t="shared" si="144"/>
        <v>8.27</v>
      </c>
      <c r="BL322">
        <v>8.24</v>
      </c>
      <c r="BM322">
        <v>8.3000000000000007</v>
      </c>
      <c r="BO322">
        <f t="shared" si="145"/>
        <v>2033</v>
      </c>
      <c r="BP322" s="286">
        <v>48884</v>
      </c>
      <c r="BQ322">
        <f t="shared" si="146"/>
        <v>14.824999999999999</v>
      </c>
      <c r="BR322">
        <v>14.84</v>
      </c>
      <c r="BS322">
        <v>14.81</v>
      </c>
      <c r="BT322">
        <f t="shared" si="153"/>
        <v>2040</v>
      </c>
      <c r="BU322" s="286">
        <v>51257</v>
      </c>
      <c r="BV322">
        <f t="shared" si="158"/>
        <v>6.7275</v>
      </c>
      <c r="BW322" s="580">
        <v>6.7186000000000003</v>
      </c>
      <c r="BX322" s="580">
        <v>6.7363999999999997</v>
      </c>
      <c r="BZ322" s="286"/>
      <c r="CB322" s="580"/>
      <c r="CC322" s="580"/>
      <c r="CD322" s="364"/>
      <c r="CE322" s="381"/>
      <c r="CG322" s="411"/>
      <c r="CH322" s="411"/>
      <c r="CI322" s="364">
        <f t="shared" si="156"/>
        <v>2046</v>
      </c>
      <c r="CJ322" s="381">
        <v>53479</v>
      </c>
      <c r="CK322" s="364">
        <f t="shared" si="141"/>
        <v>9.4618000000000002</v>
      </c>
      <c r="CL322" s="411">
        <v>10.013999999999999</v>
      </c>
      <c r="CM322" s="411">
        <v>8.9095999999999993</v>
      </c>
    </row>
    <row r="323" spans="44:91">
      <c r="AR323">
        <f t="shared" si="147"/>
        <v>2031</v>
      </c>
      <c r="AS323" s="307">
        <f t="shared" si="159"/>
        <v>47908</v>
      </c>
      <c r="AT323" s="115">
        <v>91.6</v>
      </c>
      <c r="AU323" s="115">
        <v>81.91</v>
      </c>
      <c r="AV323" s="287">
        <f t="shared" si="151"/>
        <v>87.433299999999988</v>
      </c>
      <c r="AW323" s="271">
        <v>416</v>
      </c>
      <c r="AX323" s="271">
        <v>328</v>
      </c>
      <c r="AY323" s="271">
        <f t="shared" si="148"/>
        <v>0.55913978494623651</v>
      </c>
      <c r="AZ323" s="271">
        <f t="shared" si="149"/>
        <v>0.44086021505376344</v>
      </c>
      <c r="BD323">
        <f t="shared" si="152"/>
        <v>2031</v>
      </c>
      <c r="BE323" s="306">
        <f t="shared" si="157"/>
        <v>47908</v>
      </c>
      <c r="BF323" s="114">
        <f t="shared" si="150"/>
        <v>12.431441000543773</v>
      </c>
      <c r="BG323" s="115">
        <v>12.431441000543773</v>
      </c>
      <c r="BI323">
        <f t="shared" si="143"/>
        <v>2030</v>
      </c>
      <c r="BJ323" s="306">
        <v>47514</v>
      </c>
      <c r="BK323">
        <f t="shared" si="144"/>
        <v>9.2050000000000001</v>
      </c>
      <c r="BL323">
        <v>9.11</v>
      </c>
      <c r="BM323">
        <v>9.3000000000000007</v>
      </c>
      <c r="BO323">
        <f t="shared" si="145"/>
        <v>2033</v>
      </c>
      <c r="BP323" s="286">
        <v>48914</v>
      </c>
      <c r="BQ323">
        <f t="shared" si="146"/>
        <v>15.565000000000001</v>
      </c>
      <c r="BR323">
        <v>15.47</v>
      </c>
      <c r="BS323">
        <v>15.66</v>
      </c>
      <c r="BT323">
        <f t="shared" si="153"/>
        <v>2040</v>
      </c>
      <c r="BU323" s="286">
        <v>51288</v>
      </c>
      <c r="BV323">
        <f t="shared" si="158"/>
        <v>6.6473499999999994</v>
      </c>
      <c r="BW323" s="580">
        <v>6.6829999999999998</v>
      </c>
      <c r="BX323" s="580">
        <v>6.6116999999999999</v>
      </c>
      <c r="BZ323" s="286"/>
      <c r="CB323" s="580"/>
      <c r="CC323" s="580"/>
      <c r="CD323" s="364"/>
      <c r="CE323" s="381"/>
      <c r="CG323" s="411"/>
      <c r="CH323" s="411"/>
      <c r="CI323" s="364">
        <f t="shared" si="156"/>
        <v>2046</v>
      </c>
      <c r="CJ323" s="381">
        <v>53509</v>
      </c>
      <c r="CK323" s="364">
        <f t="shared" si="141"/>
        <v>9.7083499999999994</v>
      </c>
      <c r="CL323" s="411">
        <v>10.407400000000001</v>
      </c>
      <c r="CM323" s="411">
        <v>9.0092999999999996</v>
      </c>
    </row>
    <row r="324" spans="44:91">
      <c r="AR324">
        <f t="shared" si="147"/>
        <v>2031</v>
      </c>
      <c r="AS324" s="307">
        <f t="shared" si="159"/>
        <v>47939</v>
      </c>
      <c r="AT324" s="115">
        <v>91.11</v>
      </c>
      <c r="AU324" s="115">
        <v>86.8</v>
      </c>
      <c r="AV324" s="287">
        <f t="shared" si="151"/>
        <v>89.256699999999995</v>
      </c>
      <c r="AW324" s="271">
        <v>416</v>
      </c>
      <c r="AX324" s="271">
        <v>304</v>
      </c>
      <c r="AY324" s="271">
        <f t="shared" si="148"/>
        <v>0.57777777777777772</v>
      </c>
      <c r="AZ324" s="271">
        <f t="shared" si="149"/>
        <v>0.42222222222222222</v>
      </c>
      <c r="BD324">
        <f t="shared" si="152"/>
        <v>2031</v>
      </c>
      <c r="BE324" s="306">
        <f t="shared" si="157"/>
        <v>47939</v>
      </c>
      <c r="BF324" s="114">
        <f t="shared" si="150"/>
        <v>11.765318107667209</v>
      </c>
      <c r="BG324" s="115">
        <v>11.765318107667209</v>
      </c>
      <c r="BI324">
        <f t="shared" si="143"/>
        <v>2030</v>
      </c>
      <c r="BJ324" s="306">
        <v>47542</v>
      </c>
      <c r="BK324">
        <f t="shared" si="144"/>
        <v>8.5599999999999987</v>
      </c>
      <c r="BL324">
        <v>8.5299999999999994</v>
      </c>
      <c r="BM324">
        <v>8.59</v>
      </c>
      <c r="BO324">
        <f t="shared" si="145"/>
        <v>2034</v>
      </c>
      <c r="BP324" s="286">
        <v>48945</v>
      </c>
      <c r="BQ324">
        <f t="shared" si="146"/>
        <v>17.035</v>
      </c>
      <c r="BR324">
        <v>16.809999999999999</v>
      </c>
      <c r="BS324">
        <v>17.260000000000002</v>
      </c>
      <c r="BT324">
        <f t="shared" si="153"/>
        <v>2040</v>
      </c>
      <c r="BU324" s="286">
        <v>51318</v>
      </c>
      <c r="BV324">
        <f t="shared" si="158"/>
        <v>6.7275499999999999</v>
      </c>
      <c r="BW324" s="580">
        <v>6.7721</v>
      </c>
      <c r="BX324" s="580">
        <v>6.6829999999999998</v>
      </c>
      <c r="BZ324" s="286"/>
      <c r="CB324" s="580"/>
      <c r="CC324" s="580"/>
      <c r="CD324" s="364"/>
      <c r="CE324" s="381"/>
      <c r="CG324" s="411"/>
      <c r="CH324" s="411"/>
      <c r="CI324" s="364">
        <f t="shared" si="156"/>
        <v>2046</v>
      </c>
      <c r="CJ324" s="381">
        <v>53540</v>
      </c>
      <c r="CK324" s="364">
        <f t="shared" si="141"/>
        <v>9.9181999999999988</v>
      </c>
      <c r="CL324" s="411">
        <v>10.469799999999999</v>
      </c>
      <c r="CM324" s="411">
        <v>9.3666</v>
      </c>
    </row>
    <row r="325" spans="44:91">
      <c r="AR325">
        <f t="shared" si="147"/>
        <v>2031</v>
      </c>
      <c r="AS325" s="307">
        <f t="shared" si="159"/>
        <v>47969</v>
      </c>
      <c r="AT325" s="115">
        <v>92.78</v>
      </c>
      <c r="AU325" s="115">
        <v>87.27</v>
      </c>
      <c r="AV325" s="287">
        <f t="shared" si="151"/>
        <v>90.410699999999991</v>
      </c>
      <c r="AW325" s="271">
        <v>416</v>
      </c>
      <c r="AX325" s="271">
        <v>328</v>
      </c>
      <c r="AY325" s="271">
        <f t="shared" si="148"/>
        <v>0.55913978494623651</v>
      </c>
      <c r="AZ325" s="271">
        <f t="shared" si="149"/>
        <v>0.44086021505376344</v>
      </c>
      <c r="BD325">
        <f t="shared" si="152"/>
        <v>2031</v>
      </c>
      <c r="BE325" s="306">
        <f t="shared" si="157"/>
        <v>47969</v>
      </c>
      <c r="BF325" s="114">
        <f t="shared" si="150"/>
        <v>11.646367591082109</v>
      </c>
      <c r="BG325" s="115">
        <v>11.646367591082109</v>
      </c>
      <c r="BI325">
        <f t="shared" si="143"/>
        <v>2030</v>
      </c>
      <c r="BJ325" s="306">
        <v>47573</v>
      </c>
      <c r="BK325">
        <f t="shared" si="144"/>
        <v>8.0350000000000001</v>
      </c>
      <c r="BL325">
        <v>8.07</v>
      </c>
      <c r="BM325">
        <v>8</v>
      </c>
      <c r="BO325">
        <f t="shared" si="145"/>
        <v>2034</v>
      </c>
      <c r="BP325" s="286">
        <v>48976</v>
      </c>
      <c r="BQ325">
        <f t="shared" si="146"/>
        <v>15.85</v>
      </c>
      <c r="BR325">
        <v>15.75</v>
      </c>
      <c r="BS325">
        <v>15.95</v>
      </c>
      <c r="BT325">
        <f t="shared" si="153"/>
        <v>2040</v>
      </c>
      <c r="BU325" s="286">
        <v>51349</v>
      </c>
      <c r="BV325">
        <f t="shared" si="158"/>
        <v>6.9413499999999999</v>
      </c>
      <c r="BW325" s="580">
        <v>6.9146000000000001</v>
      </c>
      <c r="BX325" s="580">
        <v>6.9680999999999997</v>
      </c>
      <c r="BZ325" s="286"/>
      <c r="CB325" s="580"/>
      <c r="CC325" s="580"/>
      <c r="CD325" s="364"/>
      <c r="CE325" s="381"/>
      <c r="CG325" s="411"/>
      <c r="CH325" s="411"/>
      <c r="CI325" s="364">
        <f t="shared" si="156"/>
        <v>2046</v>
      </c>
      <c r="CJ325" s="381">
        <v>53571</v>
      </c>
      <c r="CK325" s="364">
        <f t="shared" si="141"/>
        <v>10.01905</v>
      </c>
      <c r="CL325" s="411">
        <v>10.5185</v>
      </c>
      <c r="CM325" s="411">
        <v>9.5196000000000005</v>
      </c>
    </row>
    <row r="326" spans="44:91">
      <c r="AR326">
        <f t="shared" si="147"/>
        <v>2031</v>
      </c>
      <c r="AS326" s="307">
        <f t="shared" si="159"/>
        <v>48000</v>
      </c>
      <c r="AT326" s="115">
        <v>100.43</v>
      </c>
      <c r="AU326" s="115">
        <v>89.63</v>
      </c>
      <c r="AV326" s="287">
        <f t="shared" si="151"/>
        <v>95.786000000000001</v>
      </c>
      <c r="AW326" s="271">
        <v>400</v>
      </c>
      <c r="AX326" s="271">
        <v>320</v>
      </c>
      <c r="AY326" s="271">
        <f t="shared" si="148"/>
        <v>0.55555555555555558</v>
      </c>
      <c r="AZ326" s="271">
        <f t="shared" si="149"/>
        <v>0.44444444444444442</v>
      </c>
      <c r="BD326">
        <f t="shared" si="152"/>
        <v>2031</v>
      </c>
      <c r="BE326" s="306">
        <f t="shared" si="157"/>
        <v>48000</v>
      </c>
      <c r="BF326" s="114">
        <f t="shared" si="150"/>
        <v>11.826492659053834</v>
      </c>
      <c r="BG326" s="115">
        <v>11.826492659053834</v>
      </c>
      <c r="BI326">
        <f t="shared" si="143"/>
        <v>2030</v>
      </c>
      <c r="BJ326" s="306">
        <v>47603</v>
      </c>
      <c r="BK326">
        <f t="shared" si="144"/>
        <v>7.51</v>
      </c>
      <c r="BL326">
        <v>7.61</v>
      </c>
      <c r="BM326">
        <v>7.41</v>
      </c>
      <c r="BO326">
        <f t="shared" si="145"/>
        <v>2034</v>
      </c>
      <c r="BP326" s="286">
        <v>49004</v>
      </c>
      <c r="BQ326">
        <f t="shared" si="146"/>
        <v>14.875</v>
      </c>
      <c r="BR326">
        <v>14.9</v>
      </c>
      <c r="BS326">
        <v>14.85</v>
      </c>
      <c r="BT326">
        <f t="shared" si="153"/>
        <v>2040</v>
      </c>
      <c r="BU326" s="286">
        <v>51380</v>
      </c>
      <c r="BV326">
        <f t="shared" si="158"/>
        <v>6.7721</v>
      </c>
      <c r="BW326" s="580">
        <v>6.7542999999999997</v>
      </c>
      <c r="BX326" s="580">
        <v>6.7899000000000003</v>
      </c>
      <c r="BZ326" s="286"/>
      <c r="CB326" s="580"/>
      <c r="CC326" s="580"/>
      <c r="CD326" s="364"/>
      <c r="CE326" s="381"/>
      <c r="CG326" s="411"/>
      <c r="CH326" s="411"/>
      <c r="CI326" s="364">
        <f t="shared" si="156"/>
        <v>2046</v>
      </c>
      <c r="CJ326" s="381">
        <v>53601</v>
      </c>
      <c r="CK326" s="364">
        <f t="shared" si="141"/>
        <v>10.122150000000001</v>
      </c>
      <c r="CL326" s="411">
        <v>10.5655</v>
      </c>
      <c r="CM326" s="411">
        <v>9.6788000000000007</v>
      </c>
    </row>
    <row r="327" spans="44:91">
      <c r="AR327">
        <f t="shared" si="147"/>
        <v>2031</v>
      </c>
      <c r="AS327" s="307">
        <f t="shared" si="159"/>
        <v>48030</v>
      </c>
      <c r="AT327" s="115">
        <v>95.65</v>
      </c>
      <c r="AU327" s="115">
        <v>91.68</v>
      </c>
      <c r="AV327" s="287">
        <f t="shared" si="151"/>
        <v>93.942900000000009</v>
      </c>
      <c r="AW327" s="271">
        <v>416</v>
      </c>
      <c r="AX327" s="271">
        <v>328</v>
      </c>
      <c r="AY327" s="271">
        <f t="shared" si="148"/>
        <v>0.55913978494623651</v>
      </c>
      <c r="AZ327" s="271">
        <f t="shared" si="149"/>
        <v>0.44086021505376344</v>
      </c>
      <c r="BD327">
        <f t="shared" si="152"/>
        <v>2031</v>
      </c>
      <c r="BE327" s="306">
        <f t="shared" si="157"/>
        <v>48030</v>
      </c>
      <c r="BF327" s="114">
        <f t="shared" si="150"/>
        <v>12.006617727025555</v>
      </c>
      <c r="BG327" s="115">
        <v>12.006617727025555</v>
      </c>
      <c r="BI327">
        <f t="shared" si="143"/>
        <v>2030</v>
      </c>
      <c r="BJ327" s="306">
        <v>47634</v>
      </c>
      <c r="BK327">
        <f t="shared" si="144"/>
        <v>7.51</v>
      </c>
      <c r="BL327">
        <v>7.61</v>
      </c>
      <c r="BM327">
        <v>7.41</v>
      </c>
      <c r="BO327">
        <f t="shared" si="145"/>
        <v>2034</v>
      </c>
      <c r="BP327" s="286">
        <v>49035</v>
      </c>
      <c r="BQ327">
        <f t="shared" si="146"/>
        <v>13.899999999999999</v>
      </c>
      <c r="BR327">
        <v>14.04</v>
      </c>
      <c r="BS327">
        <v>13.76</v>
      </c>
      <c r="BT327">
        <f t="shared" si="153"/>
        <v>2040</v>
      </c>
      <c r="BU327" s="286">
        <v>51410</v>
      </c>
      <c r="BV327">
        <f t="shared" si="158"/>
        <v>7.0393999999999997</v>
      </c>
      <c r="BW327" s="580">
        <v>6.9680999999999997</v>
      </c>
      <c r="BX327" s="580">
        <v>7.1106999999999996</v>
      </c>
      <c r="BZ327" s="286"/>
      <c r="CB327" s="580"/>
      <c r="CC327" s="580"/>
      <c r="CD327" s="364"/>
      <c r="CE327" s="381"/>
      <c r="CG327" s="411"/>
      <c r="CH327" s="411"/>
      <c r="CI327" s="364">
        <f t="shared" si="156"/>
        <v>2046</v>
      </c>
      <c r="CJ327" s="381">
        <v>53632</v>
      </c>
      <c r="CK327" s="364">
        <f t="shared" si="141"/>
        <v>10.780650000000001</v>
      </c>
      <c r="CL327" s="411">
        <v>11.0266</v>
      </c>
      <c r="CM327" s="411">
        <v>10.534700000000001</v>
      </c>
    </row>
    <row r="328" spans="44:91">
      <c r="AR328">
        <f t="shared" si="147"/>
        <v>2031</v>
      </c>
      <c r="AS328" s="307">
        <f t="shared" si="159"/>
        <v>48061</v>
      </c>
      <c r="AT328" s="115">
        <v>96.12</v>
      </c>
      <c r="AU328" s="115">
        <v>92.21</v>
      </c>
      <c r="AV328" s="287">
        <f t="shared" si="151"/>
        <v>94.438699999999983</v>
      </c>
      <c r="AW328" s="271">
        <v>416</v>
      </c>
      <c r="AX328" s="271">
        <v>328</v>
      </c>
      <c r="AY328" s="271">
        <f t="shared" si="148"/>
        <v>0.55913978494623651</v>
      </c>
      <c r="AZ328" s="271">
        <f t="shared" si="149"/>
        <v>0.44086021505376344</v>
      </c>
      <c r="BD328">
        <f t="shared" si="152"/>
        <v>2031</v>
      </c>
      <c r="BE328" s="306">
        <f t="shared" si="157"/>
        <v>48061</v>
      </c>
      <c r="BF328" s="114">
        <f t="shared" si="150"/>
        <v>12.006617727025555</v>
      </c>
      <c r="BG328" s="115">
        <v>12.006617727025555</v>
      </c>
      <c r="BI328">
        <f t="shared" si="143"/>
        <v>2030</v>
      </c>
      <c r="BJ328" s="306">
        <v>47664</v>
      </c>
      <c r="BK328">
        <f t="shared" si="144"/>
        <v>7.625</v>
      </c>
      <c r="BL328">
        <v>7.72</v>
      </c>
      <c r="BM328">
        <v>7.53</v>
      </c>
      <c r="BO328">
        <f t="shared" si="145"/>
        <v>2034</v>
      </c>
      <c r="BP328" s="286">
        <v>49065</v>
      </c>
      <c r="BQ328">
        <f t="shared" si="146"/>
        <v>13.899999999999999</v>
      </c>
      <c r="BR328">
        <v>14.04</v>
      </c>
      <c r="BS328">
        <v>13.76</v>
      </c>
      <c r="BT328">
        <f t="shared" si="153"/>
        <v>2040</v>
      </c>
      <c r="BU328" s="286">
        <v>51441</v>
      </c>
      <c r="BV328">
        <f t="shared" si="158"/>
        <v>7.3155999999999999</v>
      </c>
      <c r="BW328" s="580">
        <v>7.2176</v>
      </c>
      <c r="BX328" s="580">
        <v>7.4135999999999997</v>
      </c>
      <c r="BZ328" s="286"/>
      <c r="CB328" s="580"/>
      <c r="CC328" s="580"/>
      <c r="CD328" s="364"/>
      <c r="CE328" s="381"/>
      <c r="CG328" s="411"/>
      <c r="CH328" s="411"/>
      <c r="CI328" s="364">
        <f t="shared" si="156"/>
        <v>2046</v>
      </c>
      <c r="CJ328" s="381">
        <v>53662</v>
      </c>
      <c r="CK328" s="364">
        <f t="shared" si="141"/>
        <v>11.007950000000001</v>
      </c>
      <c r="CL328" s="411">
        <v>11.095000000000001</v>
      </c>
      <c r="CM328" s="411">
        <v>10.9209</v>
      </c>
    </row>
    <row r="329" spans="44:91">
      <c r="AR329">
        <f t="shared" si="147"/>
        <v>2031</v>
      </c>
      <c r="AS329" s="307">
        <f t="shared" si="159"/>
        <v>48092</v>
      </c>
      <c r="AT329" s="115">
        <v>95.28</v>
      </c>
      <c r="AU329" s="115">
        <v>89.35</v>
      </c>
      <c r="AV329" s="287">
        <f t="shared" si="151"/>
        <v>92.730099999999993</v>
      </c>
      <c r="AW329" s="271">
        <v>400</v>
      </c>
      <c r="AX329" s="271">
        <v>320</v>
      </c>
      <c r="AY329" s="271">
        <f t="shared" si="148"/>
        <v>0.55555555555555558</v>
      </c>
      <c r="AZ329" s="271">
        <f t="shared" si="149"/>
        <v>0.44444444444444442</v>
      </c>
      <c r="BD329">
        <f t="shared" si="152"/>
        <v>2031</v>
      </c>
      <c r="BE329" s="306">
        <f t="shared" si="157"/>
        <v>48092</v>
      </c>
      <c r="BF329" s="114">
        <f t="shared" si="150"/>
        <v>12.006617727025555</v>
      </c>
      <c r="BG329" s="115">
        <v>12.006617727025555</v>
      </c>
      <c r="BI329">
        <f t="shared" si="143"/>
        <v>2030</v>
      </c>
      <c r="BJ329" s="306">
        <v>47695</v>
      </c>
      <c r="BK329">
        <f t="shared" si="144"/>
        <v>7.7450000000000001</v>
      </c>
      <c r="BL329">
        <v>7.84</v>
      </c>
      <c r="BM329">
        <v>7.65</v>
      </c>
      <c r="BO329">
        <f t="shared" si="145"/>
        <v>2034</v>
      </c>
      <c r="BP329" s="286">
        <v>49096</v>
      </c>
      <c r="BQ329">
        <f t="shared" si="146"/>
        <v>14.120000000000001</v>
      </c>
      <c r="BR329">
        <v>14.26</v>
      </c>
      <c r="BS329">
        <v>13.98</v>
      </c>
      <c r="BT329">
        <f t="shared" si="153"/>
        <v>2040</v>
      </c>
      <c r="BU329" s="286">
        <v>51471</v>
      </c>
      <c r="BV329">
        <f t="shared" si="158"/>
        <v>7.6809499999999993</v>
      </c>
      <c r="BW329" s="580">
        <v>7.5739999999999998</v>
      </c>
      <c r="BX329" s="580">
        <v>7.7878999999999996</v>
      </c>
      <c r="BZ329" s="286"/>
      <c r="CB329" s="580"/>
      <c r="CC329" s="580"/>
      <c r="CD329" s="364"/>
      <c r="CE329" s="381"/>
      <c r="CG329" s="411"/>
      <c r="CH329" s="411"/>
      <c r="CI329" s="364">
        <f t="shared" si="156"/>
        <v>2047</v>
      </c>
      <c r="CJ329" s="381">
        <v>53693</v>
      </c>
      <c r="CK329" s="364">
        <f t="shared" si="141"/>
        <v>11.3172</v>
      </c>
      <c r="CL329" s="411">
        <v>11.407</v>
      </c>
      <c r="CM329" s="411">
        <v>11.227399999999999</v>
      </c>
    </row>
    <row r="330" spans="44:91">
      <c r="AR330">
        <f t="shared" si="147"/>
        <v>2031</v>
      </c>
      <c r="AS330" s="307">
        <f t="shared" si="159"/>
        <v>48122</v>
      </c>
      <c r="AT330" s="115">
        <v>94.55</v>
      </c>
      <c r="AU330" s="115">
        <v>82.55</v>
      </c>
      <c r="AV330" s="287">
        <f t="shared" si="151"/>
        <v>89.389999999999986</v>
      </c>
      <c r="AW330" s="271">
        <v>432</v>
      </c>
      <c r="AX330" s="271">
        <v>312</v>
      </c>
      <c r="AY330" s="271">
        <f t="shared" si="148"/>
        <v>0.58064516129032262</v>
      </c>
      <c r="AZ330" s="271">
        <f t="shared" si="149"/>
        <v>0.41935483870967744</v>
      </c>
      <c r="BD330">
        <f t="shared" si="152"/>
        <v>2031</v>
      </c>
      <c r="BE330" s="306">
        <f t="shared" si="157"/>
        <v>48122</v>
      </c>
      <c r="BF330" s="114">
        <f t="shared" si="150"/>
        <v>12.431441000543773</v>
      </c>
      <c r="BG330" s="115">
        <v>12.431441000543773</v>
      </c>
      <c r="BI330">
        <f t="shared" si="143"/>
        <v>2030</v>
      </c>
      <c r="BJ330" s="306">
        <v>47726</v>
      </c>
      <c r="BK330">
        <f t="shared" si="144"/>
        <v>7.7450000000000001</v>
      </c>
      <c r="BL330">
        <v>7.84</v>
      </c>
      <c r="BM330">
        <v>7.65</v>
      </c>
      <c r="BO330">
        <f t="shared" si="145"/>
        <v>2034</v>
      </c>
      <c r="BP330" s="286">
        <v>49126</v>
      </c>
      <c r="BQ330">
        <f t="shared" si="146"/>
        <v>14.335000000000001</v>
      </c>
      <c r="BR330">
        <v>14.47</v>
      </c>
      <c r="BS330">
        <v>14.2</v>
      </c>
      <c r="BT330">
        <f t="shared" si="153"/>
        <v>2041</v>
      </c>
      <c r="BU330" s="286">
        <v>51502</v>
      </c>
      <c r="BV330">
        <f t="shared" si="158"/>
        <v>7.6206499999999995</v>
      </c>
      <c r="BW330" s="580">
        <v>7.6388999999999996</v>
      </c>
      <c r="BX330" s="580">
        <v>7.6024000000000003</v>
      </c>
      <c r="BZ330" s="286"/>
      <c r="CB330" s="580"/>
      <c r="CC330" s="580"/>
      <c r="CD330" s="364"/>
      <c r="CE330" s="381"/>
      <c r="CG330" s="411"/>
      <c r="CH330" s="411"/>
      <c r="CI330" s="364">
        <f t="shared" si="156"/>
        <v>2047</v>
      </c>
      <c r="CJ330" s="381">
        <v>53724</v>
      </c>
      <c r="CK330" s="364">
        <f t="shared" si="141"/>
        <v>11.0345</v>
      </c>
      <c r="CL330" s="411">
        <v>11.2692</v>
      </c>
      <c r="CM330" s="411">
        <v>10.799799999999999</v>
      </c>
    </row>
    <row r="331" spans="44:91">
      <c r="AR331">
        <f t="shared" si="147"/>
        <v>2031</v>
      </c>
      <c r="AS331" s="307">
        <f t="shared" si="159"/>
        <v>48153</v>
      </c>
      <c r="AT331" s="115">
        <v>106.79</v>
      </c>
      <c r="AU331" s="115">
        <v>93.64</v>
      </c>
      <c r="AV331" s="287">
        <f t="shared" si="151"/>
        <v>101.13550000000001</v>
      </c>
      <c r="AW331" s="271">
        <v>384</v>
      </c>
      <c r="AX331" s="271">
        <v>336</v>
      </c>
      <c r="AY331" s="271">
        <f t="shared" si="148"/>
        <v>0.53333333333333333</v>
      </c>
      <c r="AZ331" s="271">
        <f t="shared" si="149"/>
        <v>0.46666666666666667</v>
      </c>
      <c r="BD331">
        <f t="shared" si="152"/>
        <v>2031</v>
      </c>
      <c r="BE331" s="306">
        <f t="shared" si="157"/>
        <v>48153</v>
      </c>
      <c r="BF331" s="114">
        <f t="shared" si="150"/>
        <v>12.614964654703643</v>
      </c>
      <c r="BG331" s="115">
        <v>12.614964654703643</v>
      </c>
      <c r="BI331">
        <f t="shared" si="143"/>
        <v>2030</v>
      </c>
      <c r="BJ331" s="306">
        <v>47756</v>
      </c>
      <c r="BK331">
        <f t="shared" si="144"/>
        <v>7.7450000000000001</v>
      </c>
      <c r="BL331">
        <v>7.84</v>
      </c>
      <c r="BM331">
        <v>7.65</v>
      </c>
      <c r="BO331">
        <f t="shared" si="145"/>
        <v>2034</v>
      </c>
      <c r="BP331" s="286">
        <v>49157</v>
      </c>
      <c r="BQ331">
        <f t="shared" si="146"/>
        <v>14.335000000000001</v>
      </c>
      <c r="BR331">
        <v>14.47</v>
      </c>
      <c r="BS331">
        <v>14.2</v>
      </c>
      <c r="BT331">
        <f t="shared" si="153"/>
        <v>2041</v>
      </c>
      <c r="BU331" s="286">
        <v>51533</v>
      </c>
      <c r="BV331">
        <f t="shared" si="158"/>
        <v>7.8393999999999995</v>
      </c>
      <c r="BW331" s="580">
        <v>7.7118000000000002</v>
      </c>
      <c r="BX331" s="580">
        <v>7.9669999999999996</v>
      </c>
      <c r="BZ331" s="286"/>
      <c r="CB331" s="580"/>
      <c r="CC331" s="580"/>
      <c r="CD331" s="364"/>
      <c r="CE331" s="381"/>
      <c r="CG331" s="411"/>
      <c r="CH331" s="411"/>
      <c r="CI331" s="364">
        <f t="shared" si="156"/>
        <v>2047</v>
      </c>
      <c r="CJ331" s="381">
        <v>53752</v>
      </c>
      <c r="CK331" s="364">
        <f t="shared" si="141"/>
        <v>10.40775</v>
      </c>
      <c r="CL331" s="411">
        <v>10.7079</v>
      </c>
      <c r="CM331" s="411">
        <v>10.1076</v>
      </c>
    </row>
    <row r="332" spans="44:91">
      <c r="AR332">
        <f t="shared" si="147"/>
        <v>2031</v>
      </c>
      <c r="AS332" s="307">
        <f t="shared" si="159"/>
        <v>48183</v>
      </c>
      <c r="AT332" s="115">
        <v>111.79</v>
      </c>
      <c r="AU332" s="115">
        <v>102.52</v>
      </c>
      <c r="AV332" s="287">
        <f t="shared" si="151"/>
        <v>107.8039</v>
      </c>
      <c r="AW332" s="271">
        <v>416</v>
      </c>
      <c r="AX332" s="271">
        <v>328</v>
      </c>
      <c r="AY332" s="271">
        <f t="shared" si="148"/>
        <v>0.55913978494623651</v>
      </c>
      <c r="AZ332" s="271">
        <f t="shared" si="149"/>
        <v>0.44086021505376344</v>
      </c>
      <c r="BD332">
        <f t="shared" si="152"/>
        <v>2031</v>
      </c>
      <c r="BE332" s="306">
        <f t="shared" si="157"/>
        <v>48183</v>
      </c>
      <c r="BF332" s="114">
        <f t="shared" si="150"/>
        <v>13.216514410005436</v>
      </c>
      <c r="BG332" s="115">
        <v>13.216514410005436</v>
      </c>
      <c r="BI332">
        <f t="shared" si="143"/>
        <v>2030</v>
      </c>
      <c r="BJ332" s="306">
        <v>47787</v>
      </c>
      <c r="BK332">
        <f t="shared" si="144"/>
        <v>8.0350000000000001</v>
      </c>
      <c r="BL332">
        <v>8.07</v>
      </c>
      <c r="BM332">
        <v>8</v>
      </c>
      <c r="BO332">
        <f t="shared" si="145"/>
        <v>2034</v>
      </c>
      <c r="BP332" s="286">
        <v>49188</v>
      </c>
      <c r="BQ332">
        <f t="shared" si="146"/>
        <v>14.335000000000001</v>
      </c>
      <c r="BR332">
        <v>14.47</v>
      </c>
      <c r="BS332">
        <v>14.2</v>
      </c>
      <c r="BT332">
        <f t="shared" si="153"/>
        <v>2041</v>
      </c>
      <c r="BU332" s="286">
        <v>51561</v>
      </c>
      <c r="BV332">
        <f t="shared" si="158"/>
        <v>7.3380000000000001</v>
      </c>
      <c r="BW332" s="580">
        <v>7.2742000000000004</v>
      </c>
      <c r="BX332" s="580">
        <v>7.4017999999999997</v>
      </c>
      <c r="BZ332" s="286"/>
      <c r="CB332" s="580"/>
      <c r="CC332" s="580"/>
      <c r="CD332" s="364"/>
      <c r="CE332" s="381"/>
      <c r="CG332" s="411"/>
      <c r="CH332" s="411"/>
      <c r="CI332" s="364">
        <f t="shared" si="156"/>
        <v>2047</v>
      </c>
      <c r="CJ332" s="381">
        <v>53783</v>
      </c>
      <c r="CK332" s="364">
        <f t="shared" si="141"/>
        <v>9.9143500000000007</v>
      </c>
      <c r="CL332" s="411">
        <v>10.241400000000001</v>
      </c>
      <c r="CM332" s="411">
        <v>9.5873000000000008</v>
      </c>
    </row>
    <row r="333" spans="44:91">
      <c r="AR333">
        <f t="shared" si="147"/>
        <v>2032</v>
      </c>
      <c r="AS333" s="307">
        <f t="shared" si="159"/>
        <v>48214</v>
      </c>
      <c r="AT333" s="115">
        <v>117.25</v>
      </c>
      <c r="AU333" s="115">
        <v>105.82</v>
      </c>
      <c r="AV333" s="287">
        <f t="shared" si="151"/>
        <v>112.33509999999998</v>
      </c>
      <c r="AW333" s="271">
        <v>416</v>
      </c>
      <c r="AX333" s="271">
        <v>328</v>
      </c>
      <c r="AY333" s="271">
        <f t="shared" si="148"/>
        <v>0.55913978494623651</v>
      </c>
      <c r="AZ333" s="271">
        <f t="shared" si="149"/>
        <v>0.44086021505376344</v>
      </c>
      <c r="BD333">
        <f t="shared" si="152"/>
        <v>2032</v>
      </c>
      <c r="BE333" s="306">
        <f t="shared" si="157"/>
        <v>48214</v>
      </c>
      <c r="BF333" s="114">
        <f t="shared" si="150"/>
        <v>14.361837955410548</v>
      </c>
      <c r="BG333" s="115">
        <v>14.361837955410548</v>
      </c>
      <c r="BI333">
        <f t="shared" si="143"/>
        <v>2030</v>
      </c>
      <c r="BJ333" s="306">
        <v>47817</v>
      </c>
      <c r="BK333">
        <f t="shared" si="144"/>
        <v>8.1499999999999986</v>
      </c>
      <c r="BL333">
        <v>8.18</v>
      </c>
      <c r="BM333">
        <v>8.1199999999999992</v>
      </c>
      <c r="BO333">
        <f t="shared" si="145"/>
        <v>2034</v>
      </c>
      <c r="BP333" s="286">
        <v>49218</v>
      </c>
      <c r="BQ333">
        <f t="shared" si="146"/>
        <v>14.875</v>
      </c>
      <c r="BR333">
        <v>14.9</v>
      </c>
      <c r="BS333">
        <v>14.85</v>
      </c>
      <c r="BT333">
        <f t="shared" si="153"/>
        <v>2041</v>
      </c>
      <c r="BU333" s="286">
        <v>51592</v>
      </c>
      <c r="BV333">
        <f t="shared" si="158"/>
        <v>6.9278499999999994</v>
      </c>
      <c r="BW333" s="580">
        <v>6.8914</v>
      </c>
      <c r="BX333" s="580">
        <v>6.9642999999999997</v>
      </c>
      <c r="BZ333" s="286"/>
      <c r="CB333" s="580"/>
      <c r="CC333" s="580"/>
      <c r="CD333" s="364"/>
      <c r="CE333" s="381"/>
      <c r="CG333" s="411"/>
      <c r="CH333" s="411"/>
      <c r="CI333" s="364">
        <f t="shared" si="156"/>
        <v>2047</v>
      </c>
      <c r="CJ333" s="381">
        <v>53813</v>
      </c>
      <c r="CK333" s="364">
        <f t="shared" si="141"/>
        <v>9.9101999999999997</v>
      </c>
      <c r="CL333" s="411">
        <v>10.301500000000001</v>
      </c>
      <c r="CM333" s="411">
        <v>9.5189000000000004</v>
      </c>
    </row>
    <row r="334" spans="44:91">
      <c r="AR334">
        <f t="shared" si="147"/>
        <v>2032</v>
      </c>
      <c r="AS334" s="307">
        <f t="shared" si="159"/>
        <v>48245</v>
      </c>
      <c r="AT334" s="115">
        <v>110.35</v>
      </c>
      <c r="AU334" s="115">
        <v>95.98</v>
      </c>
      <c r="AV334" s="287">
        <f t="shared" si="151"/>
        <v>104.17089999999999</v>
      </c>
      <c r="AW334" s="271">
        <v>384</v>
      </c>
      <c r="AX334" s="271">
        <v>312</v>
      </c>
      <c r="AY334" s="271">
        <f t="shared" si="148"/>
        <v>0.55172413793103448</v>
      </c>
      <c r="AZ334" s="271">
        <f t="shared" si="149"/>
        <v>0.44827586206896552</v>
      </c>
      <c r="BD334">
        <f t="shared" si="152"/>
        <v>2032</v>
      </c>
      <c r="BE334" s="306">
        <f t="shared" si="157"/>
        <v>48245</v>
      </c>
      <c r="BF334" s="114">
        <f t="shared" si="150"/>
        <v>13.495198477433386</v>
      </c>
      <c r="BG334" s="115">
        <v>13.495198477433386</v>
      </c>
      <c r="BI334">
        <f t="shared" si="143"/>
        <v>2030</v>
      </c>
      <c r="BJ334" s="306">
        <v>47848</v>
      </c>
      <c r="BK334">
        <f t="shared" si="144"/>
        <v>8.5599999999999987</v>
      </c>
      <c r="BL334">
        <v>8.5299999999999994</v>
      </c>
      <c r="BM334">
        <v>8.59</v>
      </c>
      <c r="BO334">
        <f t="shared" si="145"/>
        <v>2034</v>
      </c>
      <c r="BP334" s="286">
        <v>49249</v>
      </c>
      <c r="BQ334">
        <f t="shared" si="146"/>
        <v>15.09</v>
      </c>
      <c r="BR334">
        <v>15.11</v>
      </c>
      <c r="BS334">
        <v>15.07</v>
      </c>
      <c r="BT334">
        <f t="shared" si="153"/>
        <v>2041</v>
      </c>
      <c r="BU334" s="286">
        <v>51622</v>
      </c>
      <c r="BV334">
        <f t="shared" si="158"/>
        <v>6.88225</v>
      </c>
      <c r="BW334" s="580">
        <v>6.8731</v>
      </c>
      <c r="BX334" s="580">
        <v>6.8914</v>
      </c>
      <c r="BZ334" s="286"/>
      <c r="CB334" s="580"/>
      <c r="CC334" s="580"/>
      <c r="CD334" s="364"/>
      <c r="CE334" s="381"/>
      <c r="CG334" s="411"/>
      <c r="CH334" s="411"/>
      <c r="CI334" s="364">
        <f t="shared" si="156"/>
        <v>2047</v>
      </c>
      <c r="CJ334" s="381">
        <v>53844</v>
      </c>
      <c r="CK334" s="364">
        <f t="shared" si="141"/>
        <v>9.9619999999999997</v>
      </c>
      <c r="CL334" s="411">
        <v>10.4861</v>
      </c>
      <c r="CM334" s="411">
        <v>9.4379000000000008</v>
      </c>
    </row>
    <row r="335" spans="44:91">
      <c r="AR335">
        <f t="shared" si="147"/>
        <v>2032</v>
      </c>
      <c r="AS335" s="307">
        <f t="shared" si="159"/>
        <v>48274</v>
      </c>
      <c r="AT335" s="115">
        <v>93.53</v>
      </c>
      <c r="AU335" s="115">
        <v>83.63</v>
      </c>
      <c r="AV335" s="287">
        <f t="shared" si="151"/>
        <v>89.272999999999996</v>
      </c>
      <c r="AW335" s="271">
        <v>432</v>
      </c>
      <c r="AX335" s="271">
        <v>312</v>
      </c>
      <c r="AY335" s="271">
        <f t="shared" si="148"/>
        <v>0.58064516129032262</v>
      </c>
      <c r="AZ335" s="271">
        <f t="shared" si="149"/>
        <v>0.41935483870967744</v>
      </c>
      <c r="BD335">
        <f t="shared" si="152"/>
        <v>2032</v>
      </c>
      <c r="BE335" s="306">
        <f t="shared" si="157"/>
        <v>48274</v>
      </c>
      <c r="BF335" s="114">
        <f t="shared" si="150"/>
        <v>12.693132137030997</v>
      </c>
      <c r="BG335" s="115">
        <v>12.693132137030997</v>
      </c>
      <c r="BI335">
        <f t="shared" si="143"/>
        <v>2031</v>
      </c>
      <c r="BJ335" s="306">
        <v>47879</v>
      </c>
      <c r="BK335">
        <f t="shared" si="144"/>
        <v>9.5249999999999986</v>
      </c>
      <c r="BL335">
        <v>9.43</v>
      </c>
      <c r="BM335">
        <v>9.6199999999999992</v>
      </c>
      <c r="BO335">
        <f t="shared" si="145"/>
        <v>2034</v>
      </c>
      <c r="BP335" s="286">
        <v>49279</v>
      </c>
      <c r="BQ335">
        <f t="shared" si="146"/>
        <v>15.85</v>
      </c>
      <c r="BR335">
        <v>15.75</v>
      </c>
      <c r="BS335">
        <v>15.95</v>
      </c>
      <c r="BT335">
        <f t="shared" si="153"/>
        <v>2041</v>
      </c>
      <c r="BU335" s="286">
        <v>51653</v>
      </c>
      <c r="BV335">
        <f t="shared" si="158"/>
        <v>6.8002500000000001</v>
      </c>
      <c r="BW335" s="580">
        <v>6.8367000000000004</v>
      </c>
      <c r="BX335" s="580">
        <v>6.7637999999999998</v>
      </c>
      <c r="BZ335" s="286"/>
      <c r="CB335" s="580"/>
      <c r="CC335" s="580"/>
      <c r="CD335" s="364"/>
      <c r="CE335" s="381"/>
      <c r="CG335" s="411"/>
      <c r="CH335" s="411"/>
      <c r="CI335" s="364">
        <f t="shared" si="156"/>
        <v>2047</v>
      </c>
      <c r="CJ335" s="381">
        <v>53874</v>
      </c>
      <c r="CK335" s="364">
        <f t="shared" si="141"/>
        <v>10.201599999999999</v>
      </c>
      <c r="CL335" s="411">
        <v>10.8698</v>
      </c>
      <c r="CM335" s="411">
        <v>9.5334000000000003</v>
      </c>
    </row>
    <row r="336" spans="44:91">
      <c r="AR336">
        <f t="shared" si="147"/>
        <v>2032</v>
      </c>
      <c r="AS336" s="307">
        <f t="shared" si="159"/>
        <v>48305</v>
      </c>
      <c r="AT336" s="115">
        <v>93.02</v>
      </c>
      <c r="AU336" s="115">
        <v>88.62</v>
      </c>
      <c r="AV336" s="287">
        <f t="shared" si="151"/>
        <v>91.127999999999986</v>
      </c>
      <c r="AW336" s="271">
        <v>416</v>
      </c>
      <c r="AX336" s="271">
        <v>304</v>
      </c>
      <c r="AY336" s="271">
        <f t="shared" si="148"/>
        <v>0.57777777777777772</v>
      </c>
      <c r="AZ336" s="271">
        <f t="shared" si="149"/>
        <v>0.42222222222222222</v>
      </c>
      <c r="BD336">
        <f t="shared" si="152"/>
        <v>2032</v>
      </c>
      <c r="BE336" s="306">
        <f t="shared" si="157"/>
        <v>48305</v>
      </c>
      <c r="BF336" s="114">
        <f t="shared" si="150"/>
        <v>12.01341489940185</v>
      </c>
      <c r="BG336" s="115">
        <v>12.01341489940185</v>
      </c>
      <c r="BI336">
        <f t="shared" si="143"/>
        <v>2031</v>
      </c>
      <c r="BJ336" s="306">
        <v>47907</v>
      </c>
      <c r="BK336">
        <f t="shared" si="144"/>
        <v>8.86</v>
      </c>
      <c r="BL336">
        <v>8.83</v>
      </c>
      <c r="BM336">
        <v>8.89</v>
      </c>
      <c r="BO336">
        <f t="shared" si="145"/>
        <v>2035</v>
      </c>
      <c r="BP336" s="286">
        <v>49310</v>
      </c>
      <c r="BQ336">
        <f t="shared" si="146"/>
        <v>17.34</v>
      </c>
      <c r="BR336">
        <v>17.11</v>
      </c>
      <c r="BS336">
        <v>17.57</v>
      </c>
      <c r="BT336">
        <f t="shared" si="153"/>
        <v>2041</v>
      </c>
      <c r="BU336" s="286">
        <v>51683</v>
      </c>
      <c r="BV336">
        <f t="shared" si="158"/>
        <v>6.8822500000000009</v>
      </c>
      <c r="BW336" s="580">
        <v>6.9278000000000004</v>
      </c>
      <c r="BX336" s="580">
        <v>6.8367000000000004</v>
      </c>
      <c r="BZ336" s="286"/>
      <c r="CB336" s="580"/>
      <c r="CC336" s="580"/>
      <c r="CD336" s="364"/>
      <c r="CE336" s="381"/>
      <c r="CG336" s="411"/>
      <c r="CH336" s="411"/>
      <c r="CI336" s="364">
        <f t="shared" si="156"/>
        <v>2047</v>
      </c>
      <c r="CJ336" s="381">
        <v>53905</v>
      </c>
      <c r="CK336" s="364">
        <f t="shared" si="141"/>
        <v>10.3977</v>
      </c>
      <c r="CL336" s="411">
        <v>10.934900000000001</v>
      </c>
      <c r="CM336" s="411">
        <v>9.8605</v>
      </c>
    </row>
    <row r="337" spans="44:91">
      <c r="AR337">
        <f t="shared" si="147"/>
        <v>2032</v>
      </c>
      <c r="AS337" s="307">
        <f t="shared" si="159"/>
        <v>48335</v>
      </c>
      <c r="AT337" s="115">
        <v>94.73</v>
      </c>
      <c r="AU337" s="115">
        <v>89.11</v>
      </c>
      <c r="AV337" s="287">
        <f t="shared" si="151"/>
        <v>92.313400000000001</v>
      </c>
      <c r="AW337" s="271">
        <v>400</v>
      </c>
      <c r="AX337" s="271">
        <v>344</v>
      </c>
      <c r="AY337" s="271">
        <f t="shared" si="148"/>
        <v>0.5376344086021505</v>
      </c>
      <c r="AZ337" s="271">
        <f t="shared" si="149"/>
        <v>0.46236559139784944</v>
      </c>
      <c r="BD337">
        <f t="shared" si="152"/>
        <v>2032</v>
      </c>
      <c r="BE337" s="306">
        <f t="shared" si="157"/>
        <v>48335</v>
      </c>
      <c r="BF337" s="114">
        <f t="shared" si="150"/>
        <v>11.887667210440457</v>
      </c>
      <c r="BG337" s="115">
        <v>11.887667210440457</v>
      </c>
      <c r="BI337">
        <f t="shared" si="143"/>
        <v>2031</v>
      </c>
      <c r="BJ337" s="306">
        <v>47938</v>
      </c>
      <c r="BK337">
        <f t="shared" si="144"/>
        <v>8.3149999999999995</v>
      </c>
      <c r="BL337">
        <v>8.35</v>
      </c>
      <c r="BM337">
        <v>8.2799999999999994</v>
      </c>
      <c r="BO337">
        <f t="shared" si="145"/>
        <v>2035</v>
      </c>
      <c r="BP337" s="286">
        <v>49341</v>
      </c>
      <c r="BQ337">
        <f t="shared" si="146"/>
        <v>16.130000000000003</v>
      </c>
      <c r="BR337">
        <v>16.03</v>
      </c>
      <c r="BS337">
        <v>16.23</v>
      </c>
      <c r="BT337">
        <f t="shared" si="153"/>
        <v>2041</v>
      </c>
      <c r="BU337" s="286">
        <v>51714</v>
      </c>
      <c r="BV337">
        <f t="shared" si="158"/>
        <v>7.1010499999999999</v>
      </c>
      <c r="BW337" s="580">
        <v>7.0736999999999997</v>
      </c>
      <c r="BX337" s="580">
        <v>7.1284000000000001</v>
      </c>
      <c r="BZ337" s="286"/>
      <c r="CB337" s="580"/>
      <c r="CC337" s="580"/>
      <c r="CD337" s="364"/>
      <c r="CE337" s="381"/>
      <c r="CG337" s="411"/>
      <c r="CH337" s="411"/>
      <c r="CI337" s="364">
        <f t="shared" si="156"/>
        <v>2047</v>
      </c>
      <c r="CJ337" s="381">
        <v>53936</v>
      </c>
      <c r="CK337" s="364">
        <f t="shared" ref="CK337:CK392" si="160">AVERAGE(CL337:CM337)</f>
        <v>10.462400000000001</v>
      </c>
      <c r="CL337" s="411">
        <v>10.9137</v>
      </c>
      <c r="CM337" s="411">
        <v>10.011100000000001</v>
      </c>
    </row>
    <row r="338" spans="44:91">
      <c r="AR338">
        <f t="shared" si="147"/>
        <v>2032</v>
      </c>
      <c r="AS338" s="307">
        <f t="shared" si="159"/>
        <v>48366</v>
      </c>
      <c r="AT338" s="115">
        <v>102.54</v>
      </c>
      <c r="AU338" s="115">
        <v>91.51</v>
      </c>
      <c r="AV338" s="287">
        <f t="shared" si="151"/>
        <v>97.7971</v>
      </c>
      <c r="AW338" s="271">
        <v>416</v>
      </c>
      <c r="AX338" s="271">
        <v>304</v>
      </c>
      <c r="AY338" s="271">
        <f t="shared" si="148"/>
        <v>0.57777777777777772</v>
      </c>
      <c r="AZ338" s="271">
        <f t="shared" si="149"/>
        <v>0.42222222222222222</v>
      </c>
      <c r="BD338">
        <f t="shared" si="152"/>
        <v>2032</v>
      </c>
      <c r="BE338" s="306">
        <f t="shared" si="157"/>
        <v>48366</v>
      </c>
      <c r="BF338" s="114">
        <f t="shared" si="150"/>
        <v>12.077988036976619</v>
      </c>
      <c r="BG338" s="115">
        <v>12.077988036976619</v>
      </c>
      <c r="BI338">
        <f t="shared" si="143"/>
        <v>2031</v>
      </c>
      <c r="BJ338" s="306">
        <v>47968</v>
      </c>
      <c r="BK338">
        <f t="shared" si="144"/>
        <v>7.77</v>
      </c>
      <c r="BL338">
        <v>7.87</v>
      </c>
      <c r="BM338">
        <v>7.67</v>
      </c>
      <c r="BO338">
        <f t="shared" si="145"/>
        <v>2035</v>
      </c>
      <c r="BP338" s="286">
        <v>49369</v>
      </c>
      <c r="BQ338">
        <f t="shared" si="146"/>
        <v>15.14</v>
      </c>
      <c r="BR338">
        <v>15.16</v>
      </c>
      <c r="BS338">
        <v>15.12</v>
      </c>
      <c r="BT338">
        <f t="shared" si="153"/>
        <v>2041</v>
      </c>
      <c r="BU338" s="286">
        <v>51745</v>
      </c>
      <c r="BV338">
        <f t="shared" si="158"/>
        <v>6.9278500000000003</v>
      </c>
      <c r="BW338" s="580">
        <v>6.9096000000000002</v>
      </c>
      <c r="BX338" s="580">
        <v>6.9461000000000004</v>
      </c>
      <c r="BZ338" s="286"/>
      <c r="CB338" s="580"/>
      <c r="CC338" s="580"/>
      <c r="CD338" s="364"/>
      <c r="CE338" s="381"/>
      <c r="CG338" s="411"/>
      <c r="CH338" s="411"/>
      <c r="CI338" s="364">
        <f t="shared" si="156"/>
        <v>2047</v>
      </c>
      <c r="CJ338" s="381">
        <v>53966</v>
      </c>
      <c r="CK338" s="364">
        <f t="shared" si="160"/>
        <v>10.57845</v>
      </c>
      <c r="CL338" s="411">
        <v>10.9777</v>
      </c>
      <c r="CM338" s="411">
        <v>10.1792</v>
      </c>
    </row>
    <row r="339" spans="44:91">
      <c r="AR339">
        <f t="shared" si="147"/>
        <v>2032</v>
      </c>
      <c r="AS339" s="307">
        <f t="shared" si="159"/>
        <v>48396</v>
      </c>
      <c r="AT339" s="115">
        <v>97.66</v>
      </c>
      <c r="AU339" s="115">
        <v>93.61</v>
      </c>
      <c r="AV339" s="287">
        <f t="shared" si="151"/>
        <v>95.918499999999995</v>
      </c>
      <c r="AW339" s="271">
        <v>416</v>
      </c>
      <c r="AX339" s="271">
        <v>328</v>
      </c>
      <c r="AY339" s="271">
        <f t="shared" si="148"/>
        <v>0.55913978494623651</v>
      </c>
      <c r="AZ339" s="271">
        <f t="shared" si="149"/>
        <v>0.44086021505376344</v>
      </c>
      <c r="BD339">
        <f t="shared" si="152"/>
        <v>2032</v>
      </c>
      <c r="BE339" s="306">
        <f t="shared" si="157"/>
        <v>48396</v>
      </c>
      <c r="BF339" s="114">
        <f t="shared" si="150"/>
        <v>12.261511691136484</v>
      </c>
      <c r="BG339" s="115">
        <v>12.261511691136484</v>
      </c>
      <c r="BI339">
        <f t="shared" ref="BI339:BI377" si="161">YEAR(BJ339)</f>
        <v>2031</v>
      </c>
      <c r="BJ339" s="306">
        <v>47999</v>
      </c>
      <c r="BK339">
        <f t="shared" ref="BK339:BK377" si="162">AVERAGE(BL339:BM339)</f>
        <v>7.77</v>
      </c>
      <c r="BL339">
        <v>7.87</v>
      </c>
      <c r="BM339">
        <v>7.67</v>
      </c>
      <c r="BO339">
        <f t="shared" ref="BO339:BO378" si="163">YEAR(BP339)</f>
        <v>2035</v>
      </c>
      <c r="BP339" s="286">
        <v>49400</v>
      </c>
      <c r="BQ339">
        <f t="shared" ref="BQ339:BQ378" si="164">AVERAGE(BR339:BS339)</f>
        <v>14.155000000000001</v>
      </c>
      <c r="BR339">
        <v>14.3</v>
      </c>
      <c r="BS339">
        <v>14.01</v>
      </c>
      <c r="BT339">
        <f t="shared" si="153"/>
        <v>2041</v>
      </c>
      <c r="BU339" s="286">
        <v>51775</v>
      </c>
      <c r="BV339">
        <f t="shared" si="158"/>
        <v>7.2012999999999998</v>
      </c>
      <c r="BW339" s="580">
        <v>7.1284000000000001</v>
      </c>
      <c r="BX339" s="580">
        <v>7.2742000000000004</v>
      </c>
      <c r="BZ339" s="286"/>
      <c r="CB339" s="580"/>
      <c r="CC339" s="580"/>
      <c r="CD339" s="364"/>
      <c r="CE339" s="381"/>
      <c r="CG339" s="411"/>
      <c r="CH339" s="411"/>
      <c r="CI339" s="364">
        <f t="shared" si="156"/>
        <v>2047</v>
      </c>
      <c r="CJ339" s="381">
        <v>53997</v>
      </c>
      <c r="CK339" s="364">
        <f t="shared" si="160"/>
        <v>11.17435</v>
      </c>
      <c r="CL339" s="411">
        <v>11.372299999999999</v>
      </c>
      <c r="CM339" s="411">
        <v>10.9764</v>
      </c>
    </row>
    <row r="340" spans="44:91">
      <c r="AR340">
        <f t="shared" si="147"/>
        <v>2032</v>
      </c>
      <c r="AS340" s="307">
        <f t="shared" si="159"/>
        <v>48427</v>
      </c>
      <c r="AT340" s="115">
        <v>98.14</v>
      </c>
      <c r="AU340" s="115">
        <v>94.14</v>
      </c>
      <c r="AV340" s="287">
        <f t="shared" si="151"/>
        <v>96.419999999999987</v>
      </c>
      <c r="AW340" s="271">
        <v>416</v>
      </c>
      <c r="AX340" s="271">
        <v>328</v>
      </c>
      <c r="AY340" s="271">
        <f t="shared" si="148"/>
        <v>0.55913978494623651</v>
      </c>
      <c r="AZ340" s="271">
        <f t="shared" si="149"/>
        <v>0.44086021505376344</v>
      </c>
      <c r="BD340">
        <f t="shared" si="152"/>
        <v>2032</v>
      </c>
      <c r="BE340" s="306">
        <f t="shared" si="157"/>
        <v>48427</v>
      </c>
      <c r="BF340" s="114">
        <f t="shared" si="150"/>
        <v>12.261511691136484</v>
      </c>
      <c r="BG340" s="115">
        <v>12.261511691136484</v>
      </c>
      <c r="BI340">
        <f t="shared" si="161"/>
        <v>2031</v>
      </c>
      <c r="BJ340" s="306">
        <v>48029</v>
      </c>
      <c r="BK340">
        <f t="shared" si="162"/>
        <v>7.8949999999999996</v>
      </c>
      <c r="BL340">
        <v>7.99</v>
      </c>
      <c r="BM340">
        <v>7.8</v>
      </c>
      <c r="BO340">
        <f t="shared" si="163"/>
        <v>2035</v>
      </c>
      <c r="BP340" s="286">
        <v>49430</v>
      </c>
      <c r="BQ340">
        <f t="shared" si="164"/>
        <v>14.155000000000001</v>
      </c>
      <c r="BR340">
        <v>14.3</v>
      </c>
      <c r="BS340">
        <v>14.01</v>
      </c>
      <c r="BT340">
        <f t="shared" si="153"/>
        <v>2041</v>
      </c>
      <c r="BU340" s="286">
        <v>51806</v>
      </c>
      <c r="BV340">
        <f t="shared" si="158"/>
        <v>7.4839000000000002</v>
      </c>
      <c r="BW340" s="580">
        <v>7.3836000000000004</v>
      </c>
      <c r="BX340" s="580">
        <v>7.5842000000000001</v>
      </c>
      <c r="BZ340" s="286"/>
      <c r="CB340" s="580"/>
      <c r="CC340" s="580"/>
      <c r="CD340" s="364"/>
      <c r="CE340" s="381"/>
      <c r="CG340" s="411"/>
      <c r="CH340" s="411"/>
      <c r="CI340" s="364">
        <f t="shared" si="156"/>
        <v>2047</v>
      </c>
      <c r="CJ340" s="381">
        <v>54027</v>
      </c>
      <c r="CK340" s="364">
        <f t="shared" si="160"/>
        <v>11.4956</v>
      </c>
      <c r="CL340" s="411">
        <v>11.545400000000001</v>
      </c>
      <c r="CM340" s="411">
        <v>11.4458</v>
      </c>
    </row>
    <row r="341" spans="44:91">
      <c r="AR341">
        <f t="shared" si="147"/>
        <v>2032</v>
      </c>
      <c r="AS341" s="307">
        <f t="shared" si="159"/>
        <v>48458</v>
      </c>
      <c r="AT341" s="115">
        <v>97.28</v>
      </c>
      <c r="AU341" s="115">
        <v>91.22</v>
      </c>
      <c r="AV341" s="287">
        <f t="shared" si="151"/>
        <v>94.674199999999999</v>
      </c>
      <c r="AW341" s="271">
        <v>400</v>
      </c>
      <c r="AX341" s="271">
        <v>320</v>
      </c>
      <c r="AY341" s="271">
        <f t="shared" si="148"/>
        <v>0.55555555555555558</v>
      </c>
      <c r="AZ341" s="271">
        <f t="shared" si="149"/>
        <v>0.44444444444444442</v>
      </c>
      <c r="BD341">
        <f t="shared" si="152"/>
        <v>2032</v>
      </c>
      <c r="BE341" s="306">
        <f t="shared" si="157"/>
        <v>48458</v>
      </c>
      <c r="BF341" s="114">
        <f t="shared" si="150"/>
        <v>12.261511691136484</v>
      </c>
      <c r="BG341" s="115">
        <v>12.261511691136484</v>
      </c>
      <c r="BI341">
        <f t="shared" si="161"/>
        <v>2031</v>
      </c>
      <c r="BJ341" s="306">
        <v>48060</v>
      </c>
      <c r="BK341">
        <f t="shared" si="162"/>
        <v>8.0150000000000006</v>
      </c>
      <c r="BL341">
        <v>8.11</v>
      </c>
      <c r="BM341">
        <v>7.92</v>
      </c>
      <c r="BO341">
        <f t="shared" si="163"/>
        <v>2035</v>
      </c>
      <c r="BP341" s="286">
        <v>49461</v>
      </c>
      <c r="BQ341">
        <f t="shared" si="164"/>
        <v>14.370000000000001</v>
      </c>
      <c r="BR341">
        <v>14.51</v>
      </c>
      <c r="BS341">
        <v>14.23</v>
      </c>
      <c r="BT341">
        <f t="shared" si="153"/>
        <v>2041</v>
      </c>
      <c r="BU341" s="286">
        <v>51836</v>
      </c>
      <c r="BV341">
        <f t="shared" si="158"/>
        <v>7.8575999999999997</v>
      </c>
      <c r="BW341" s="580">
        <v>7.7481999999999998</v>
      </c>
      <c r="BX341" s="580">
        <v>7.9669999999999996</v>
      </c>
      <c r="BZ341" s="286"/>
      <c r="CB341" s="580"/>
      <c r="CC341" s="580"/>
      <c r="CD341" s="364"/>
      <c r="CE341" s="381"/>
      <c r="CG341" s="411"/>
      <c r="CH341" s="411"/>
      <c r="CI341" s="364">
        <f t="shared" si="156"/>
        <v>2048</v>
      </c>
      <c r="CJ341" s="381">
        <v>54058</v>
      </c>
      <c r="CK341" s="364">
        <f t="shared" si="160"/>
        <v>11.783200000000001</v>
      </c>
      <c r="CL341" s="411">
        <v>11.903600000000001</v>
      </c>
      <c r="CM341" s="411">
        <v>11.662800000000001</v>
      </c>
    </row>
    <row r="342" spans="44:91">
      <c r="AR342">
        <f t="shared" ref="AR342:AR389" si="165">+YEAR(AS342)</f>
        <v>2032</v>
      </c>
      <c r="AS342" s="307">
        <f t="shared" si="159"/>
        <v>48488</v>
      </c>
      <c r="AT342" s="115">
        <v>96.54</v>
      </c>
      <c r="AU342" s="115">
        <v>84.28</v>
      </c>
      <c r="AV342" s="287">
        <f t="shared" si="151"/>
        <v>91.268200000000007</v>
      </c>
      <c r="AW342" s="271">
        <v>416</v>
      </c>
      <c r="AX342" s="271">
        <v>328</v>
      </c>
      <c r="AY342" s="271">
        <f t="shared" ref="AY342:AY389" si="166">AW342/(AW342+AX342)</f>
        <v>0.55913978494623651</v>
      </c>
      <c r="AZ342" s="271">
        <f t="shared" ref="AZ342:AZ389" si="167">AX342/(AW342+AX342)</f>
        <v>0.44086021505376344</v>
      </c>
      <c r="BD342">
        <f t="shared" si="152"/>
        <v>2032</v>
      </c>
      <c r="BE342" s="306">
        <f t="shared" si="157"/>
        <v>48488</v>
      </c>
      <c r="BF342" s="114">
        <f t="shared" ref="BF342:BF389" si="168">BG342</f>
        <v>12.693132137030997</v>
      </c>
      <c r="BG342" s="115">
        <v>12.693132137030997</v>
      </c>
      <c r="BI342">
        <f t="shared" si="161"/>
        <v>2031</v>
      </c>
      <c r="BJ342" s="306">
        <v>48091</v>
      </c>
      <c r="BK342">
        <f t="shared" si="162"/>
        <v>8.0150000000000006</v>
      </c>
      <c r="BL342">
        <v>8.11</v>
      </c>
      <c r="BM342">
        <v>7.92</v>
      </c>
      <c r="BO342">
        <f t="shared" si="163"/>
        <v>2035</v>
      </c>
      <c r="BP342" s="286">
        <v>49491</v>
      </c>
      <c r="BQ342">
        <f t="shared" si="164"/>
        <v>14.59</v>
      </c>
      <c r="BR342">
        <v>14.73</v>
      </c>
      <c r="BS342">
        <v>14.45</v>
      </c>
      <c r="BT342">
        <f t="shared" si="153"/>
        <v>2042</v>
      </c>
      <c r="BU342" s="286">
        <v>51867</v>
      </c>
      <c r="BV342">
        <f t="shared" si="158"/>
        <v>7.7958499999999997</v>
      </c>
      <c r="BW342" s="580">
        <v>7.8144999999999998</v>
      </c>
      <c r="BX342" s="580">
        <v>7.7771999999999997</v>
      </c>
      <c r="BZ342" s="286"/>
      <c r="CB342" s="580"/>
      <c r="CC342" s="580"/>
      <c r="CD342" s="364"/>
      <c r="CE342" s="381"/>
      <c r="CG342" s="411"/>
      <c r="CH342" s="411"/>
      <c r="CI342" s="364">
        <f t="shared" si="156"/>
        <v>2048</v>
      </c>
      <c r="CJ342" s="381">
        <v>54089</v>
      </c>
      <c r="CK342" s="364">
        <f t="shared" si="160"/>
        <v>11.2859</v>
      </c>
      <c r="CL342" s="411">
        <v>11.517099999999999</v>
      </c>
      <c r="CM342" s="411">
        <v>11.0547</v>
      </c>
    </row>
    <row r="343" spans="44:91">
      <c r="AR343">
        <f t="shared" si="165"/>
        <v>2032</v>
      </c>
      <c r="AS343" s="307">
        <f t="shared" si="159"/>
        <v>48519</v>
      </c>
      <c r="AT343" s="115">
        <v>109.03</v>
      </c>
      <c r="AU343" s="115">
        <v>95.61</v>
      </c>
      <c r="AV343" s="287">
        <f t="shared" si="151"/>
        <v>103.2594</v>
      </c>
      <c r="AW343" s="271">
        <v>400</v>
      </c>
      <c r="AX343" s="271">
        <v>320</v>
      </c>
      <c r="AY343" s="271">
        <f t="shared" si="166"/>
        <v>0.55555555555555558</v>
      </c>
      <c r="AZ343" s="271">
        <f t="shared" si="167"/>
        <v>0.44444444444444442</v>
      </c>
      <c r="BD343">
        <f t="shared" si="152"/>
        <v>2032</v>
      </c>
      <c r="BE343" s="306">
        <f t="shared" si="157"/>
        <v>48519</v>
      </c>
      <c r="BF343" s="114">
        <f t="shared" si="168"/>
        <v>12.876655791190865</v>
      </c>
      <c r="BG343" s="115">
        <v>12.876655791190865</v>
      </c>
      <c r="BI343">
        <f t="shared" si="161"/>
        <v>2031</v>
      </c>
      <c r="BJ343" s="306">
        <v>48121</v>
      </c>
      <c r="BK343">
        <f t="shared" si="162"/>
        <v>8.0150000000000006</v>
      </c>
      <c r="BL343">
        <v>8.11</v>
      </c>
      <c r="BM343">
        <v>7.92</v>
      </c>
      <c r="BO343">
        <f t="shared" si="163"/>
        <v>2035</v>
      </c>
      <c r="BP343" s="286">
        <v>49522</v>
      </c>
      <c r="BQ343">
        <f t="shared" si="164"/>
        <v>14.59</v>
      </c>
      <c r="BR343">
        <v>14.73</v>
      </c>
      <c r="BS343">
        <v>14.45</v>
      </c>
      <c r="BT343">
        <f t="shared" si="153"/>
        <v>2042</v>
      </c>
      <c r="BU343" s="286">
        <v>51898</v>
      </c>
      <c r="BV343">
        <f t="shared" si="158"/>
        <v>8.0197000000000003</v>
      </c>
      <c r="BW343" s="580">
        <v>7.8891</v>
      </c>
      <c r="BX343" s="580">
        <v>8.1502999999999997</v>
      </c>
      <c r="BZ343" s="286"/>
      <c r="CB343" s="580"/>
      <c r="CC343" s="580"/>
      <c r="CD343" s="364"/>
      <c r="CE343" s="381"/>
      <c r="CG343" s="411"/>
      <c r="CH343" s="411"/>
      <c r="CI343" s="364">
        <f t="shared" si="156"/>
        <v>2048</v>
      </c>
      <c r="CJ343" s="381">
        <v>54118</v>
      </c>
      <c r="CK343" s="364">
        <f t="shared" si="160"/>
        <v>10.895949999999999</v>
      </c>
      <c r="CL343" s="411">
        <v>11.2112</v>
      </c>
      <c r="CM343" s="411">
        <v>10.5807</v>
      </c>
    </row>
    <row r="344" spans="44:91">
      <c r="AR344">
        <f t="shared" si="165"/>
        <v>2032</v>
      </c>
      <c r="AS344" s="307">
        <f t="shared" si="159"/>
        <v>48549</v>
      </c>
      <c r="AT344" s="115">
        <v>114.14</v>
      </c>
      <c r="AU344" s="115">
        <v>104.67</v>
      </c>
      <c r="AV344" s="287">
        <f t="shared" si="151"/>
        <v>110.06789999999999</v>
      </c>
      <c r="AW344" s="271">
        <v>416</v>
      </c>
      <c r="AX344" s="271">
        <v>328</v>
      </c>
      <c r="AY344" s="271">
        <f t="shared" si="166"/>
        <v>0.55913978494623651</v>
      </c>
      <c r="AZ344" s="271">
        <f t="shared" si="167"/>
        <v>0.44086021505376344</v>
      </c>
      <c r="BD344">
        <f t="shared" si="152"/>
        <v>2032</v>
      </c>
      <c r="BE344" s="306">
        <f t="shared" si="157"/>
        <v>48549</v>
      </c>
      <c r="BF344" s="114">
        <f t="shared" si="168"/>
        <v>13.495198477433386</v>
      </c>
      <c r="BG344" s="115">
        <v>13.495198477433386</v>
      </c>
      <c r="BI344">
        <f t="shared" si="161"/>
        <v>2031</v>
      </c>
      <c r="BJ344" s="306">
        <v>48152</v>
      </c>
      <c r="BK344">
        <f t="shared" si="162"/>
        <v>8.3149999999999995</v>
      </c>
      <c r="BL344">
        <v>8.35</v>
      </c>
      <c r="BM344">
        <v>8.2799999999999994</v>
      </c>
      <c r="BO344">
        <f t="shared" si="163"/>
        <v>2035</v>
      </c>
      <c r="BP344" s="286">
        <v>49553</v>
      </c>
      <c r="BQ344">
        <f t="shared" si="164"/>
        <v>14.59</v>
      </c>
      <c r="BR344">
        <v>14.73</v>
      </c>
      <c r="BS344">
        <v>14.45</v>
      </c>
      <c r="BT344">
        <f t="shared" si="153"/>
        <v>2042</v>
      </c>
      <c r="BU344" s="286">
        <v>51926</v>
      </c>
      <c r="BV344">
        <f t="shared" si="158"/>
        <v>7.5068000000000001</v>
      </c>
      <c r="BW344" s="580">
        <v>7.4414999999999996</v>
      </c>
      <c r="BX344" s="580">
        <v>7.5720999999999998</v>
      </c>
      <c r="BZ344" s="286"/>
      <c r="CB344" s="580"/>
      <c r="CC344" s="580"/>
      <c r="CD344" s="364"/>
      <c r="CE344" s="381"/>
      <c r="CG344" s="411"/>
      <c r="CH344" s="411"/>
      <c r="CI344" s="364">
        <f t="shared" si="156"/>
        <v>2048</v>
      </c>
      <c r="CJ344" s="381">
        <v>54149</v>
      </c>
      <c r="CK344" s="364">
        <f t="shared" si="160"/>
        <v>10.4191</v>
      </c>
      <c r="CL344" s="411">
        <v>10.7628</v>
      </c>
      <c r="CM344" s="411">
        <v>10.0754</v>
      </c>
    </row>
    <row r="345" spans="44:91">
      <c r="AR345">
        <f t="shared" si="165"/>
        <v>2033</v>
      </c>
      <c r="AS345" s="307">
        <f t="shared" si="159"/>
        <v>48580</v>
      </c>
      <c r="AT345" s="115">
        <v>119.71</v>
      </c>
      <c r="AU345" s="115">
        <v>108.04</v>
      </c>
      <c r="AV345" s="287">
        <f t="shared" si="151"/>
        <v>114.69189999999999</v>
      </c>
      <c r="AW345" s="271">
        <v>400</v>
      </c>
      <c r="AX345" s="271">
        <v>344</v>
      </c>
      <c r="AY345" s="271">
        <f t="shared" si="166"/>
        <v>0.5376344086021505</v>
      </c>
      <c r="AZ345" s="271">
        <f t="shared" si="167"/>
        <v>0.46236559139784944</v>
      </c>
      <c r="BD345">
        <f t="shared" si="152"/>
        <v>2033</v>
      </c>
      <c r="BE345" s="306">
        <f t="shared" si="157"/>
        <v>48580</v>
      </c>
      <c r="BF345" s="114">
        <f t="shared" si="168"/>
        <v>14.664312126155517</v>
      </c>
      <c r="BG345" s="115">
        <v>14.664312126155517</v>
      </c>
      <c r="BI345">
        <f t="shared" si="161"/>
        <v>2031</v>
      </c>
      <c r="BJ345" s="306">
        <v>48182</v>
      </c>
      <c r="BK345">
        <f t="shared" si="162"/>
        <v>8.4350000000000005</v>
      </c>
      <c r="BL345">
        <v>8.4700000000000006</v>
      </c>
      <c r="BM345">
        <v>8.4</v>
      </c>
      <c r="BO345">
        <f t="shared" si="163"/>
        <v>2035</v>
      </c>
      <c r="BP345" s="286">
        <v>49583</v>
      </c>
      <c r="BQ345">
        <f t="shared" si="164"/>
        <v>15.14</v>
      </c>
      <c r="BR345">
        <v>15.16</v>
      </c>
      <c r="BS345">
        <v>15.12</v>
      </c>
      <c r="BT345">
        <f t="shared" si="153"/>
        <v>2042</v>
      </c>
      <c r="BU345" s="286">
        <v>51957</v>
      </c>
      <c r="BV345">
        <f t="shared" si="158"/>
        <v>7.0872000000000002</v>
      </c>
      <c r="BW345" s="580">
        <v>7.0499000000000001</v>
      </c>
      <c r="BX345" s="580">
        <v>7.1245000000000003</v>
      </c>
      <c r="BZ345" s="286"/>
      <c r="CB345" s="580"/>
      <c r="CC345" s="580"/>
      <c r="CD345" s="364"/>
      <c r="CE345" s="381"/>
      <c r="CG345" s="411"/>
      <c r="CH345" s="411"/>
      <c r="CI345" s="364">
        <f t="shared" si="156"/>
        <v>2048</v>
      </c>
      <c r="CJ345" s="381">
        <v>54179</v>
      </c>
      <c r="CK345" s="364">
        <f t="shared" si="160"/>
        <v>10.383900000000001</v>
      </c>
      <c r="CL345" s="411">
        <v>10.8261</v>
      </c>
      <c r="CM345" s="411">
        <v>9.9417000000000009</v>
      </c>
    </row>
    <row r="346" spans="44:91">
      <c r="AR346">
        <f t="shared" si="165"/>
        <v>2033</v>
      </c>
      <c r="AS346" s="307">
        <f t="shared" si="159"/>
        <v>48611</v>
      </c>
      <c r="AT346" s="115">
        <v>112.67</v>
      </c>
      <c r="AU346" s="115">
        <v>97.99</v>
      </c>
      <c r="AV346" s="287">
        <f t="shared" si="151"/>
        <v>106.35759999999999</v>
      </c>
      <c r="AW346" s="271">
        <v>384</v>
      </c>
      <c r="AX346" s="271">
        <v>288</v>
      </c>
      <c r="AY346" s="271">
        <f t="shared" si="166"/>
        <v>0.5714285714285714</v>
      </c>
      <c r="AZ346" s="271">
        <f t="shared" si="167"/>
        <v>0.42857142857142855</v>
      </c>
      <c r="BD346">
        <f t="shared" si="152"/>
        <v>2033</v>
      </c>
      <c r="BE346" s="306">
        <f t="shared" si="157"/>
        <v>48611</v>
      </c>
      <c r="BF346" s="114">
        <f t="shared" si="168"/>
        <v>13.780679717237627</v>
      </c>
      <c r="BG346" s="115">
        <v>13.780679717237627</v>
      </c>
      <c r="BI346">
        <f t="shared" si="161"/>
        <v>2031</v>
      </c>
      <c r="BJ346" s="306">
        <v>48213</v>
      </c>
      <c r="BK346">
        <f t="shared" si="162"/>
        <v>8.86</v>
      </c>
      <c r="BL346">
        <v>8.83</v>
      </c>
      <c r="BM346">
        <v>8.89</v>
      </c>
      <c r="BO346">
        <f t="shared" si="163"/>
        <v>2035</v>
      </c>
      <c r="BP346" s="286">
        <v>49614</v>
      </c>
      <c r="BQ346">
        <f t="shared" si="164"/>
        <v>15.36</v>
      </c>
      <c r="BR346">
        <v>15.38</v>
      </c>
      <c r="BS346">
        <v>15.34</v>
      </c>
      <c r="BT346">
        <f t="shared" si="153"/>
        <v>2042</v>
      </c>
      <c r="BU346" s="286">
        <v>51987</v>
      </c>
      <c r="BV346">
        <f t="shared" si="158"/>
        <v>7.0405499999999996</v>
      </c>
      <c r="BW346" s="580">
        <v>7.0312000000000001</v>
      </c>
      <c r="BX346" s="580">
        <v>7.0499000000000001</v>
      </c>
      <c r="BZ346" s="286"/>
      <c r="CB346" s="580"/>
      <c r="CC346" s="580"/>
      <c r="CD346" s="364"/>
      <c r="CE346" s="381"/>
      <c r="CG346" s="411"/>
      <c r="CH346" s="411"/>
      <c r="CI346" s="364">
        <f t="shared" si="156"/>
        <v>2048</v>
      </c>
      <c r="CJ346" s="381">
        <v>54210</v>
      </c>
      <c r="CK346" s="364">
        <f t="shared" si="160"/>
        <v>10.463799999999999</v>
      </c>
      <c r="CL346" s="411">
        <v>11.007400000000001</v>
      </c>
      <c r="CM346" s="411">
        <v>9.9201999999999995</v>
      </c>
    </row>
    <row r="347" spans="44:91">
      <c r="AR347">
        <f t="shared" si="165"/>
        <v>2033</v>
      </c>
      <c r="AS347" s="307">
        <f t="shared" si="159"/>
        <v>48639</v>
      </c>
      <c r="AT347" s="115">
        <v>95.49</v>
      </c>
      <c r="AU347" s="115">
        <v>85.39</v>
      </c>
      <c r="AV347" s="287">
        <f t="shared" si="151"/>
        <v>91.146999999999991</v>
      </c>
      <c r="AW347" s="271">
        <v>432</v>
      </c>
      <c r="AX347" s="271">
        <v>312</v>
      </c>
      <c r="AY347" s="271">
        <f t="shared" si="166"/>
        <v>0.58064516129032262</v>
      </c>
      <c r="AZ347" s="271">
        <f t="shared" si="167"/>
        <v>0.41935483870967744</v>
      </c>
      <c r="BD347">
        <f t="shared" si="152"/>
        <v>2033</v>
      </c>
      <c r="BE347" s="306">
        <f t="shared" si="157"/>
        <v>48639</v>
      </c>
      <c r="BF347" s="114">
        <f t="shared" si="168"/>
        <v>12.958221859706361</v>
      </c>
      <c r="BG347" s="115">
        <v>12.958221859706361</v>
      </c>
      <c r="BI347">
        <f t="shared" si="161"/>
        <v>2032</v>
      </c>
      <c r="BJ347" s="306">
        <v>48244</v>
      </c>
      <c r="BK347">
        <f t="shared" si="162"/>
        <v>9.86</v>
      </c>
      <c r="BL347">
        <v>9.76</v>
      </c>
      <c r="BM347">
        <v>9.9600000000000009</v>
      </c>
      <c r="BO347">
        <f t="shared" si="163"/>
        <v>2035</v>
      </c>
      <c r="BP347" s="286">
        <v>49644</v>
      </c>
      <c r="BQ347">
        <f t="shared" si="164"/>
        <v>16.130000000000003</v>
      </c>
      <c r="BR347">
        <v>16.03</v>
      </c>
      <c r="BS347">
        <v>16.23</v>
      </c>
      <c r="BT347">
        <f t="shared" si="153"/>
        <v>2042</v>
      </c>
      <c r="BU347" s="286">
        <v>52018</v>
      </c>
      <c r="BV347">
        <f t="shared" si="158"/>
        <v>6.9565999999999999</v>
      </c>
      <c r="BW347" s="580">
        <v>6.9939</v>
      </c>
      <c r="BX347" s="580">
        <v>6.9192999999999998</v>
      </c>
      <c r="BZ347" s="286"/>
      <c r="CB347" s="580"/>
      <c r="CC347" s="580"/>
      <c r="CD347" s="364"/>
      <c r="CE347" s="381"/>
      <c r="CG347" s="411"/>
      <c r="CH347" s="411"/>
      <c r="CI347" s="364">
        <f t="shared" si="156"/>
        <v>2048</v>
      </c>
      <c r="CJ347" s="381">
        <v>54240</v>
      </c>
      <c r="CK347" s="364">
        <f t="shared" si="160"/>
        <v>10.661200000000001</v>
      </c>
      <c r="CL347" s="411">
        <v>11.318899999999999</v>
      </c>
      <c r="CM347" s="411">
        <v>10.003500000000001</v>
      </c>
    </row>
    <row r="348" spans="44:91">
      <c r="AR348">
        <f t="shared" si="165"/>
        <v>2033</v>
      </c>
      <c r="AS348" s="307">
        <f t="shared" si="159"/>
        <v>48670</v>
      </c>
      <c r="AT348" s="115">
        <v>94.98</v>
      </c>
      <c r="AU348" s="115">
        <v>90.49</v>
      </c>
      <c r="AV348" s="287">
        <f t="shared" si="151"/>
        <v>93.049299999999988</v>
      </c>
      <c r="AW348" s="271">
        <v>416</v>
      </c>
      <c r="AX348" s="271">
        <v>304</v>
      </c>
      <c r="AY348" s="271">
        <f t="shared" si="166"/>
        <v>0.57777777777777772</v>
      </c>
      <c r="AZ348" s="271">
        <f t="shared" si="167"/>
        <v>0.42222222222222222</v>
      </c>
      <c r="BD348">
        <f t="shared" si="152"/>
        <v>2033</v>
      </c>
      <c r="BE348" s="306">
        <f t="shared" si="157"/>
        <v>48670</v>
      </c>
      <c r="BF348" s="114">
        <f t="shared" si="168"/>
        <v>12.264910277324633</v>
      </c>
      <c r="BG348" s="115">
        <v>12.264910277324633</v>
      </c>
      <c r="BI348">
        <f t="shared" si="161"/>
        <v>2032</v>
      </c>
      <c r="BJ348" s="306">
        <v>48273</v>
      </c>
      <c r="BK348">
        <f t="shared" si="162"/>
        <v>9.17</v>
      </c>
      <c r="BL348">
        <v>9.14</v>
      </c>
      <c r="BM348">
        <v>9.1999999999999993</v>
      </c>
      <c r="BO348">
        <f t="shared" si="163"/>
        <v>2036</v>
      </c>
      <c r="BP348" s="286">
        <v>49675</v>
      </c>
      <c r="BQ348">
        <f t="shared" si="164"/>
        <v>17.649999999999999</v>
      </c>
      <c r="BR348">
        <v>17.420000000000002</v>
      </c>
      <c r="BS348">
        <v>17.88</v>
      </c>
      <c r="BT348">
        <f t="shared" si="153"/>
        <v>2042</v>
      </c>
      <c r="BU348" s="286">
        <v>52048</v>
      </c>
      <c r="BV348">
        <f t="shared" si="158"/>
        <v>7.0405499999999996</v>
      </c>
      <c r="BW348" s="580">
        <v>7.0872000000000002</v>
      </c>
      <c r="BX348" s="580">
        <v>6.9939</v>
      </c>
      <c r="BZ348" s="286"/>
      <c r="CB348" s="580"/>
      <c r="CC348" s="580"/>
      <c r="CD348" s="364"/>
      <c r="CE348" s="381"/>
      <c r="CG348" s="411"/>
      <c r="CH348" s="411"/>
      <c r="CI348" s="364">
        <f t="shared" si="156"/>
        <v>2048</v>
      </c>
      <c r="CJ348" s="381">
        <v>54271</v>
      </c>
      <c r="CK348" s="364">
        <f t="shared" si="160"/>
        <v>10.875250000000001</v>
      </c>
      <c r="CL348" s="411">
        <v>11.39</v>
      </c>
      <c r="CM348" s="411">
        <v>10.3605</v>
      </c>
    </row>
    <row r="349" spans="44:91">
      <c r="AR349">
        <f t="shared" si="165"/>
        <v>2033</v>
      </c>
      <c r="AS349" s="307">
        <f t="shared" si="159"/>
        <v>48700</v>
      </c>
      <c r="AT349" s="115">
        <v>96.72</v>
      </c>
      <c r="AU349" s="115">
        <v>90.98</v>
      </c>
      <c r="AV349" s="287">
        <f t="shared" si="151"/>
        <v>94.251800000000003</v>
      </c>
      <c r="AW349" s="271">
        <v>400</v>
      </c>
      <c r="AX349" s="271">
        <v>344</v>
      </c>
      <c r="AY349" s="271">
        <f t="shared" si="166"/>
        <v>0.5376344086021505</v>
      </c>
      <c r="AZ349" s="271">
        <f t="shared" si="167"/>
        <v>0.46236559139784944</v>
      </c>
      <c r="BD349">
        <f t="shared" si="152"/>
        <v>2033</v>
      </c>
      <c r="BE349" s="306">
        <f t="shared" si="157"/>
        <v>48700</v>
      </c>
      <c r="BF349" s="114">
        <f t="shared" si="168"/>
        <v>12.135764002175096</v>
      </c>
      <c r="BG349" s="115">
        <v>12.135764002175096</v>
      </c>
      <c r="BI349">
        <f t="shared" si="161"/>
        <v>2032</v>
      </c>
      <c r="BJ349" s="306">
        <v>48304</v>
      </c>
      <c r="BK349">
        <f t="shared" si="162"/>
        <v>8.6050000000000004</v>
      </c>
      <c r="BL349">
        <v>8.64</v>
      </c>
      <c r="BM349">
        <v>8.57</v>
      </c>
      <c r="BO349">
        <f t="shared" si="163"/>
        <v>2036</v>
      </c>
      <c r="BP349" s="286">
        <v>49706</v>
      </c>
      <c r="BQ349">
        <f t="shared" si="164"/>
        <v>16.420000000000002</v>
      </c>
      <c r="BR349">
        <v>16.32</v>
      </c>
      <c r="BS349">
        <v>16.52</v>
      </c>
      <c r="BT349">
        <f t="shared" si="153"/>
        <v>2042</v>
      </c>
      <c r="BU349" s="286">
        <v>52079</v>
      </c>
      <c r="BV349">
        <f t="shared" si="158"/>
        <v>7.2643500000000003</v>
      </c>
      <c r="BW349" s="580">
        <v>7.2363999999999997</v>
      </c>
      <c r="BX349" s="580">
        <v>7.2923</v>
      </c>
      <c r="BZ349" s="286"/>
      <c r="CB349" s="580"/>
      <c r="CC349" s="580"/>
      <c r="CD349" s="364"/>
      <c r="CE349" s="381"/>
      <c r="CG349" s="411"/>
      <c r="CH349" s="411"/>
      <c r="CI349" s="364">
        <f t="shared" si="156"/>
        <v>2048</v>
      </c>
      <c r="CJ349" s="381">
        <v>54302</v>
      </c>
      <c r="CK349" s="364">
        <f t="shared" si="160"/>
        <v>10.960699999999999</v>
      </c>
      <c r="CL349" s="411">
        <v>11.3988</v>
      </c>
      <c r="CM349" s="411">
        <v>10.522600000000001</v>
      </c>
    </row>
    <row r="350" spans="44:91">
      <c r="AR350">
        <f t="shared" si="165"/>
        <v>2033</v>
      </c>
      <c r="AS350" s="307">
        <f t="shared" si="159"/>
        <v>48731</v>
      </c>
      <c r="AT350" s="115">
        <v>104.69</v>
      </c>
      <c r="AU350" s="115">
        <v>93.43</v>
      </c>
      <c r="AV350" s="287">
        <f t="shared" ref="AV350:AV389" si="169">AT350*0.57+AU350*0.43</f>
        <v>99.848199999999991</v>
      </c>
      <c r="AW350" s="271">
        <v>416</v>
      </c>
      <c r="AX350" s="271">
        <v>304</v>
      </c>
      <c r="AY350" s="271">
        <f t="shared" si="166"/>
        <v>0.57777777777777772</v>
      </c>
      <c r="AZ350" s="271">
        <f t="shared" si="167"/>
        <v>0.42222222222222222</v>
      </c>
      <c r="BD350">
        <f t="shared" si="152"/>
        <v>2033</v>
      </c>
      <c r="BE350" s="306">
        <f t="shared" si="157"/>
        <v>48731</v>
      </c>
      <c r="BF350" s="114">
        <f t="shared" si="168"/>
        <v>12.326084828711256</v>
      </c>
      <c r="BG350" s="115">
        <v>12.326084828711256</v>
      </c>
      <c r="BI350">
        <f t="shared" si="161"/>
        <v>2032</v>
      </c>
      <c r="BJ350" s="306">
        <v>48334</v>
      </c>
      <c r="BK350">
        <f t="shared" si="162"/>
        <v>8.0449999999999999</v>
      </c>
      <c r="BL350">
        <v>8.15</v>
      </c>
      <c r="BM350">
        <v>7.94</v>
      </c>
      <c r="BO350">
        <f t="shared" si="163"/>
        <v>2036</v>
      </c>
      <c r="BP350" s="286">
        <v>49735</v>
      </c>
      <c r="BQ350">
        <f t="shared" si="164"/>
        <v>15.414999999999999</v>
      </c>
      <c r="BR350">
        <v>15.44</v>
      </c>
      <c r="BS350">
        <v>15.39</v>
      </c>
      <c r="BT350">
        <f t="shared" si="153"/>
        <v>2042</v>
      </c>
      <c r="BU350" s="286">
        <v>52110</v>
      </c>
      <c r="BV350">
        <f t="shared" si="158"/>
        <v>7.0871500000000003</v>
      </c>
      <c r="BW350" s="580">
        <v>7.0685000000000002</v>
      </c>
      <c r="BX350" s="580">
        <v>7.1058000000000003</v>
      </c>
      <c r="BZ350" s="286"/>
      <c r="CB350" s="580"/>
      <c r="CC350" s="580"/>
      <c r="CD350" s="364"/>
      <c r="CE350" s="381"/>
      <c r="CG350" s="411"/>
      <c r="CH350" s="411"/>
      <c r="CI350" s="364">
        <f t="shared" si="156"/>
        <v>2048</v>
      </c>
      <c r="CJ350" s="381">
        <v>54332</v>
      </c>
      <c r="CK350" s="364">
        <f t="shared" si="160"/>
        <v>11.0626</v>
      </c>
      <c r="CL350" s="411">
        <v>11.4474</v>
      </c>
      <c r="CM350" s="411">
        <v>10.6778</v>
      </c>
    </row>
    <row r="351" spans="44:91">
      <c r="AR351">
        <f t="shared" si="165"/>
        <v>2033</v>
      </c>
      <c r="AS351" s="307">
        <f t="shared" si="159"/>
        <v>48761</v>
      </c>
      <c r="AT351" s="115">
        <v>99.71</v>
      </c>
      <c r="AU351" s="115">
        <v>95.57</v>
      </c>
      <c r="AV351" s="287">
        <f t="shared" si="169"/>
        <v>97.929799999999986</v>
      </c>
      <c r="AW351" s="271">
        <v>400</v>
      </c>
      <c r="AX351" s="271">
        <v>344</v>
      </c>
      <c r="AY351" s="271">
        <f t="shared" si="166"/>
        <v>0.5376344086021505</v>
      </c>
      <c r="AZ351" s="271">
        <f t="shared" si="167"/>
        <v>0.46236559139784944</v>
      </c>
      <c r="BD351">
        <f t="shared" si="152"/>
        <v>2033</v>
      </c>
      <c r="BE351" s="306">
        <f t="shared" si="157"/>
        <v>48761</v>
      </c>
      <c r="BF351" s="114">
        <f t="shared" si="168"/>
        <v>12.519804241435562</v>
      </c>
      <c r="BG351" s="115">
        <v>12.519804241435562</v>
      </c>
      <c r="BI351">
        <f t="shared" si="161"/>
        <v>2032</v>
      </c>
      <c r="BJ351" s="306">
        <v>48365</v>
      </c>
      <c r="BK351">
        <f t="shared" si="162"/>
        <v>8.0449999999999999</v>
      </c>
      <c r="BL351">
        <v>8.15</v>
      </c>
      <c r="BM351">
        <v>7.94</v>
      </c>
      <c r="BO351">
        <f t="shared" si="163"/>
        <v>2036</v>
      </c>
      <c r="BP351" s="286">
        <v>49766</v>
      </c>
      <c r="BQ351">
        <f t="shared" si="164"/>
        <v>14.405000000000001</v>
      </c>
      <c r="BR351">
        <v>14.55</v>
      </c>
      <c r="BS351">
        <v>14.26</v>
      </c>
      <c r="BT351">
        <f t="shared" si="153"/>
        <v>2042</v>
      </c>
      <c r="BU351" s="286">
        <v>52140</v>
      </c>
      <c r="BV351">
        <f t="shared" si="158"/>
        <v>7.3668999999999993</v>
      </c>
      <c r="BW351" s="580">
        <v>7.2923</v>
      </c>
      <c r="BX351" s="580">
        <v>7.4414999999999996</v>
      </c>
      <c r="BZ351" s="286"/>
      <c r="CB351" s="580"/>
      <c r="CC351" s="580"/>
      <c r="CD351" s="364"/>
      <c r="CE351" s="381"/>
      <c r="CG351" s="411"/>
      <c r="CH351" s="411"/>
      <c r="CI351" s="364">
        <f t="shared" si="156"/>
        <v>2048</v>
      </c>
      <c r="CJ351" s="381">
        <v>54363</v>
      </c>
      <c r="CK351" s="364">
        <f t="shared" si="160"/>
        <v>11.70265</v>
      </c>
      <c r="CL351" s="411">
        <v>11.904500000000001</v>
      </c>
      <c r="CM351" s="411">
        <v>11.5008</v>
      </c>
    </row>
    <row r="352" spans="44:91">
      <c r="AR352">
        <f t="shared" si="165"/>
        <v>2033</v>
      </c>
      <c r="AS352" s="307">
        <f t="shared" si="159"/>
        <v>48792</v>
      </c>
      <c r="AT352" s="115">
        <v>100.2</v>
      </c>
      <c r="AU352" s="115">
        <v>96.12</v>
      </c>
      <c r="AV352" s="287">
        <f t="shared" si="169"/>
        <v>98.445599999999999</v>
      </c>
      <c r="AW352" s="271">
        <v>432</v>
      </c>
      <c r="AX352" s="271">
        <v>312</v>
      </c>
      <c r="AY352" s="271">
        <f t="shared" si="166"/>
        <v>0.58064516129032262</v>
      </c>
      <c r="AZ352" s="271">
        <f t="shared" si="167"/>
        <v>0.41935483870967744</v>
      </c>
      <c r="BD352">
        <f t="shared" si="152"/>
        <v>2033</v>
      </c>
      <c r="BE352" s="306">
        <f t="shared" si="157"/>
        <v>48792</v>
      </c>
      <c r="BF352" s="114">
        <f t="shared" si="168"/>
        <v>12.519804241435562</v>
      </c>
      <c r="BG352" s="115">
        <v>12.519804241435562</v>
      </c>
      <c r="BI352">
        <f t="shared" si="161"/>
        <v>2032</v>
      </c>
      <c r="BJ352" s="306">
        <v>48395</v>
      </c>
      <c r="BK352">
        <f t="shared" si="162"/>
        <v>8.17</v>
      </c>
      <c r="BL352">
        <v>8.27</v>
      </c>
      <c r="BM352">
        <v>8.07</v>
      </c>
      <c r="BO352">
        <f t="shared" si="163"/>
        <v>2036</v>
      </c>
      <c r="BP352" s="286">
        <v>49796</v>
      </c>
      <c r="BQ352">
        <f t="shared" si="164"/>
        <v>14.405000000000001</v>
      </c>
      <c r="BR352">
        <v>14.55</v>
      </c>
      <c r="BS352">
        <v>14.26</v>
      </c>
      <c r="BT352">
        <f t="shared" si="153"/>
        <v>2042</v>
      </c>
      <c r="BU352" s="286">
        <v>52171</v>
      </c>
      <c r="BV352">
        <f t="shared" si="158"/>
        <v>7.6560000000000006</v>
      </c>
      <c r="BW352" s="580">
        <v>7.5533999999999999</v>
      </c>
      <c r="BX352" s="580">
        <v>7.7586000000000004</v>
      </c>
      <c r="BZ352" s="286"/>
      <c r="CB352" s="580"/>
      <c r="CC352" s="580"/>
      <c r="CD352" s="364"/>
      <c r="CE352" s="381"/>
      <c r="CG352" s="411"/>
      <c r="CH352" s="411"/>
      <c r="CI352" s="364">
        <f t="shared" si="156"/>
        <v>2048</v>
      </c>
      <c r="CJ352" s="381">
        <v>54393</v>
      </c>
      <c r="CK352" s="364">
        <f t="shared" si="160"/>
        <v>12.0374</v>
      </c>
      <c r="CL352" s="411">
        <v>12.138299999999999</v>
      </c>
      <c r="CM352" s="411">
        <v>11.936500000000001</v>
      </c>
    </row>
    <row r="353" spans="44:91">
      <c r="AR353">
        <f t="shared" si="165"/>
        <v>2033</v>
      </c>
      <c r="AS353" s="307">
        <f t="shared" si="159"/>
        <v>48823</v>
      </c>
      <c r="AT353" s="115">
        <v>99.33</v>
      </c>
      <c r="AU353" s="115">
        <v>93.14</v>
      </c>
      <c r="AV353" s="287">
        <f t="shared" si="169"/>
        <v>96.668299999999988</v>
      </c>
      <c r="AW353" s="271">
        <v>400</v>
      </c>
      <c r="AX353" s="271">
        <v>320</v>
      </c>
      <c r="AY353" s="271">
        <f t="shared" si="166"/>
        <v>0.55555555555555558</v>
      </c>
      <c r="AZ353" s="271">
        <f t="shared" si="167"/>
        <v>0.44444444444444442</v>
      </c>
      <c r="BD353">
        <f t="shared" si="152"/>
        <v>2033</v>
      </c>
      <c r="BE353" s="306">
        <f t="shared" si="157"/>
        <v>48823</v>
      </c>
      <c r="BF353" s="114">
        <f t="shared" si="168"/>
        <v>12.519804241435562</v>
      </c>
      <c r="BG353" s="115">
        <v>12.519804241435562</v>
      </c>
      <c r="BI353">
        <f t="shared" si="161"/>
        <v>2032</v>
      </c>
      <c r="BJ353" s="306">
        <v>48426</v>
      </c>
      <c r="BK353">
        <f t="shared" si="162"/>
        <v>8.2949999999999999</v>
      </c>
      <c r="BL353">
        <v>8.4</v>
      </c>
      <c r="BM353">
        <v>8.19</v>
      </c>
      <c r="BO353">
        <f t="shared" si="163"/>
        <v>2036</v>
      </c>
      <c r="BP353" s="286">
        <v>49827</v>
      </c>
      <c r="BQ353">
        <f t="shared" si="164"/>
        <v>14.629999999999999</v>
      </c>
      <c r="BR353">
        <v>14.77</v>
      </c>
      <c r="BS353">
        <v>14.49</v>
      </c>
      <c r="BT353">
        <f t="shared" si="153"/>
        <v>2042</v>
      </c>
      <c r="BU353" s="286">
        <v>52201</v>
      </c>
      <c r="BV353">
        <f t="shared" si="158"/>
        <v>8.0383499999999994</v>
      </c>
      <c r="BW353" s="580">
        <v>7.9264000000000001</v>
      </c>
      <c r="BX353" s="580">
        <v>8.1502999999999997</v>
      </c>
      <c r="BZ353" s="286"/>
      <c r="CB353" s="580"/>
      <c r="CC353" s="580"/>
      <c r="CD353" s="364"/>
      <c r="CE353" s="381"/>
      <c r="CG353" s="411"/>
      <c r="CH353" s="411"/>
      <c r="CI353" s="364">
        <f t="shared" si="156"/>
        <v>2049</v>
      </c>
      <c r="CJ353" s="381">
        <v>54424</v>
      </c>
      <c r="CK353" s="364">
        <f t="shared" si="160"/>
        <v>12.393799999999999</v>
      </c>
      <c r="CL353" s="411">
        <v>12.5161</v>
      </c>
      <c r="CM353" s="411">
        <v>12.2715</v>
      </c>
    </row>
    <row r="354" spans="44:91">
      <c r="AR354">
        <f t="shared" si="165"/>
        <v>2033</v>
      </c>
      <c r="AS354" s="307">
        <f t="shared" si="159"/>
        <v>48853</v>
      </c>
      <c r="AT354" s="115">
        <v>98.57</v>
      </c>
      <c r="AU354" s="115">
        <v>86.05</v>
      </c>
      <c r="AV354" s="287">
        <f t="shared" si="169"/>
        <v>93.186399999999992</v>
      </c>
      <c r="AW354" s="271">
        <v>416</v>
      </c>
      <c r="AX354" s="271">
        <v>328</v>
      </c>
      <c r="AY354" s="271">
        <f t="shared" si="166"/>
        <v>0.55913978494623651</v>
      </c>
      <c r="AZ354" s="271">
        <f t="shared" si="167"/>
        <v>0.44086021505376344</v>
      </c>
      <c r="BD354">
        <f t="shared" ref="BD354:BD389" si="170">+YEAR(BE354)</f>
        <v>2033</v>
      </c>
      <c r="BE354" s="306">
        <f t="shared" si="157"/>
        <v>48853</v>
      </c>
      <c r="BF354" s="114">
        <f t="shared" si="168"/>
        <v>12.958221859706361</v>
      </c>
      <c r="BG354" s="115">
        <v>12.958221859706361</v>
      </c>
      <c r="BI354">
        <f t="shared" si="161"/>
        <v>2032</v>
      </c>
      <c r="BJ354" s="306">
        <v>48457</v>
      </c>
      <c r="BK354">
        <f t="shared" si="162"/>
        <v>8.2949999999999999</v>
      </c>
      <c r="BL354">
        <v>8.4</v>
      </c>
      <c r="BM354">
        <v>8.19</v>
      </c>
      <c r="BO354">
        <f t="shared" si="163"/>
        <v>2036</v>
      </c>
      <c r="BP354" s="286">
        <v>49857</v>
      </c>
      <c r="BQ354">
        <f t="shared" si="164"/>
        <v>14.855</v>
      </c>
      <c r="BR354">
        <v>15</v>
      </c>
      <c r="BS354">
        <v>14.71</v>
      </c>
      <c r="BT354">
        <f t="shared" ref="BT354:BT356" si="171">YEAR(BU354)</f>
        <v>2043</v>
      </c>
      <c r="BU354" s="286">
        <v>52232</v>
      </c>
      <c r="BV354">
        <f t="shared" si="158"/>
        <v>7.9752000000000001</v>
      </c>
      <c r="BW354" s="580">
        <v>7.9943</v>
      </c>
      <c r="BX354" s="580">
        <v>7.9561000000000002</v>
      </c>
      <c r="BZ354" s="286"/>
      <c r="CB354" s="580"/>
      <c r="CC354" s="580"/>
      <c r="CD354" s="364"/>
      <c r="CE354" s="381"/>
      <c r="CG354" s="411"/>
      <c r="CH354" s="411"/>
      <c r="CI354" s="364">
        <f t="shared" ref="CI354:CI392" si="172">YEAR(CJ354)</f>
        <v>2049</v>
      </c>
      <c r="CJ354" s="381">
        <v>54455</v>
      </c>
      <c r="CK354" s="364">
        <f t="shared" si="160"/>
        <v>11.969899999999999</v>
      </c>
      <c r="CL354" s="411">
        <v>12.1782</v>
      </c>
      <c r="CM354" s="411">
        <v>11.7616</v>
      </c>
    </row>
    <row r="355" spans="44:91">
      <c r="AR355">
        <f t="shared" si="165"/>
        <v>2033</v>
      </c>
      <c r="AS355" s="307">
        <f t="shared" si="159"/>
        <v>48884</v>
      </c>
      <c r="AT355" s="115">
        <v>111.32</v>
      </c>
      <c r="AU355" s="115">
        <v>97.62</v>
      </c>
      <c r="AV355" s="287">
        <f t="shared" si="169"/>
        <v>105.429</v>
      </c>
      <c r="AW355" s="271">
        <v>400</v>
      </c>
      <c r="AX355" s="271">
        <v>320</v>
      </c>
      <c r="AY355" s="271">
        <f t="shared" si="166"/>
        <v>0.55555555555555558</v>
      </c>
      <c r="AZ355" s="271">
        <f t="shared" si="167"/>
        <v>0.44444444444444442</v>
      </c>
      <c r="BD355">
        <f t="shared" si="170"/>
        <v>2033</v>
      </c>
      <c r="BE355" s="306">
        <f t="shared" ref="BE355:BE389" si="173">EOMONTH(BE354,0)+1</f>
        <v>48884</v>
      </c>
      <c r="BF355" s="114">
        <f t="shared" si="168"/>
        <v>13.148542686242523</v>
      </c>
      <c r="BG355" s="115">
        <v>13.148542686242523</v>
      </c>
      <c r="BI355">
        <f t="shared" si="161"/>
        <v>2032</v>
      </c>
      <c r="BJ355" s="306">
        <v>48487</v>
      </c>
      <c r="BK355">
        <f t="shared" si="162"/>
        <v>8.2949999999999999</v>
      </c>
      <c r="BL355">
        <v>8.4</v>
      </c>
      <c r="BM355">
        <v>8.19</v>
      </c>
      <c r="BO355">
        <f t="shared" si="163"/>
        <v>2036</v>
      </c>
      <c r="BP355" s="286">
        <v>49888</v>
      </c>
      <c r="BQ355">
        <f t="shared" si="164"/>
        <v>14.855</v>
      </c>
      <c r="BR355">
        <v>15</v>
      </c>
      <c r="BS355">
        <v>14.71</v>
      </c>
      <c r="BT355">
        <f t="shared" si="171"/>
        <v>2043</v>
      </c>
      <c r="BU355" s="286">
        <v>52263</v>
      </c>
      <c r="BV355">
        <f t="shared" si="158"/>
        <v>8.2041500000000003</v>
      </c>
      <c r="BW355" s="580">
        <v>8.0706000000000007</v>
      </c>
      <c r="BX355" s="580">
        <v>8.3376999999999999</v>
      </c>
      <c r="BZ355" s="286"/>
      <c r="CB355" s="580"/>
      <c r="CC355" s="580"/>
      <c r="CD355" s="364"/>
      <c r="CE355" s="381"/>
      <c r="CG355" s="411"/>
      <c r="CH355" s="411"/>
      <c r="CI355" s="364">
        <f t="shared" si="172"/>
        <v>2049</v>
      </c>
      <c r="CJ355" s="381">
        <v>54483</v>
      </c>
      <c r="CK355" s="364">
        <f t="shared" si="160"/>
        <v>11.40395</v>
      </c>
      <c r="CL355" s="411">
        <v>11.734500000000001</v>
      </c>
      <c r="CM355" s="411">
        <v>11.073399999999999</v>
      </c>
    </row>
    <row r="356" spans="44:91">
      <c r="AR356">
        <f t="shared" si="165"/>
        <v>2033</v>
      </c>
      <c r="AS356" s="307">
        <f t="shared" si="159"/>
        <v>48914</v>
      </c>
      <c r="AT356" s="115">
        <v>116.54</v>
      </c>
      <c r="AU356" s="115">
        <v>106.87</v>
      </c>
      <c r="AV356" s="287">
        <f t="shared" si="169"/>
        <v>112.3819</v>
      </c>
      <c r="AW356" s="271">
        <v>416</v>
      </c>
      <c r="AX356" s="271">
        <v>328</v>
      </c>
      <c r="AY356" s="271">
        <f t="shared" si="166"/>
        <v>0.55913978494623651</v>
      </c>
      <c r="AZ356" s="271">
        <f t="shared" si="167"/>
        <v>0.44086021505376344</v>
      </c>
      <c r="BD356">
        <f t="shared" si="170"/>
        <v>2033</v>
      </c>
      <c r="BE356" s="306">
        <f t="shared" si="173"/>
        <v>48914</v>
      </c>
      <c r="BF356" s="114">
        <f t="shared" si="168"/>
        <v>13.780679717237627</v>
      </c>
      <c r="BG356" s="115">
        <v>13.780679717237627</v>
      </c>
      <c r="BI356">
        <f t="shared" si="161"/>
        <v>2032</v>
      </c>
      <c r="BJ356" s="306">
        <v>48518</v>
      </c>
      <c r="BK356">
        <f t="shared" si="162"/>
        <v>8.6050000000000004</v>
      </c>
      <c r="BL356">
        <v>8.64</v>
      </c>
      <c r="BM356">
        <v>8.57</v>
      </c>
      <c r="BO356">
        <f t="shared" si="163"/>
        <v>2036</v>
      </c>
      <c r="BP356" s="286">
        <v>49919</v>
      </c>
      <c r="BQ356">
        <f t="shared" si="164"/>
        <v>14.855</v>
      </c>
      <c r="BR356">
        <v>15</v>
      </c>
      <c r="BS356">
        <v>14.71</v>
      </c>
      <c r="BT356">
        <f t="shared" si="171"/>
        <v>2043</v>
      </c>
      <c r="BU356" s="286">
        <v>52291</v>
      </c>
      <c r="BV356">
        <f t="shared" si="158"/>
        <v>7.6794500000000001</v>
      </c>
      <c r="BW356" s="580">
        <v>7.6127000000000002</v>
      </c>
      <c r="BX356" s="580">
        <v>7.7462</v>
      </c>
      <c r="BZ356" s="286"/>
      <c r="CB356" s="580"/>
      <c r="CC356" s="580"/>
      <c r="CD356" s="364"/>
      <c r="CE356" s="381"/>
      <c r="CG356" s="411"/>
      <c r="CH356" s="411"/>
      <c r="CI356" s="364">
        <f t="shared" si="172"/>
        <v>2049</v>
      </c>
      <c r="CJ356" s="381">
        <v>54514</v>
      </c>
      <c r="CK356" s="364">
        <f t="shared" si="160"/>
        <v>10.9338</v>
      </c>
      <c r="CL356" s="411">
        <v>11.2889</v>
      </c>
      <c r="CM356" s="411">
        <v>10.5787</v>
      </c>
    </row>
    <row r="357" spans="44:91">
      <c r="AR357">
        <f t="shared" si="165"/>
        <v>2034</v>
      </c>
      <c r="AS357" s="307">
        <f t="shared" si="159"/>
        <v>48945</v>
      </c>
      <c r="AT357" s="115">
        <v>122.22</v>
      </c>
      <c r="AU357" s="115">
        <v>110.31</v>
      </c>
      <c r="AV357" s="287">
        <f t="shared" si="169"/>
        <v>117.09869999999999</v>
      </c>
      <c r="AW357" s="271">
        <v>400</v>
      </c>
      <c r="AX357" s="271">
        <v>344</v>
      </c>
      <c r="AY357" s="271">
        <f t="shared" si="166"/>
        <v>0.5376344086021505</v>
      </c>
      <c r="AZ357" s="271">
        <f t="shared" si="167"/>
        <v>0.46236559139784944</v>
      </c>
      <c r="BD357">
        <f t="shared" si="170"/>
        <v>2034</v>
      </c>
      <c r="BE357" s="306">
        <f t="shared" si="173"/>
        <v>48945</v>
      </c>
      <c r="BF357" s="114">
        <f t="shared" si="168"/>
        <v>14.970184883088635</v>
      </c>
      <c r="BG357" s="115">
        <v>14.970184883088635</v>
      </c>
      <c r="BI357">
        <f t="shared" si="161"/>
        <v>2032</v>
      </c>
      <c r="BJ357" s="306">
        <v>48548</v>
      </c>
      <c r="BK357">
        <f t="shared" si="162"/>
        <v>8.7349999999999994</v>
      </c>
      <c r="BL357">
        <v>8.77</v>
      </c>
      <c r="BM357">
        <v>8.6999999999999993</v>
      </c>
      <c r="BO357">
        <f t="shared" si="163"/>
        <v>2036</v>
      </c>
      <c r="BP357" s="286">
        <v>49949</v>
      </c>
      <c r="BQ357">
        <f t="shared" si="164"/>
        <v>15.414999999999999</v>
      </c>
      <c r="BR357">
        <v>15.44</v>
      </c>
      <c r="BS357">
        <v>15.39</v>
      </c>
      <c r="BU357" s="286"/>
      <c r="BW357" s="580"/>
      <c r="BZ357" s="286"/>
      <c r="CB357" s="580"/>
      <c r="CD357" s="364"/>
      <c r="CE357" s="381"/>
      <c r="CG357" s="411"/>
      <c r="CI357" s="364">
        <f t="shared" si="172"/>
        <v>2049</v>
      </c>
      <c r="CJ357" s="381">
        <v>54544</v>
      </c>
      <c r="CK357" s="364">
        <f t="shared" si="160"/>
        <v>10.88475</v>
      </c>
      <c r="CL357" s="411">
        <v>11.3552</v>
      </c>
      <c r="CM357" s="364">
        <v>10.414300000000001</v>
      </c>
    </row>
    <row r="358" spans="44:91">
      <c r="AR358">
        <f t="shared" si="165"/>
        <v>2034</v>
      </c>
      <c r="AS358" s="307">
        <f t="shared" si="159"/>
        <v>48976</v>
      </c>
      <c r="AT358" s="115">
        <v>115.03</v>
      </c>
      <c r="AU358" s="115">
        <v>100.05</v>
      </c>
      <c r="AV358" s="287">
        <f t="shared" si="169"/>
        <v>108.58859999999999</v>
      </c>
      <c r="AW358" s="271">
        <v>384</v>
      </c>
      <c r="AX358" s="271">
        <v>288</v>
      </c>
      <c r="AY358" s="271">
        <f t="shared" si="166"/>
        <v>0.5714285714285714</v>
      </c>
      <c r="AZ358" s="271">
        <f t="shared" si="167"/>
        <v>0.42857142857142855</v>
      </c>
      <c r="BD358">
        <f t="shared" si="170"/>
        <v>2034</v>
      </c>
      <c r="BE358" s="306">
        <f t="shared" si="173"/>
        <v>48976</v>
      </c>
      <c r="BF358" s="114">
        <f t="shared" si="168"/>
        <v>14.06616095704187</v>
      </c>
      <c r="BG358" s="115">
        <v>14.06616095704187</v>
      </c>
      <c r="BI358">
        <f t="shared" si="161"/>
        <v>2032</v>
      </c>
      <c r="BJ358" s="306">
        <v>48579</v>
      </c>
      <c r="BK358">
        <f t="shared" si="162"/>
        <v>9.17</v>
      </c>
      <c r="BL358">
        <v>9.14</v>
      </c>
      <c r="BM358">
        <v>9.1999999999999993</v>
      </c>
      <c r="BO358">
        <f t="shared" si="163"/>
        <v>2036</v>
      </c>
      <c r="BP358" s="286">
        <v>49980</v>
      </c>
      <c r="BQ358">
        <f t="shared" si="164"/>
        <v>15.64</v>
      </c>
      <c r="BR358">
        <v>15.66</v>
      </c>
      <c r="BS358">
        <v>15.62</v>
      </c>
      <c r="BU358" s="286"/>
      <c r="BW358" s="580"/>
      <c r="BZ358" s="286"/>
      <c r="CB358" s="580"/>
      <c r="CD358" s="364"/>
      <c r="CE358" s="381"/>
      <c r="CG358" s="411"/>
      <c r="CI358" s="364">
        <f t="shared" si="172"/>
        <v>2049</v>
      </c>
      <c r="CJ358" s="381">
        <v>54575</v>
      </c>
      <c r="CK358" s="364">
        <f t="shared" si="160"/>
        <v>10.95805</v>
      </c>
      <c r="CL358" s="411">
        <v>11.517799999999999</v>
      </c>
      <c r="CM358" s="364">
        <v>10.398300000000001</v>
      </c>
    </row>
    <row r="359" spans="44:91">
      <c r="AR359">
        <f t="shared" si="165"/>
        <v>2034</v>
      </c>
      <c r="AS359" s="307">
        <f t="shared" si="159"/>
        <v>49004</v>
      </c>
      <c r="AT359" s="115">
        <v>97.5</v>
      </c>
      <c r="AU359" s="115">
        <v>87.18</v>
      </c>
      <c r="AV359" s="287">
        <f t="shared" si="169"/>
        <v>93.062399999999997</v>
      </c>
      <c r="AW359" s="271">
        <v>432</v>
      </c>
      <c r="AX359" s="271">
        <v>312</v>
      </c>
      <c r="AY359" s="271">
        <f t="shared" si="166"/>
        <v>0.58064516129032262</v>
      </c>
      <c r="AZ359" s="271">
        <f t="shared" si="167"/>
        <v>0.41935483870967744</v>
      </c>
      <c r="BD359">
        <f t="shared" si="170"/>
        <v>2034</v>
      </c>
      <c r="BE359" s="306">
        <f t="shared" si="173"/>
        <v>49004</v>
      </c>
      <c r="BF359" s="114">
        <f t="shared" si="168"/>
        <v>13.230108754758021</v>
      </c>
      <c r="BG359" s="115">
        <v>13.230108754758021</v>
      </c>
      <c r="BI359">
        <f t="shared" si="161"/>
        <v>2033</v>
      </c>
      <c r="BJ359" s="306">
        <v>48610</v>
      </c>
      <c r="BK359">
        <f t="shared" si="162"/>
        <v>10.205</v>
      </c>
      <c r="BL359">
        <v>10.1</v>
      </c>
      <c r="BM359">
        <v>10.31</v>
      </c>
      <c r="BO359">
        <f t="shared" si="163"/>
        <v>2036</v>
      </c>
      <c r="BP359" s="286">
        <v>50010</v>
      </c>
      <c r="BQ359">
        <f t="shared" si="164"/>
        <v>16.420000000000002</v>
      </c>
      <c r="BR359">
        <v>16.32</v>
      </c>
      <c r="BS359">
        <v>16.52</v>
      </c>
      <c r="BU359" s="286"/>
      <c r="BW359" s="580"/>
      <c r="BZ359" s="286"/>
      <c r="CB359" s="580"/>
      <c r="CD359" s="364"/>
      <c r="CE359" s="381"/>
      <c r="CG359" s="411"/>
      <c r="CI359" s="364">
        <f t="shared" si="172"/>
        <v>2049</v>
      </c>
      <c r="CJ359" s="381">
        <v>54605</v>
      </c>
      <c r="CK359" s="364">
        <f t="shared" si="160"/>
        <v>11.117599999999999</v>
      </c>
      <c r="CL359" s="411">
        <v>11.771000000000001</v>
      </c>
      <c r="CM359" s="364">
        <v>10.4642</v>
      </c>
    </row>
    <row r="360" spans="44:91">
      <c r="AR360">
        <f t="shared" si="165"/>
        <v>2034</v>
      </c>
      <c r="AS360" s="307">
        <f t="shared" si="159"/>
        <v>49035</v>
      </c>
      <c r="AT360" s="115">
        <v>96.97</v>
      </c>
      <c r="AU360" s="115">
        <v>92.39</v>
      </c>
      <c r="AV360" s="287">
        <f t="shared" si="169"/>
        <v>95.000599999999991</v>
      </c>
      <c r="AW360" s="271">
        <v>400</v>
      </c>
      <c r="AX360" s="271">
        <v>320</v>
      </c>
      <c r="AY360" s="271">
        <f t="shared" si="166"/>
        <v>0.55555555555555558</v>
      </c>
      <c r="AZ360" s="271">
        <f t="shared" si="167"/>
        <v>0.44444444444444442</v>
      </c>
      <c r="BD360">
        <f t="shared" si="170"/>
        <v>2034</v>
      </c>
      <c r="BE360" s="306">
        <f t="shared" si="173"/>
        <v>49035</v>
      </c>
      <c r="BF360" s="114">
        <f t="shared" si="168"/>
        <v>12.519804241435562</v>
      </c>
      <c r="BG360" s="115">
        <v>12.519804241435562</v>
      </c>
      <c r="BI360">
        <f t="shared" si="161"/>
        <v>2033</v>
      </c>
      <c r="BJ360" s="306">
        <v>48638</v>
      </c>
      <c r="BK360">
        <f t="shared" si="162"/>
        <v>9.495000000000001</v>
      </c>
      <c r="BL360">
        <v>9.4600000000000009</v>
      </c>
      <c r="BM360">
        <v>9.5299999999999994</v>
      </c>
      <c r="BO360">
        <f t="shared" si="163"/>
        <v>2037</v>
      </c>
      <c r="BP360" s="286">
        <v>50041</v>
      </c>
      <c r="BQ360">
        <f t="shared" si="164"/>
        <v>17.984999999999999</v>
      </c>
      <c r="BR360">
        <v>17.75</v>
      </c>
      <c r="BS360">
        <v>18.22</v>
      </c>
      <c r="BU360" s="286"/>
      <c r="BW360" s="580"/>
      <c r="BZ360" s="286"/>
      <c r="CB360" s="580"/>
      <c r="CD360" s="364"/>
      <c r="CE360" s="381"/>
      <c r="CG360" s="411"/>
      <c r="CI360" s="364">
        <f t="shared" si="172"/>
        <v>2049</v>
      </c>
      <c r="CJ360" s="381">
        <v>54636</v>
      </c>
      <c r="CK360" s="364">
        <f t="shared" si="160"/>
        <v>11.279499999999999</v>
      </c>
      <c r="CL360" s="411">
        <v>11.8409</v>
      </c>
      <c r="CM360" s="364">
        <v>10.7181</v>
      </c>
    </row>
    <row r="361" spans="44:91">
      <c r="AR361">
        <f t="shared" si="165"/>
        <v>2034</v>
      </c>
      <c r="AS361" s="307">
        <f t="shared" si="159"/>
        <v>49065</v>
      </c>
      <c r="AT361" s="115">
        <v>98.75</v>
      </c>
      <c r="AU361" s="115">
        <v>92.89</v>
      </c>
      <c r="AV361" s="287">
        <f t="shared" si="169"/>
        <v>96.230199999999996</v>
      </c>
      <c r="AW361" s="271">
        <v>416</v>
      </c>
      <c r="AX361" s="271">
        <v>328</v>
      </c>
      <c r="AY361" s="271">
        <f t="shared" si="166"/>
        <v>0.55913978494623651</v>
      </c>
      <c r="AZ361" s="271">
        <f t="shared" si="167"/>
        <v>0.44086021505376344</v>
      </c>
      <c r="BD361">
        <f t="shared" si="170"/>
        <v>2034</v>
      </c>
      <c r="BE361" s="306">
        <f t="shared" si="173"/>
        <v>49065</v>
      </c>
      <c r="BF361" s="114">
        <f t="shared" si="168"/>
        <v>12.390657966286026</v>
      </c>
      <c r="BG361" s="115">
        <v>12.390657966286026</v>
      </c>
      <c r="BI361">
        <f t="shared" si="161"/>
        <v>2033</v>
      </c>
      <c r="BJ361" s="306">
        <v>48669</v>
      </c>
      <c r="BK361">
        <f t="shared" si="162"/>
        <v>8.91</v>
      </c>
      <c r="BL361">
        <v>8.9499999999999993</v>
      </c>
      <c r="BM361">
        <v>8.8699999999999992</v>
      </c>
      <c r="BO361">
        <f t="shared" si="163"/>
        <v>2037</v>
      </c>
      <c r="BP361" s="286">
        <v>50072</v>
      </c>
      <c r="BQ361">
        <f t="shared" si="164"/>
        <v>16.734999999999999</v>
      </c>
      <c r="BR361">
        <v>16.63</v>
      </c>
      <c r="BS361">
        <v>16.84</v>
      </c>
      <c r="BU361" s="286"/>
      <c r="BW361" s="580"/>
      <c r="BZ361" s="286"/>
      <c r="CB361" s="580"/>
      <c r="CD361" s="364"/>
      <c r="CE361" s="381"/>
      <c r="CG361" s="411"/>
      <c r="CI361" s="364">
        <f t="shared" si="172"/>
        <v>2049</v>
      </c>
      <c r="CJ361" s="381">
        <v>54667</v>
      </c>
      <c r="CK361" s="364">
        <f t="shared" si="160"/>
        <v>11.414100000000001</v>
      </c>
      <c r="CL361" s="411">
        <v>11.845000000000001</v>
      </c>
      <c r="CM361" s="364">
        <v>10.9832</v>
      </c>
    </row>
    <row r="362" spans="44:91">
      <c r="AR362">
        <f t="shared" si="165"/>
        <v>2034</v>
      </c>
      <c r="AS362" s="307">
        <f t="shared" si="159"/>
        <v>49096</v>
      </c>
      <c r="AT362" s="115">
        <v>106.89</v>
      </c>
      <c r="AU362" s="115">
        <v>95.39</v>
      </c>
      <c r="AV362" s="287">
        <f t="shared" si="169"/>
        <v>101.94499999999999</v>
      </c>
      <c r="AW362" s="271">
        <v>416</v>
      </c>
      <c r="AX362" s="271">
        <v>304</v>
      </c>
      <c r="AY362" s="271">
        <f t="shared" si="166"/>
        <v>0.57777777777777772</v>
      </c>
      <c r="AZ362" s="271">
        <f t="shared" si="167"/>
        <v>0.42222222222222222</v>
      </c>
      <c r="BD362">
        <f t="shared" si="170"/>
        <v>2034</v>
      </c>
      <c r="BE362" s="306">
        <f t="shared" si="173"/>
        <v>49096</v>
      </c>
      <c r="BF362" s="114">
        <f t="shared" si="168"/>
        <v>12.584377379010331</v>
      </c>
      <c r="BG362" s="115">
        <v>12.584377379010331</v>
      </c>
      <c r="BI362">
        <f t="shared" si="161"/>
        <v>2033</v>
      </c>
      <c r="BJ362" s="306">
        <v>48699</v>
      </c>
      <c r="BK362">
        <f t="shared" si="162"/>
        <v>8.33</v>
      </c>
      <c r="BL362">
        <v>8.44</v>
      </c>
      <c r="BM362">
        <v>8.2200000000000006</v>
      </c>
      <c r="BO362">
        <f t="shared" si="163"/>
        <v>2037</v>
      </c>
      <c r="BP362" s="286">
        <v>50100</v>
      </c>
      <c r="BQ362">
        <f t="shared" si="164"/>
        <v>15.71</v>
      </c>
      <c r="BR362">
        <v>15.73</v>
      </c>
      <c r="BS362">
        <v>15.69</v>
      </c>
      <c r="BU362" s="286"/>
      <c r="BW362" s="580"/>
      <c r="BZ362" s="286"/>
      <c r="CB362" s="580"/>
      <c r="CD362" s="364"/>
      <c r="CE362" s="381"/>
      <c r="CG362" s="411"/>
      <c r="CI362" s="364">
        <f t="shared" si="172"/>
        <v>2049</v>
      </c>
      <c r="CJ362" s="381">
        <v>54697</v>
      </c>
      <c r="CK362" s="364">
        <f t="shared" si="160"/>
        <v>11.502000000000001</v>
      </c>
      <c r="CL362" s="411">
        <v>11.869400000000001</v>
      </c>
      <c r="CM362" s="364">
        <v>11.134600000000001</v>
      </c>
    </row>
    <row r="363" spans="44:91">
      <c r="AR363">
        <f t="shared" si="165"/>
        <v>2034</v>
      </c>
      <c r="AS363" s="307">
        <f t="shared" si="159"/>
        <v>49126</v>
      </c>
      <c r="AT363" s="115">
        <v>101.81</v>
      </c>
      <c r="AU363" s="115">
        <v>97.58</v>
      </c>
      <c r="AV363" s="287">
        <f t="shared" si="169"/>
        <v>99.991099999999989</v>
      </c>
      <c r="AW363" s="271">
        <v>400</v>
      </c>
      <c r="AX363" s="271">
        <v>344</v>
      </c>
      <c r="AY363" s="271">
        <f t="shared" si="166"/>
        <v>0.5376344086021505</v>
      </c>
      <c r="AZ363" s="271">
        <f t="shared" si="167"/>
        <v>0.46236559139784944</v>
      </c>
      <c r="BD363">
        <f t="shared" si="170"/>
        <v>2034</v>
      </c>
      <c r="BE363" s="306">
        <f t="shared" si="173"/>
        <v>49126</v>
      </c>
      <c r="BF363" s="114">
        <f t="shared" si="168"/>
        <v>12.77809679173464</v>
      </c>
      <c r="BG363" s="115">
        <v>12.77809679173464</v>
      </c>
      <c r="BI363">
        <f t="shared" si="161"/>
        <v>2033</v>
      </c>
      <c r="BJ363" s="306">
        <v>48730</v>
      </c>
      <c r="BK363">
        <f t="shared" si="162"/>
        <v>8.33</v>
      </c>
      <c r="BL363">
        <v>8.44</v>
      </c>
      <c r="BM363">
        <v>8.2200000000000006</v>
      </c>
      <c r="BO363">
        <f t="shared" si="163"/>
        <v>2037</v>
      </c>
      <c r="BP363" s="286">
        <v>50131</v>
      </c>
      <c r="BQ363">
        <f t="shared" si="164"/>
        <v>14.68</v>
      </c>
      <c r="BR363">
        <v>14.83</v>
      </c>
      <c r="BS363">
        <v>14.53</v>
      </c>
      <c r="BU363" s="286"/>
      <c r="BW363" s="580"/>
      <c r="BZ363" s="286"/>
      <c r="CB363" s="580"/>
      <c r="CD363" s="364"/>
      <c r="CE363" s="381"/>
      <c r="CG363" s="411"/>
      <c r="CI363" s="364">
        <f t="shared" si="172"/>
        <v>2049</v>
      </c>
      <c r="CJ363" s="381">
        <v>54728</v>
      </c>
      <c r="CK363" s="364">
        <f t="shared" si="160"/>
        <v>12.2645</v>
      </c>
      <c r="CL363" s="411">
        <v>12.4826</v>
      </c>
      <c r="CM363" s="364">
        <v>12.0464</v>
      </c>
    </row>
    <row r="364" spans="44:91">
      <c r="AR364">
        <f t="shared" si="165"/>
        <v>2034</v>
      </c>
      <c r="AS364" s="307">
        <f t="shared" si="159"/>
        <v>49157</v>
      </c>
      <c r="AT364" s="115">
        <v>102.31</v>
      </c>
      <c r="AU364" s="115">
        <v>98.14</v>
      </c>
      <c r="AV364" s="287">
        <f t="shared" si="169"/>
        <v>100.51689999999999</v>
      </c>
      <c r="AW364" s="271">
        <v>432</v>
      </c>
      <c r="AX364" s="271">
        <v>312</v>
      </c>
      <c r="AY364" s="271">
        <f t="shared" si="166"/>
        <v>0.58064516129032262</v>
      </c>
      <c r="AZ364" s="271">
        <f t="shared" si="167"/>
        <v>0.41935483870967744</v>
      </c>
      <c r="BD364">
        <f t="shared" si="170"/>
        <v>2034</v>
      </c>
      <c r="BE364" s="306">
        <f t="shared" si="173"/>
        <v>49157</v>
      </c>
      <c r="BF364" s="114">
        <f t="shared" si="168"/>
        <v>12.77809679173464</v>
      </c>
      <c r="BG364" s="115">
        <v>12.77809679173464</v>
      </c>
      <c r="BI364">
        <f t="shared" si="161"/>
        <v>2033</v>
      </c>
      <c r="BJ364" s="306">
        <v>48760</v>
      </c>
      <c r="BK364">
        <f t="shared" si="162"/>
        <v>8.4550000000000001</v>
      </c>
      <c r="BL364">
        <v>8.56</v>
      </c>
      <c r="BM364">
        <v>8.35</v>
      </c>
      <c r="BO364">
        <f t="shared" si="163"/>
        <v>2037</v>
      </c>
      <c r="BP364" s="286">
        <v>50161</v>
      </c>
      <c r="BQ364">
        <f t="shared" si="164"/>
        <v>14.68</v>
      </c>
      <c r="BR364">
        <v>14.83</v>
      </c>
      <c r="BS364">
        <v>14.53</v>
      </c>
      <c r="BU364" s="286"/>
      <c r="BW364" s="580"/>
      <c r="BZ364" s="286"/>
      <c r="CB364" s="580"/>
      <c r="CD364" s="364"/>
      <c r="CE364" s="381"/>
      <c r="CG364" s="411"/>
      <c r="CI364" s="364">
        <f t="shared" si="172"/>
        <v>2049</v>
      </c>
      <c r="CJ364" s="381">
        <v>54758</v>
      </c>
      <c r="CK364" s="364">
        <f t="shared" si="160"/>
        <v>12.5527</v>
      </c>
      <c r="CL364" s="411">
        <v>12.682399999999999</v>
      </c>
      <c r="CM364" s="364">
        <v>12.423</v>
      </c>
    </row>
    <row r="365" spans="44:91">
      <c r="AR365">
        <f t="shared" si="165"/>
        <v>2034</v>
      </c>
      <c r="AS365" s="307">
        <f t="shared" si="159"/>
        <v>49188</v>
      </c>
      <c r="AT365" s="115">
        <v>101.41</v>
      </c>
      <c r="AU365" s="115">
        <v>95.1</v>
      </c>
      <c r="AV365" s="287">
        <f t="shared" si="169"/>
        <v>98.696699999999993</v>
      </c>
      <c r="AW365" s="271">
        <v>400</v>
      </c>
      <c r="AX365" s="271">
        <v>320</v>
      </c>
      <c r="AY365" s="271">
        <f t="shared" si="166"/>
        <v>0.55555555555555558</v>
      </c>
      <c r="AZ365" s="271">
        <f t="shared" si="167"/>
        <v>0.44444444444444442</v>
      </c>
      <c r="BD365">
        <f t="shared" si="170"/>
        <v>2034</v>
      </c>
      <c r="BE365" s="306">
        <f t="shared" si="173"/>
        <v>49188</v>
      </c>
      <c r="BF365" s="114">
        <f t="shared" si="168"/>
        <v>12.77809679173464</v>
      </c>
      <c r="BG365" s="115">
        <v>12.77809679173464</v>
      </c>
      <c r="BI365">
        <f t="shared" si="161"/>
        <v>2033</v>
      </c>
      <c r="BJ365" s="306">
        <v>48791</v>
      </c>
      <c r="BK365">
        <f t="shared" si="162"/>
        <v>8.5850000000000009</v>
      </c>
      <c r="BL365">
        <v>8.69</v>
      </c>
      <c r="BM365">
        <v>8.48</v>
      </c>
      <c r="BO365">
        <f t="shared" si="163"/>
        <v>2037</v>
      </c>
      <c r="BP365" s="286">
        <v>50192</v>
      </c>
      <c r="BQ365">
        <f t="shared" si="164"/>
        <v>14.91</v>
      </c>
      <c r="BR365">
        <v>15.06</v>
      </c>
      <c r="BS365">
        <v>14.76</v>
      </c>
      <c r="BU365" s="286"/>
      <c r="BW365" s="580"/>
      <c r="BZ365" s="286"/>
      <c r="CB365" s="580"/>
      <c r="CD365" s="364"/>
      <c r="CE365" s="381"/>
      <c r="CG365" s="411"/>
      <c r="CI365" s="364">
        <f t="shared" si="172"/>
        <v>2050</v>
      </c>
      <c r="CJ365" s="381">
        <v>54789</v>
      </c>
      <c r="CK365" s="364">
        <f t="shared" si="160"/>
        <v>12.9308</v>
      </c>
      <c r="CL365" s="411">
        <v>13.09</v>
      </c>
      <c r="CM365" s="364">
        <v>12.771599999999999</v>
      </c>
    </row>
    <row r="366" spans="44:91">
      <c r="AR366">
        <f t="shared" si="165"/>
        <v>2034</v>
      </c>
      <c r="AS366" s="307">
        <f t="shared" ref="AS366:AS429" si="174">EOMONTH(AS365,0)+1</f>
        <v>49218</v>
      </c>
      <c r="AT366" s="115">
        <v>100.64</v>
      </c>
      <c r="AU366" s="115">
        <v>87.86</v>
      </c>
      <c r="AV366" s="287">
        <f t="shared" si="169"/>
        <v>95.144599999999997</v>
      </c>
      <c r="AW366" s="271">
        <v>416</v>
      </c>
      <c r="AX366" s="271">
        <v>328</v>
      </c>
      <c r="AY366" s="271">
        <f t="shared" si="166"/>
        <v>0.55913978494623651</v>
      </c>
      <c r="AZ366" s="271">
        <f t="shared" si="167"/>
        <v>0.44086021505376344</v>
      </c>
      <c r="BD366">
        <f t="shared" si="170"/>
        <v>2034</v>
      </c>
      <c r="BE366" s="306">
        <f t="shared" si="173"/>
        <v>49218</v>
      </c>
      <c r="BF366" s="114">
        <f t="shared" si="168"/>
        <v>13.230108754758021</v>
      </c>
      <c r="BG366" s="115">
        <v>13.230108754758021</v>
      </c>
      <c r="BI366">
        <f t="shared" si="161"/>
        <v>2033</v>
      </c>
      <c r="BJ366" s="306">
        <v>48822</v>
      </c>
      <c r="BK366">
        <f t="shared" si="162"/>
        <v>8.5850000000000009</v>
      </c>
      <c r="BL366">
        <v>8.69</v>
      </c>
      <c r="BM366">
        <v>8.48</v>
      </c>
      <c r="BO366">
        <f t="shared" si="163"/>
        <v>2037</v>
      </c>
      <c r="BP366" s="286">
        <v>50222</v>
      </c>
      <c r="BQ366">
        <f t="shared" si="164"/>
        <v>15.135</v>
      </c>
      <c r="BR366">
        <v>15.28</v>
      </c>
      <c r="BS366">
        <v>14.99</v>
      </c>
      <c r="BU366" s="286"/>
      <c r="BZ366" s="286"/>
      <c r="CD366" s="364"/>
      <c r="CE366" s="381"/>
      <c r="CI366" s="364">
        <f t="shared" si="172"/>
        <v>2050</v>
      </c>
      <c r="CJ366" s="381">
        <v>54820</v>
      </c>
      <c r="CK366" s="364">
        <f t="shared" si="160"/>
        <v>12.4703</v>
      </c>
      <c r="CL366" s="364">
        <v>12.6785</v>
      </c>
      <c r="CM366" s="364">
        <v>12.2621</v>
      </c>
    </row>
    <row r="367" spans="44:91">
      <c r="AR367">
        <f t="shared" si="165"/>
        <v>2034</v>
      </c>
      <c r="AS367" s="307">
        <f t="shared" si="174"/>
        <v>49249</v>
      </c>
      <c r="AT367" s="115">
        <v>113.66</v>
      </c>
      <c r="AU367" s="115">
        <v>99.67</v>
      </c>
      <c r="AV367" s="287">
        <f t="shared" si="169"/>
        <v>107.64429999999999</v>
      </c>
      <c r="AW367" s="271">
        <v>400</v>
      </c>
      <c r="AX367" s="271">
        <v>320</v>
      </c>
      <c r="AY367" s="271">
        <f t="shared" si="166"/>
        <v>0.55555555555555558</v>
      </c>
      <c r="AZ367" s="271">
        <f t="shared" si="167"/>
        <v>0.44444444444444442</v>
      </c>
      <c r="BD367">
        <f t="shared" si="170"/>
        <v>2034</v>
      </c>
      <c r="BE367" s="306">
        <f t="shared" si="173"/>
        <v>49249</v>
      </c>
      <c r="BF367" s="114">
        <f t="shared" si="168"/>
        <v>13.423828167482325</v>
      </c>
      <c r="BG367" s="115">
        <v>13.423828167482325</v>
      </c>
      <c r="BI367">
        <f t="shared" si="161"/>
        <v>2033</v>
      </c>
      <c r="BJ367" s="306">
        <v>48852</v>
      </c>
      <c r="BK367">
        <f t="shared" si="162"/>
        <v>8.5850000000000009</v>
      </c>
      <c r="BL367">
        <v>8.69</v>
      </c>
      <c r="BM367">
        <v>8.48</v>
      </c>
      <c r="BO367">
        <f t="shared" si="163"/>
        <v>2037</v>
      </c>
      <c r="BP367" s="286">
        <v>50253</v>
      </c>
      <c r="BQ367">
        <f t="shared" si="164"/>
        <v>15.135</v>
      </c>
      <c r="BR367">
        <v>15.28</v>
      </c>
      <c r="BS367">
        <v>14.99</v>
      </c>
      <c r="BU367" s="286"/>
      <c r="BZ367" s="286"/>
      <c r="CD367" s="364"/>
      <c r="CE367" s="381"/>
      <c r="CI367" s="364">
        <f t="shared" si="172"/>
        <v>2050</v>
      </c>
      <c r="CJ367" s="381">
        <v>54848</v>
      </c>
      <c r="CK367" s="364">
        <f t="shared" si="160"/>
        <v>11.784400000000002</v>
      </c>
      <c r="CL367" s="364">
        <v>12.085100000000001</v>
      </c>
      <c r="CM367" s="364">
        <v>11.483700000000001</v>
      </c>
    </row>
    <row r="368" spans="44:91">
      <c r="AR368">
        <f t="shared" si="165"/>
        <v>2034</v>
      </c>
      <c r="AS368" s="307">
        <f t="shared" si="174"/>
        <v>49279</v>
      </c>
      <c r="AT368" s="115">
        <v>118.99</v>
      </c>
      <c r="AU368" s="115">
        <v>109.11</v>
      </c>
      <c r="AV368" s="287">
        <f t="shared" si="169"/>
        <v>114.74159999999999</v>
      </c>
      <c r="AW368" s="271">
        <v>400</v>
      </c>
      <c r="AX368" s="271">
        <v>344</v>
      </c>
      <c r="AY368" s="271">
        <f t="shared" si="166"/>
        <v>0.5376344086021505</v>
      </c>
      <c r="AZ368" s="271">
        <f t="shared" si="167"/>
        <v>0.46236559139784944</v>
      </c>
      <c r="BD368">
        <f t="shared" si="170"/>
        <v>2034</v>
      </c>
      <c r="BE368" s="306">
        <f t="shared" si="173"/>
        <v>49279</v>
      </c>
      <c r="BF368" s="114">
        <f t="shared" si="168"/>
        <v>14.06616095704187</v>
      </c>
      <c r="BG368" s="115">
        <v>14.06616095704187</v>
      </c>
      <c r="BI368">
        <f t="shared" si="161"/>
        <v>2033</v>
      </c>
      <c r="BJ368" s="306">
        <v>48883</v>
      </c>
      <c r="BK368">
        <f t="shared" si="162"/>
        <v>8.91</v>
      </c>
      <c r="BL368">
        <v>8.9499999999999993</v>
      </c>
      <c r="BM368">
        <v>8.8699999999999992</v>
      </c>
      <c r="BO368">
        <f t="shared" si="163"/>
        <v>2037</v>
      </c>
      <c r="BP368" s="286">
        <v>50284</v>
      </c>
      <c r="BQ368">
        <f t="shared" si="164"/>
        <v>15.135</v>
      </c>
      <c r="BR368">
        <v>15.28</v>
      </c>
      <c r="BS368">
        <v>14.99</v>
      </c>
      <c r="BU368" s="286"/>
      <c r="BZ368" s="286"/>
      <c r="CD368" s="364"/>
      <c r="CE368" s="381"/>
      <c r="CI368" s="364">
        <f t="shared" si="172"/>
        <v>2050</v>
      </c>
      <c r="CJ368" s="381">
        <v>54879</v>
      </c>
      <c r="CK368" s="364">
        <f t="shared" si="160"/>
        <v>11.42895</v>
      </c>
      <c r="CL368" s="364">
        <v>11.7882</v>
      </c>
      <c r="CM368" s="364">
        <v>11.069699999999999</v>
      </c>
    </row>
    <row r="369" spans="44:91">
      <c r="AR369">
        <f t="shared" si="165"/>
        <v>2035</v>
      </c>
      <c r="AS369" s="307">
        <f t="shared" si="174"/>
        <v>49310</v>
      </c>
      <c r="AT369" s="115">
        <v>124.79</v>
      </c>
      <c r="AU369" s="115">
        <v>112.62</v>
      </c>
      <c r="AV369" s="287">
        <f t="shared" si="169"/>
        <v>119.55689999999998</v>
      </c>
      <c r="AW369" s="271">
        <v>416</v>
      </c>
      <c r="AX369" s="271">
        <v>328</v>
      </c>
      <c r="AY369" s="271">
        <f t="shared" si="166"/>
        <v>0.55913978494623651</v>
      </c>
      <c r="AZ369" s="271">
        <f t="shared" si="167"/>
        <v>0.44086021505376344</v>
      </c>
      <c r="BD369">
        <f t="shared" si="170"/>
        <v>2035</v>
      </c>
      <c r="BE369" s="306">
        <f t="shared" si="173"/>
        <v>49310</v>
      </c>
      <c r="BF369" s="114">
        <f t="shared" si="168"/>
        <v>15.282854812398041</v>
      </c>
      <c r="BG369" s="115">
        <v>15.282854812398041</v>
      </c>
      <c r="BI369">
        <f t="shared" si="161"/>
        <v>2033</v>
      </c>
      <c r="BJ369" s="306">
        <v>48913</v>
      </c>
      <c r="BK369">
        <f t="shared" si="162"/>
        <v>9.0350000000000001</v>
      </c>
      <c r="BL369">
        <v>9.07</v>
      </c>
      <c r="BM369">
        <v>9</v>
      </c>
      <c r="BO369">
        <f t="shared" si="163"/>
        <v>2037</v>
      </c>
      <c r="BP369" s="286">
        <v>50314</v>
      </c>
      <c r="BQ369">
        <f t="shared" si="164"/>
        <v>15.71</v>
      </c>
      <c r="BR369">
        <v>15.73</v>
      </c>
      <c r="BS369">
        <v>15.69</v>
      </c>
      <c r="CD369" s="364"/>
      <c r="CI369" s="364">
        <f t="shared" si="172"/>
        <v>2050</v>
      </c>
      <c r="CJ369" s="381">
        <v>54909</v>
      </c>
      <c r="CK369" s="364">
        <f t="shared" si="160"/>
        <v>11.386749999999999</v>
      </c>
      <c r="CL369" s="364">
        <v>11.8565</v>
      </c>
      <c r="CM369" s="364">
        <v>10.917</v>
      </c>
    </row>
    <row r="370" spans="44:91">
      <c r="AR370">
        <f t="shared" si="165"/>
        <v>2035</v>
      </c>
      <c r="AS370" s="307">
        <f t="shared" si="174"/>
        <v>49341</v>
      </c>
      <c r="AT370" s="115">
        <v>117.45</v>
      </c>
      <c r="AU370" s="115">
        <v>102.15</v>
      </c>
      <c r="AV370" s="287">
        <f t="shared" si="169"/>
        <v>110.87100000000001</v>
      </c>
      <c r="AW370" s="271">
        <v>384</v>
      </c>
      <c r="AX370" s="271">
        <v>288</v>
      </c>
      <c r="AY370" s="271">
        <f t="shared" si="166"/>
        <v>0.5714285714285714</v>
      </c>
      <c r="AZ370" s="271">
        <f t="shared" si="167"/>
        <v>0.42857142857142855</v>
      </c>
      <c r="BD370">
        <f t="shared" si="170"/>
        <v>2035</v>
      </c>
      <c r="BE370" s="306">
        <f t="shared" si="173"/>
        <v>49341</v>
      </c>
      <c r="BF370" s="114">
        <f t="shared" si="168"/>
        <v>14.361837955410548</v>
      </c>
      <c r="BG370" s="115">
        <v>14.361837955410548</v>
      </c>
      <c r="BI370">
        <f t="shared" si="161"/>
        <v>2033</v>
      </c>
      <c r="BJ370" s="306">
        <v>48944</v>
      </c>
      <c r="BK370">
        <f t="shared" si="162"/>
        <v>9.495000000000001</v>
      </c>
      <c r="BL370">
        <v>9.4600000000000009</v>
      </c>
      <c r="BM370">
        <v>9.5299999999999994</v>
      </c>
      <c r="BO370">
        <f t="shared" si="163"/>
        <v>2037</v>
      </c>
      <c r="BP370" s="286">
        <v>50345</v>
      </c>
      <c r="BQ370">
        <f t="shared" si="164"/>
        <v>15.934999999999999</v>
      </c>
      <c r="BR370">
        <v>15.95</v>
      </c>
      <c r="BS370">
        <v>15.92</v>
      </c>
      <c r="CD370" s="364"/>
      <c r="CI370" s="364">
        <f t="shared" si="172"/>
        <v>2050</v>
      </c>
      <c r="CJ370" s="381">
        <v>54940</v>
      </c>
      <c r="CK370" s="364">
        <f t="shared" si="160"/>
        <v>11.4291</v>
      </c>
      <c r="CL370" s="364">
        <v>11.9742</v>
      </c>
      <c r="CM370" s="364">
        <v>10.884</v>
      </c>
    </row>
    <row r="371" spans="44:91">
      <c r="AR371">
        <f t="shared" si="165"/>
        <v>2035</v>
      </c>
      <c r="AS371" s="307">
        <f t="shared" si="174"/>
        <v>49369</v>
      </c>
      <c r="AT371" s="115">
        <v>99.54</v>
      </c>
      <c r="AU371" s="115">
        <v>89.01</v>
      </c>
      <c r="AV371" s="287">
        <f t="shared" si="169"/>
        <v>95.012100000000004</v>
      </c>
      <c r="AW371" s="271">
        <v>432</v>
      </c>
      <c r="AX371" s="271">
        <v>312</v>
      </c>
      <c r="AY371" s="271">
        <f t="shared" si="166"/>
        <v>0.58064516129032262</v>
      </c>
      <c r="AZ371" s="271">
        <f t="shared" si="167"/>
        <v>0.41935483870967744</v>
      </c>
      <c r="BD371">
        <f t="shared" si="170"/>
        <v>2035</v>
      </c>
      <c r="BE371" s="306">
        <f t="shared" si="173"/>
        <v>49369</v>
      </c>
      <c r="BF371" s="114">
        <f t="shared" si="168"/>
        <v>13.508792822185971</v>
      </c>
      <c r="BG371" s="115">
        <v>13.508792822185971</v>
      </c>
      <c r="BI371">
        <f t="shared" si="161"/>
        <v>2034</v>
      </c>
      <c r="BJ371" s="306">
        <v>48975</v>
      </c>
      <c r="BK371">
        <f t="shared" si="162"/>
        <v>10.559999999999999</v>
      </c>
      <c r="BL371">
        <v>10.45</v>
      </c>
      <c r="BM371">
        <v>10.67</v>
      </c>
      <c r="BO371">
        <f t="shared" si="163"/>
        <v>2037</v>
      </c>
      <c r="BP371" s="286">
        <v>50375</v>
      </c>
      <c r="BQ371">
        <f t="shared" si="164"/>
        <v>16.734999999999999</v>
      </c>
      <c r="BR371">
        <v>16.63</v>
      </c>
      <c r="BS371">
        <v>16.84</v>
      </c>
      <c r="CD371" s="364"/>
      <c r="CI371" s="364">
        <f t="shared" si="172"/>
        <v>2050</v>
      </c>
      <c r="CJ371" s="381">
        <v>54970</v>
      </c>
      <c r="CK371" s="364">
        <f t="shared" si="160"/>
        <v>11.6379</v>
      </c>
      <c r="CL371" s="364">
        <v>12.322800000000001</v>
      </c>
      <c r="CM371" s="364">
        <v>10.952999999999999</v>
      </c>
    </row>
    <row r="372" spans="44:91">
      <c r="AR372">
        <f t="shared" si="165"/>
        <v>2035</v>
      </c>
      <c r="AS372" s="307">
        <f t="shared" si="174"/>
        <v>49400</v>
      </c>
      <c r="AT372" s="115">
        <v>99.01</v>
      </c>
      <c r="AU372" s="115">
        <v>94.33</v>
      </c>
      <c r="AV372" s="287">
        <f t="shared" si="169"/>
        <v>96.997600000000006</v>
      </c>
      <c r="AW372" s="271">
        <v>400</v>
      </c>
      <c r="AX372" s="271">
        <v>320</v>
      </c>
      <c r="AY372" s="271">
        <f t="shared" si="166"/>
        <v>0.55555555555555558</v>
      </c>
      <c r="AZ372" s="271">
        <f t="shared" si="167"/>
        <v>0.44444444444444442</v>
      </c>
      <c r="BD372">
        <f t="shared" si="170"/>
        <v>2035</v>
      </c>
      <c r="BE372" s="306">
        <f t="shared" si="173"/>
        <v>49400</v>
      </c>
      <c r="BF372" s="114">
        <f t="shared" si="168"/>
        <v>12.784893964110928</v>
      </c>
      <c r="BG372" s="115">
        <v>12.784893964110928</v>
      </c>
      <c r="BI372">
        <f t="shared" si="161"/>
        <v>2034</v>
      </c>
      <c r="BJ372" s="306">
        <v>49003</v>
      </c>
      <c r="BK372">
        <f t="shared" si="162"/>
        <v>9.8249999999999993</v>
      </c>
      <c r="BL372">
        <v>9.7899999999999991</v>
      </c>
      <c r="BM372">
        <v>9.86</v>
      </c>
      <c r="BO372">
        <f t="shared" si="163"/>
        <v>2038</v>
      </c>
      <c r="BP372" s="286">
        <v>50406</v>
      </c>
      <c r="BQ372">
        <f t="shared" si="164"/>
        <v>18.310000000000002</v>
      </c>
      <c r="BR372">
        <v>18.07</v>
      </c>
      <c r="BS372">
        <v>18.55</v>
      </c>
      <c r="CD372" s="364"/>
      <c r="CI372" s="364">
        <f t="shared" si="172"/>
        <v>2050</v>
      </c>
      <c r="CJ372" s="381">
        <v>55001</v>
      </c>
      <c r="CK372" s="364">
        <f t="shared" si="160"/>
        <v>11.81105</v>
      </c>
      <c r="CL372" s="364">
        <v>12.396599999999999</v>
      </c>
      <c r="CM372" s="364">
        <v>11.2255</v>
      </c>
    </row>
    <row r="373" spans="44:91">
      <c r="AR373">
        <f t="shared" si="165"/>
        <v>2035</v>
      </c>
      <c r="AS373" s="307">
        <f t="shared" si="174"/>
        <v>49430</v>
      </c>
      <c r="AT373" s="115">
        <v>100.82</v>
      </c>
      <c r="AU373" s="115">
        <v>94.84</v>
      </c>
      <c r="AV373" s="287">
        <f t="shared" si="169"/>
        <v>98.248599999999982</v>
      </c>
      <c r="AW373" s="271">
        <v>416</v>
      </c>
      <c r="AX373" s="271">
        <v>328</v>
      </c>
      <c r="AY373" s="271">
        <f t="shared" si="166"/>
        <v>0.55913978494623651</v>
      </c>
      <c r="AZ373" s="271">
        <f t="shared" si="167"/>
        <v>0.44086021505376344</v>
      </c>
      <c r="BD373">
        <f t="shared" si="170"/>
        <v>2035</v>
      </c>
      <c r="BE373" s="306">
        <f t="shared" si="173"/>
        <v>49430</v>
      </c>
      <c r="BF373" s="114">
        <f t="shared" si="168"/>
        <v>12.652349102773247</v>
      </c>
      <c r="BG373" s="115">
        <v>12.652349102773247</v>
      </c>
      <c r="BI373">
        <f t="shared" si="161"/>
        <v>2034</v>
      </c>
      <c r="BJ373" s="306">
        <v>49034</v>
      </c>
      <c r="BK373">
        <f t="shared" si="162"/>
        <v>9.2199999999999989</v>
      </c>
      <c r="BL373">
        <v>9.26</v>
      </c>
      <c r="BM373">
        <v>9.18</v>
      </c>
      <c r="BO373">
        <f t="shared" si="163"/>
        <v>2038</v>
      </c>
      <c r="BP373" s="286">
        <v>50437</v>
      </c>
      <c r="BQ373">
        <f t="shared" si="164"/>
        <v>17.035</v>
      </c>
      <c r="BR373">
        <v>16.93</v>
      </c>
      <c r="BS373">
        <v>17.14</v>
      </c>
      <c r="CD373" s="364"/>
      <c r="CI373" s="364">
        <f t="shared" si="172"/>
        <v>2050</v>
      </c>
      <c r="CJ373" s="381">
        <v>55032</v>
      </c>
      <c r="CK373" s="364">
        <f t="shared" si="160"/>
        <v>12.008050000000001</v>
      </c>
      <c r="CL373" s="364">
        <v>12.435</v>
      </c>
      <c r="CM373" s="364">
        <v>11.581099999999999</v>
      </c>
    </row>
    <row r="374" spans="44:91">
      <c r="AR374">
        <f t="shared" si="165"/>
        <v>2035</v>
      </c>
      <c r="AS374" s="307">
        <f t="shared" si="174"/>
        <v>49461</v>
      </c>
      <c r="AT374" s="115">
        <v>109.14</v>
      </c>
      <c r="AU374" s="115">
        <v>97.4</v>
      </c>
      <c r="AV374" s="287">
        <f t="shared" si="169"/>
        <v>104.09180000000001</v>
      </c>
      <c r="AW374" s="271">
        <v>416</v>
      </c>
      <c r="AX374" s="271">
        <v>304</v>
      </c>
      <c r="AY374" s="271">
        <f t="shared" si="166"/>
        <v>0.57777777777777772</v>
      </c>
      <c r="AZ374" s="271">
        <f t="shared" si="167"/>
        <v>0.42222222222222222</v>
      </c>
      <c r="BD374">
        <f t="shared" si="170"/>
        <v>2035</v>
      </c>
      <c r="BE374" s="306">
        <f t="shared" si="173"/>
        <v>49461</v>
      </c>
      <c r="BF374" s="114">
        <f t="shared" si="168"/>
        <v>12.849467101685697</v>
      </c>
      <c r="BG374" s="115">
        <v>12.849467101685697</v>
      </c>
      <c r="BI374">
        <f t="shared" si="161"/>
        <v>2034</v>
      </c>
      <c r="BJ374" s="306">
        <v>49064</v>
      </c>
      <c r="BK374">
        <f t="shared" si="162"/>
        <v>8.620000000000001</v>
      </c>
      <c r="BL374">
        <v>8.73</v>
      </c>
      <c r="BM374">
        <v>8.51</v>
      </c>
      <c r="BO374">
        <f t="shared" si="163"/>
        <v>2038</v>
      </c>
      <c r="BP374" s="286">
        <v>50465</v>
      </c>
      <c r="BQ374">
        <f t="shared" si="164"/>
        <v>15.990000000000002</v>
      </c>
      <c r="BR374">
        <v>16.010000000000002</v>
      </c>
      <c r="BS374">
        <v>15.97</v>
      </c>
      <c r="CD374" s="364"/>
      <c r="CI374" s="364">
        <f t="shared" si="172"/>
        <v>2050</v>
      </c>
      <c r="CJ374" s="381">
        <v>55062</v>
      </c>
      <c r="CK374" s="364">
        <f t="shared" si="160"/>
        <v>12.07785</v>
      </c>
      <c r="CL374" s="364">
        <v>12.475199999999999</v>
      </c>
      <c r="CM374" s="364">
        <v>11.6805</v>
      </c>
    </row>
    <row r="375" spans="44:91">
      <c r="AR375">
        <f t="shared" si="165"/>
        <v>2035</v>
      </c>
      <c r="AS375" s="307">
        <f t="shared" si="174"/>
        <v>49491</v>
      </c>
      <c r="AT375" s="115">
        <v>103.94</v>
      </c>
      <c r="AU375" s="115">
        <v>99.63</v>
      </c>
      <c r="AV375" s="287">
        <f t="shared" si="169"/>
        <v>102.08669999999999</v>
      </c>
      <c r="AW375" s="271">
        <v>400</v>
      </c>
      <c r="AX375" s="271">
        <v>344</v>
      </c>
      <c r="AY375" s="271">
        <f t="shared" si="166"/>
        <v>0.5376344086021505</v>
      </c>
      <c r="AZ375" s="271">
        <f t="shared" si="167"/>
        <v>0.46236559139784944</v>
      </c>
      <c r="BD375">
        <f t="shared" si="170"/>
        <v>2035</v>
      </c>
      <c r="BE375" s="306">
        <f t="shared" si="173"/>
        <v>49491</v>
      </c>
      <c r="BF375" s="114">
        <f t="shared" si="168"/>
        <v>13.049983686786298</v>
      </c>
      <c r="BG375" s="115">
        <v>13.049983686786298</v>
      </c>
      <c r="BI375">
        <f t="shared" si="161"/>
        <v>2034</v>
      </c>
      <c r="BJ375" s="306">
        <v>49095</v>
      </c>
      <c r="BK375">
        <f t="shared" si="162"/>
        <v>8.620000000000001</v>
      </c>
      <c r="BL375">
        <v>8.73</v>
      </c>
      <c r="BM375">
        <v>8.51</v>
      </c>
      <c r="BO375">
        <f t="shared" si="163"/>
        <v>2038</v>
      </c>
      <c r="BP375" s="286">
        <v>50496</v>
      </c>
      <c r="BQ375">
        <f t="shared" si="164"/>
        <v>14.945</v>
      </c>
      <c r="BR375">
        <v>15.1</v>
      </c>
      <c r="BS375">
        <v>14.79</v>
      </c>
      <c r="CD375" s="364"/>
      <c r="CI375" s="364">
        <f t="shared" si="172"/>
        <v>2050</v>
      </c>
      <c r="CJ375" s="381">
        <v>55093</v>
      </c>
      <c r="CK375" s="364">
        <f t="shared" si="160"/>
        <v>12.91375</v>
      </c>
      <c r="CL375" s="364">
        <v>13.135199999999999</v>
      </c>
      <c r="CM375" s="364">
        <v>12.692299999999999</v>
      </c>
    </row>
    <row r="376" spans="44:91">
      <c r="AR376">
        <f t="shared" si="165"/>
        <v>2035</v>
      </c>
      <c r="AS376" s="307">
        <f t="shared" si="174"/>
        <v>49522</v>
      </c>
      <c r="AT376" s="115">
        <v>104.46</v>
      </c>
      <c r="AU376" s="115">
        <v>100.2</v>
      </c>
      <c r="AV376" s="287">
        <f t="shared" si="169"/>
        <v>102.62819999999999</v>
      </c>
      <c r="AW376" s="271">
        <v>432</v>
      </c>
      <c r="AX376" s="271">
        <v>312</v>
      </c>
      <c r="AY376" s="271">
        <f t="shared" si="166"/>
        <v>0.58064516129032262</v>
      </c>
      <c r="AZ376" s="271">
        <f t="shared" si="167"/>
        <v>0.41935483870967744</v>
      </c>
      <c r="BD376">
        <f t="shared" si="170"/>
        <v>2035</v>
      </c>
      <c r="BE376" s="306">
        <f t="shared" si="173"/>
        <v>49522</v>
      </c>
      <c r="BF376" s="114">
        <f t="shared" si="168"/>
        <v>13.049983686786298</v>
      </c>
      <c r="BG376" s="115">
        <v>13.049983686786298</v>
      </c>
      <c r="BI376">
        <f t="shared" si="161"/>
        <v>2034</v>
      </c>
      <c r="BJ376" s="306">
        <v>49125</v>
      </c>
      <c r="BK376">
        <f t="shared" si="162"/>
        <v>8.75</v>
      </c>
      <c r="BL376">
        <v>8.86</v>
      </c>
      <c r="BM376">
        <v>8.64</v>
      </c>
      <c r="BO376">
        <f t="shared" si="163"/>
        <v>2038</v>
      </c>
      <c r="BP376" s="286">
        <v>50526</v>
      </c>
      <c r="BQ376">
        <f t="shared" si="164"/>
        <v>14.945</v>
      </c>
      <c r="BR376">
        <v>15.1</v>
      </c>
      <c r="BS376">
        <v>14.79</v>
      </c>
      <c r="CD376" s="364"/>
      <c r="CI376" s="364">
        <f t="shared" si="172"/>
        <v>2050</v>
      </c>
      <c r="CJ376" s="381">
        <v>55123</v>
      </c>
      <c r="CK376" s="364">
        <f t="shared" si="160"/>
        <v>13.195399999999999</v>
      </c>
      <c r="CL376" s="364">
        <v>13.3405</v>
      </c>
      <c r="CM376" s="364">
        <v>13.0503</v>
      </c>
    </row>
    <row r="377" spans="44:91">
      <c r="AR377">
        <f t="shared" si="165"/>
        <v>2035</v>
      </c>
      <c r="AS377" s="307">
        <f t="shared" si="174"/>
        <v>49553</v>
      </c>
      <c r="AT377" s="115">
        <v>103.54</v>
      </c>
      <c r="AU377" s="115">
        <v>97.09</v>
      </c>
      <c r="AV377" s="287">
        <f t="shared" si="169"/>
        <v>100.76650000000001</v>
      </c>
      <c r="AW377" s="271">
        <v>384</v>
      </c>
      <c r="AX377" s="271">
        <v>336</v>
      </c>
      <c r="AY377" s="271">
        <f t="shared" si="166"/>
        <v>0.53333333333333333</v>
      </c>
      <c r="AZ377" s="271">
        <f t="shared" si="167"/>
        <v>0.46666666666666667</v>
      </c>
      <c r="BD377">
        <f t="shared" si="170"/>
        <v>2035</v>
      </c>
      <c r="BE377" s="306">
        <f t="shared" si="173"/>
        <v>49553</v>
      </c>
      <c r="BF377" s="114">
        <f t="shared" si="168"/>
        <v>13.049983686786298</v>
      </c>
      <c r="BG377" s="115">
        <v>13.049983686786298</v>
      </c>
      <c r="BI377">
        <f t="shared" si="161"/>
        <v>2034</v>
      </c>
      <c r="BJ377" s="306">
        <v>49156</v>
      </c>
      <c r="BK377">
        <f t="shared" si="162"/>
        <v>8.8849999999999998</v>
      </c>
      <c r="BL377">
        <v>8.99</v>
      </c>
      <c r="BM377">
        <v>8.7799999999999994</v>
      </c>
      <c r="BO377">
        <f t="shared" si="163"/>
        <v>2038</v>
      </c>
      <c r="BP377" s="286">
        <v>50557</v>
      </c>
      <c r="BQ377">
        <f t="shared" si="164"/>
        <v>15.18</v>
      </c>
      <c r="BR377">
        <v>15.33</v>
      </c>
      <c r="BS377">
        <v>15.03</v>
      </c>
      <c r="CD377" s="364"/>
      <c r="CI377" s="364">
        <f t="shared" si="172"/>
        <v>2051</v>
      </c>
      <c r="CJ377" s="381">
        <v>55154</v>
      </c>
      <c r="CK377" s="364">
        <f t="shared" si="160"/>
        <v>13.215250000000001</v>
      </c>
      <c r="CL377" s="364">
        <v>13.3779</v>
      </c>
      <c r="CM377" s="364">
        <v>13.0526</v>
      </c>
    </row>
    <row r="378" spans="44:91">
      <c r="AR378">
        <f t="shared" si="165"/>
        <v>2035</v>
      </c>
      <c r="AS378" s="307">
        <f t="shared" si="174"/>
        <v>49583</v>
      </c>
      <c r="AT378" s="115">
        <v>102.75</v>
      </c>
      <c r="AU378" s="115">
        <v>89.71</v>
      </c>
      <c r="AV378" s="287">
        <f t="shared" si="169"/>
        <v>97.142799999999994</v>
      </c>
      <c r="AW378" s="271">
        <v>432</v>
      </c>
      <c r="AX378" s="271">
        <v>312</v>
      </c>
      <c r="AY378" s="271">
        <f t="shared" si="166"/>
        <v>0.58064516129032262</v>
      </c>
      <c r="AZ378" s="271">
        <f t="shared" si="167"/>
        <v>0.41935483870967744</v>
      </c>
      <c r="BD378">
        <f t="shared" si="170"/>
        <v>2035</v>
      </c>
      <c r="BE378" s="306">
        <f t="shared" si="173"/>
        <v>49583</v>
      </c>
      <c r="BF378" s="114">
        <f t="shared" si="168"/>
        <v>13.508792822185971</v>
      </c>
      <c r="BG378" s="115">
        <v>13.508792822185971</v>
      </c>
      <c r="BO378">
        <f t="shared" si="163"/>
        <v>2038</v>
      </c>
      <c r="BP378" s="286">
        <v>50587</v>
      </c>
      <c r="BQ378">
        <f t="shared" si="164"/>
        <v>15.41</v>
      </c>
      <c r="BR378">
        <v>15.56</v>
      </c>
      <c r="BS378">
        <v>15.26</v>
      </c>
      <c r="CD378" s="364"/>
      <c r="CI378" s="364">
        <f t="shared" si="172"/>
        <v>2051</v>
      </c>
      <c r="CJ378" s="381">
        <v>55185</v>
      </c>
      <c r="CK378" s="364">
        <f t="shared" si="160"/>
        <v>12.74465</v>
      </c>
      <c r="CL378" s="364">
        <v>12.9574</v>
      </c>
      <c r="CM378" s="364">
        <v>12.5319</v>
      </c>
    </row>
    <row r="379" spans="44:91">
      <c r="AR379">
        <f t="shared" si="165"/>
        <v>2035</v>
      </c>
      <c r="AS379" s="307">
        <f t="shared" si="174"/>
        <v>49614</v>
      </c>
      <c r="AT379" s="115">
        <v>116.05</v>
      </c>
      <c r="AU379" s="115">
        <v>101.76</v>
      </c>
      <c r="AV379" s="287">
        <f t="shared" si="169"/>
        <v>109.9053</v>
      </c>
      <c r="AW379" s="271">
        <v>400</v>
      </c>
      <c r="AX379" s="271">
        <v>320</v>
      </c>
      <c r="AY379" s="271">
        <f t="shared" si="166"/>
        <v>0.55555555555555558</v>
      </c>
      <c r="AZ379" s="271">
        <f t="shared" si="167"/>
        <v>0.44444444444444442</v>
      </c>
      <c r="BD379">
        <f t="shared" si="170"/>
        <v>2035</v>
      </c>
      <c r="BE379" s="306">
        <f t="shared" si="173"/>
        <v>49614</v>
      </c>
      <c r="BF379" s="114">
        <f t="shared" si="168"/>
        <v>13.705910821098422</v>
      </c>
      <c r="BG379" s="115">
        <v>13.705910821098422</v>
      </c>
      <c r="CD379" s="364"/>
      <c r="CI379" s="364">
        <f t="shared" si="172"/>
        <v>2051</v>
      </c>
      <c r="CJ379" s="381">
        <v>55213</v>
      </c>
      <c r="CK379" s="364">
        <f t="shared" si="160"/>
        <v>12.04365</v>
      </c>
      <c r="CL379" s="364">
        <v>12.351000000000001</v>
      </c>
      <c r="CM379" s="364">
        <v>11.7363</v>
      </c>
    </row>
    <row r="380" spans="44:91">
      <c r="AR380">
        <f t="shared" si="165"/>
        <v>2035</v>
      </c>
      <c r="AS380" s="307">
        <f t="shared" si="174"/>
        <v>49644</v>
      </c>
      <c r="AT380" s="115">
        <v>121.48</v>
      </c>
      <c r="AU380" s="115">
        <v>111.4</v>
      </c>
      <c r="AV380" s="287">
        <f t="shared" si="169"/>
        <v>117.1456</v>
      </c>
      <c r="AW380" s="271">
        <v>400</v>
      </c>
      <c r="AX380" s="271">
        <v>344</v>
      </c>
      <c r="AY380" s="271">
        <f t="shared" si="166"/>
        <v>0.5376344086021505</v>
      </c>
      <c r="AZ380" s="271">
        <f t="shared" si="167"/>
        <v>0.46236559139784944</v>
      </c>
      <c r="BD380">
        <f t="shared" si="170"/>
        <v>2035</v>
      </c>
      <c r="BE380" s="306">
        <f t="shared" si="173"/>
        <v>49644</v>
      </c>
      <c r="BF380" s="114">
        <f t="shared" si="168"/>
        <v>14.361837955410548</v>
      </c>
      <c r="BG380" s="115">
        <v>14.361837955410548</v>
      </c>
      <c r="CD380" s="364"/>
      <c r="CI380" s="364">
        <f t="shared" si="172"/>
        <v>2051</v>
      </c>
      <c r="CJ380" s="381">
        <v>55244</v>
      </c>
      <c r="CK380" s="364">
        <f t="shared" si="160"/>
        <v>11.680350000000001</v>
      </c>
      <c r="CL380" s="364">
        <v>12.047499999999999</v>
      </c>
      <c r="CM380" s="364">
        <v>11.3132</v>
      </c>
    </row>
    <row r="381" spans="44:91">
      <c r="AR381">
        <f t="shared" si="165"/>
        <v>2036</v>
      </c>
      <c r="AS381" s="307">
        <f t="shared" si="174"/>
        <v>49675</v>
      </c>
      <c r="AT381" s="115">
        <v>127.41</v>
      </c>
      <c r="AU381" s="115">
        <v>114.99</v>
      </c>
      <c r="AV381" s="287">
        <f t="shared" si="169"/>
        <v>122.06939999999997</v>
      </c>
      <c r="AW381" s="271">
        <v>416</v>
      </c>
      <c r="AX381" s="271">
        <v>328</v>
      </c>
      <c r="AY381" s="271">
        <f t="shared" si="166"/>
        <v>0.55913978494623651</v>
      </c>
      <c r="AZ381" s="271">
        <f t="shared" si="167"/>
        <v>0.44086021505376344</v>
      </c>
      <c r="BD381">
        <f t="shared" si="170"/>
        <v>2036</v>
      </c>
      <c r="BE381" s="306">
        <f t="shared" si="173"/>
        <v>49675</v>
      </c>
      <c r="BF381" s="114">
        <f t="shared" si="168"/>
        <v>15.60232191408374</v>
      </c>
      <c r="BG381" s="115">
        <v>15.60232191408374</v>
      </c>
      <c r="CI381" s="364">
        <f t="shared" si="172"/>
        <v>2051</v>
      </c>
      <c r="CJ381" s="381">
        <v>55274</v>
      </c>
      <c r="CK381" s="364">
        <f t="shared" si="160"/>
        <v>11.6373</v>
      </c>
      <c r="CL381" s="364">
        <v>12.1174</v>
      </c>
      <c r="CM381" s="364">
        <v>11.1572</v>
      </c>
    </row>
    <row r="382" spans="44:91">
      <c r="AR382">
        <f t="shared" si="165"/>
        <v>2036</v>
      </c>
      <c r="AS382" s="307">
        <f t="shared" si="174"/>
        <v>49706</v>
      </c>
      <c r="AT382" s="115">
        <v>119.92</v>
      </c>
      <c r="AU382" s="115">
        <v>104.3</v>
      </c>
      <c r="AV382" s="287">
        <f t="shared" si="169"/>
        <v>113.20339999999999</v>
      </c>
      <c r="AW382" s="271">
        <v>384</v>
      </c>
      <c r="AX382" s="271">
        <v>288</v>
      </c>
      <c r="AY382" s="271">
        <f t="shared" si="166"/>
        <v>0.5714285714285714</v>
      </c>
      <c r="AZ382" s="271">
        <f t="shared" si="167"/>
        <v>0.42857142857142855</v>
      </c>
      <c r="BD382">
        <f t="shared" si="170"/>
        <v>2036</v>
      </c>
      <c r="BE382" s="306">
        <f t="shared" si="173"/>
        <v>49706</v>
      </c>
      <c r="BF382" s="114">
        <f t="shared" si="168"/>
        <v>14.660913539967373</v>
      </c>
      <c r="BG382" s="115">
        <v>14.660913539967373</v>
      </c>
      <c r="CI382" s="364">
        <f t="shared" si="172"/>
        <v>2051</v>
      </c>
      <c r="CJ382" s="381">
        <v>55305</v>
      </c>
      <c r="CK382" s="364">
        <f t="shared" si="160"/>
        <v>11.68055</v>
      </c>
      <c r="CL382" s="364">
        <v>12.2376</v>
      </c>
      <c r="CM382" s="364">
        <v>11.1235</v>
      </c>
    </row>
    <row r="383" spans="44:91">
      <c r="AR383">
        <f t="shared" si="165"/>
        <v>2036</v>
      </c>
      <c r="AS383" s="307">
        <f t="shared" si="174"/>
        <v>49735</v>
      </c>
      <c r="AT383" s="115">
        <v>101.63</v>
      </c>
      <c r="AU383" s="115">
        <v>90.88</v>
      </c>
      <c r="AV383" s="287">
        <f t="shared" si="169"/>
        <v>97.007499999999993</v>
      </c>
      <c r="AW383" s="271">
        <v>428</v>
      </c>
      <c r="AX383" s="271">
        <v>316</v>
      </c>
      <c r="AY383" s="271">
        <f t="shared" si="166"/>
        <v>0.57526881720430112</v>
      </c>
      <c r="AZ383" s="271">
        <f t="shared" si="167"/>
        <v>0.42473118279569894</v>
      </c>
      <c r="BD383">
        <f t="shared" si="170"/>
        <v>2036</v>
      </c>
      <c r="BE383" s="306">
        <f t="shared" si="173"/>
        <v>49735</v>
      </c>
      <c r="BF383" s="114">
        <f t="shared" si="168"/>
        <v>13.790875475802062</v>
      </c>
      <c r="BG383" s="115">
        <v>13.790875475802062</v>
      </c>
      <c r="CI383" s="364">
        <f t="shared" si="172"/>
        <v>2051</v>
      </c>
      <c r="CJ383" s="381">
        <v>55335</v>
      </c>
      <c r="CK383" s="364">
        <f t="shared" si="160"/>
        <v>11.893899999999999</v>
      </c>
      <c r="CL383" s="364">
        <v>12.5939</v>
      </c>
      <c r="CM383" s="364">
        <v>11.193899999999999</v>
      </c>
    </row>
    <row r="384" spans="44:91">
      <c r="AR384">
        <f t="shared" si="165"/>
        <v>2036</v>
      </c>
      <c r="AS384" s="307">
        <f t="shared" si="174"/>
        <v>49766</v>
      </c>
      <c r="AT384" s="115">
        <v>101.09</v>
      </c>
      <c r="AU384" s="115">
        <v>96.31</v>
      </c>
      <c r="AV384" s="287">
        <f t="shared" si="169"/>
        <v>99.034599999999998</v>
      </c>
      <c r="AW384" s="271">
        <v>416</v>
      </c>
      <c r="AX384" s="271">
        <v>304</v>
      </c>
      <c r="AY384" s="271">
        <f t="shared" si="166"/>
        <v>0.57777777777777772</v>
      </c>
      <c r="AZ384" s="271">
        <f t="shared" si="167"/>
        <v>0.42222222222222222</v>
      </c>
      <c r="BD384">
        <f t="shared" si="170"/>
        <v>2036</v>
      </c>
      <c r="BE384" s="306">
        <f t="shared" si="173"/>
        <v>49766</v>
      </c>
      <c r="BF384" s="114">
        <f t="shared" si="168"/>
        <v>13.049983686786298</v>
      </c>
      <c r="BG384" s="115">
        <v>13.049983686786298</v>
      </c>
      <c r="CI384" s="364">
        <f t="shared" si="172"/>
        <v>2051</v>
      </c>
      <c r="CJ384" s="381">
        <v>55366</v>
      </c>
      <c r="CK384" s="364">
        <f t="shared" si="160"/>
        <v>12.07085</v>
      </c>
      <c r="CL384" s="364">
        <v>12.6693</v>
      </c>
      <c r="CM384" s="364">
        <v>11.4724</v>
      </c>
    </row>
    <row r="385" spans="44:91">
      <c r="AR385">
        <f t="shared" si="165"/>
        <v>2036</v>
      </c>
      <c r="AS385" s="307">
        <f t="shared" si="174"/>
        <v>49796</v>
      </c>
      <c r="AT385" s="115">
        <v>102.94</v>
      </c>
      <c r="AU385" s="115">
        <v>96.83</v>
      </c>
      <c r="AV385" s="287">
        <f t="shared" si="169"/>
        <v>100.31269999999999</v>
      </c>
      <c r="AW385" s="271">
        <v>416</v>
      </c>
      <c r="AX385" s="271">
        <v>328</v>
      </c>
      <c r="AY385" s="271">
        <f t="shared" si="166"/>
        <v>0.55913978494623651</v>
      </c>
      <c r="AZ385" s="271">
        <f t="shared" si="167"/>
        <v>0.44086021505376344</v>
      </c>
      <c r="BD385">
        <f t="shared" si="170"/>
        <v>2036</v>
      </c>
      <c r="BE385" s="306">
        <f t="shared" si="173"/>
        <v>49796</v>
      </c>
      <c r="BF385" s="114">
        <f t="shared" si="168"/>
        <v>12.917438825448613</v>
      </c>
      <c r="BG385" s="115">
        <v>12.917438825448613</v>
      </c>
      <c r="CI385" s="364">
        <f t="shared" si="172"/>
        <v>2051</v>
      </c>
      <c r="CJ385" s="381">
        <v>55397</v>
      </c>
      <c r="CK385" s="364">
        <f t="shared" si="160"/>
        <v>12.272200000000002</v>
      </c>
      <c r="CL385" s="364">
        <v>12.708500000000001</v>
      </c>
      <c r="CM385" s="364">
        <v>11.835900000000001</v>
      </c>
    </row>
    <row r="386" spans="44:91">
      <c r="AR386">
        <f t="shared" si="165"/>
        <v>2036</v>
      </c>
      <c r="AS386" s="307">
        <f t="shared" si="174"/>
        <v>49827</v>
      </c>
      <c r="AT386" s="115">
        <v>111.43</v>
      </c>
      <c r="AU386" s="115">
        <v>99.44</v>
      </c>
      <c r="AV386" s="287">
        <f t="shared" si="169"/>
        <v>106.2743</v>
      </c>
      <c r="AW386" s="271">
        <v>416</v>
      </c>
      <c r="AX386" s="271">
        <v>304</v>
      </c>
      <c r="AY386" s="271">
        <f t="shared" si="166"/>
        <v>0.57777777777777772</v>
      </c>
      <c r="AZ386" s="271">
        <f t="shared" si="167"/>
        <v>0.42222222222222222</v>
      </c>
      <c r="BD386">
        <f t="shared" si="170"/>
        <v>2036</v>
      </c>
      <c r="BE386" s="306">
        <f t="shared" si="173"/>
        <v>49827</v>
      </c>
      <c r="BF386" s="114">
        <f t="shared" si="168"/>
        <v>13.117955410549211</v>
      </c>
      <c r="BG386" s="115">
        <v>13.117955410549211</v>
      </c>
      <c r="CI386" s="364">
        <f t="shared" si="172"/>
        <v>2051</v>
      </c>
      <c r="CJ386" s="381">
        <v>55427</v>
      </c>
      <c r="CK386" s="364">
        <f t="shared" si="160"/>
        <v>12.34355</v>
      </c>
      <c r="CL386" s="364">
        <v>12.749599999999999</v>
      </c>
      <c r="CM386" s="364">
        <v>11.9375</v>
      </c>
    </row>
    <row r="387" spans="44:91">
      <c r="AR387">
        <f t="shared" si="165"/>
        <v>2036</v>
      </c>
      <c r="AS387" s="307">
        <f t="shared" si="174"/>
        <v>49857</v>
      </c>
      <c r="AT387" s="115">
        <v>106.13</v>
      </c>
      <c r="AU387" s="115">
        <v>101.72</v>
      </c>
      <c r="AV387" s="287">
        <f t="shared" si="169"/>
        <v>104.23369999999998</v>
      </c>
      <c r="AW387" s="271">
        <v>416</v>
      </c>
      <c r="AX387" s="271">
        <v>328</v>
      </c>
      <c r="AY387" s="271">
        <f t="shared" si="166"/>
        <v>0.55913978494623651</v>
      </c>
      <c r="AZ387" s="271">
        <f t="shared" si="167"/>
        <v>0.44086021505376344</v>
      </c>
      <c r="BD387">
        <f t="shared" si="170"/>
        <v>2036</v>
      </c>
      <c r="BE387" s="306">
        <f t="shared" si="173"/>
        <v>49857</v>
      </c>
      <c r="BF387" s="114">
        <f t="shared" si="168"/>
        <v>13.318471995649809</v>
      </c>
      <c r="BG387" s="115">
        <v>13.318471995649809</v>
      </c>
      <c r="CI387" s="364">
        <f t="shared" si="172"/>
        <v>2051</v>
      </c>
      <c r="CJ387" s="381">
        <v>55458</v>
      </c>
      <c r="CK387" s="364">
        <f t="shared" si="160"/>
        <v>13.197800000000001</v>
      </c>
      <c r="CL387" s="364">
        <v>13.424099999999999</v>
      </c>
      <c r="CM387" s="364">
        <v>12.971500000000001</v>
      </c>
    </row>
    <row r="388" spans="44:91">
      <c r="AR388">
        <f t="shared" si="165"/>
        <v>2036</v>
      </c>
      <c r="AS388" s="307">
        <f t="shared" si="174"/>
        <v>49888</v>
      </c>
      <c r="AT388" s="115">
        <v>106.65</v>
      </c>
      <c r="AU388" s="115">
        <v>102.31</v>
      </c>
      <c r="AV388" s="287">
        <f t="shared" si="169"/>
        <v>104.7838</v>
      </c>
      <c r="AW388" s="271">
        <v>428</v>
      </c>
      <c r="AX388" s="271">
        <v>316</v>
      </c>
      <c r="AY388" s="271">
        <f t="shared" si="166"/>
        <v>0.57526881720430112</v>
      </c>
      <c r="AZ388" s="271">
        <f t="shared" si="167"/>
        <v>0.42473118279569894</v>
      </c>
      <c r="BD388">
        <f t="shared" si="170"/>
        <v>2036</v>
      </c>
      <c r="BE388" s="306">
        <f t="shared" si="173"/>
        <v>49888</v>
      </c>
      <c r="BF388" s="114">
        <f t="shared" si="168"/>
        <v>13.318471995649809</v>
      </c>
      <c r="BG388" s="115">
        <v>13.318471995649809</v>
      </c>
      <c r="CI388" s="364">
        <f t="shared" si="172"/>
        <v>2051</v>
      </c>
      <c r="CJ388" s="381">
        <v>55488</v>
      </c>
      <c r="CK388" s="364">
        <f t="shared" si="160"/>
        <v>13.485700000000001</v>
      </c>
      <c r="CL388" s="364">
        <v>13.634</v>
      </c>
      <c r="CM388" s="364">
        <v>13.337400000000001</v>
      </c>
    </row>
    <row r="389" spans="44:91">
      <c r="AR389">
        <f t="shared" si="165"/>
        <v>2036</v>
      </c>
      <c r="AS389" s="307">
        <f t="shared" si="174"/>
        <v>49919</v>
      </c>
      <c r="AT389" s="115">
        <v>105.71433999999999</v>
      </c>
      <c r="AU389" s="115">
        <v>99.128889999999998</v>
      </c>
      <c r="AV389" s="287">
        <f t="shared" si="169"/>
        <v>102.88259649999999</v>
      </c>
      <c r="AW389" s="271">
        <v>400</v>
      </c>
      <c r="AX389" s="271">
        <v>320</v>
      </c>
      <c r="AY389" s="271">
        <f t="shared" si="166"/>
        <v>0.55555555555555558</v>
      </c>
      <c r="AZ389" s="271">
        <f t="shared" si="167"/>
        <v>0.44444444444444442</v>
      </c>
      <c r="BD389">
        <f t="shared" si="170"/>
        <v>2036</v>
      </c>
      <c r="BE389" s="306">
        <f t="shared" si="173"/>
        <v>49919</v>
      </c>
      <c r="BF389" s="114">
        <f t="shared" si="168"/>
        <v>13.323403344208808</v>
      </c>
      <c r="BG389" s="115">
        <v>13.323403344208808</v>
      </c>
      <c r="CI389" s="364">
        <f t="shared" si="172"/>
        <v>2052</v>
      </c>
      <c r="CJ389" s="381">
        <v>55519</v>
      </c>
      <c r="CK389" s="364">
        <f t="shared" si="160"/>
        <v>13.50605</v>
      </c>
      <c r="CL389" s="364">
        <v>13.6723</v>
      </c>
      <c r="CM389" s="364">
        <v>13.3398</v>
      </c>
    </row>
    <row r="390" spans="44:91">
      <c r="AR390">
        <f t="shared" ref="AR390:AR440" si="175">+YEAR(AS390)</f>
        <v>2036</v>
      </c>
      <c r="AS390" s="307">
        <f t="shared" si="174"/>
        <v>49949</v>
      </c>
      <c r="AW390" s="271">
        <v>432</v>
      </c>
      <c r="AX390" s="271">
        <v>312</v>
      </c>
      <c r="AY390" s="271">
        <f t="shared" ref="AY390:AY453" si="176">AW390/(AW390+AX390)</f>
        <v>0.58064516129032262</v>
      </c>
      <c r="AZ390" s="271">
        <f t="shared" ref="AZ390:AZ453" si="177">AX390/(AW390+AX390)</f>
        <v>0.41935483870967744</v>
      </c>
      <c r="CI390" s="364">
        <f t="shared" si="172"/>
        <v>2052</v>
      </c>
      <c r="CJ390" s="381">
        <v>55550</v>
      </c>
      <c r="CK390" s="364">
        <f t="shared" si="160"/>
        <v>13.02505</v>
      </c>
      <c r="CL390" s="364">
        <v>13.2425</v>
      </c>
      <c r="CM390" s="364">
        <v>12.807600000000001</v>
      </c>
    </row>
    <row r="391" spans="44:91">
      <c r="AR391">
        <f t="shared" si="175"/>
        <v>2036</v>
      </c>
      <c r="AS391" s="307">
        <f t="shared" si="174"/>
        <v>49980</v>
      </c>
      <c r="AW391" s="271">
        <v>400</v>
      </c>
      <c r="AX391" s="271">
        <v>320</v>
      </c>
      <c r="AY391" s="271">
        <f t="shared" si="176"/>
        <v>0.55555555555555558</v>
      </c>
      <c r="AZ391" s="271">
        <f t="shared" si="177"/>
        <v>0.44444444444444442</v>
      </c>
      <c r="CI391" s="364">
        <f t="shared" si="172"/>
        <v>2052</v>
      </c>
      <c r="CJ391" s="381">
        <v>55579</v>
      </c>
      <c r="CK391" s="364">
        <f t="shared" si="160"/>
        <v>12.3086</v>
      </c>
      <c r="CL391" s="364">
        <v>12.6227</v>
      </c>
      <c r="CM391" s="364">
        <v>11.9945</v>
      </c>
    </row>
    <row r="392" spans="44:91">
      <c r="AR392">
        <f t="shared" si="175"/>
        <v>2036</v>
      </c>
      <c r="AS392" s="307">
        <f t="shared" si="174"/>
        <v>50010</v>
      </c>
      <c r="AW392" s="271">
        <v>416</v>
      </c>
      <c r="AX392" s="271">
        <v>328</v>
      </c>
      <c r="AY392" s="271">
        <f t="shared" si="176"/>
        <v>0.55913978494623651</v>
      </c>
      <c r="AZ392" s="271">
        <f t="shared" si="177"/>
        <v>0.44086021505376344</v>
      </c>
      <c r="CI392" s="364">
        <f t="shared" si="172"/>
        <v>2052</v>
      </c>
      <c r="CJ392" s="381">
        <v>55610</v>
      </c>
      <c r="CK392" s="364">
        <f t="shared" si="160"/>
        <v>11.937349999999999</v>
      </c>
      <c r="CL392" s="364">
        <v>12.3126</v>
      </c>
      <c r="CM392" s="364">
        <v>11.562099999999999</v>
      </c>
    </row>
    <row r="393" spans="44:91">
      <c r="AR393">
        <f t="shared" si="175"/>
        <v>2037</v>
      </c>
      <c r="AS393" s="307">
        <f t="shared" si="174"/>
        <v>50041</v>
      </c>
      <c r="AW393" s="271">
        <v>416</v>
      </c>
      <c r="AX393" s="271">
        <v>328</v>
      </c>
      <c r="AY393" s="271">
        <f t="shared" si="176"/>
        <v>0.55913978494623651</v>
      </c>
      <c r="AZ393" s="271">
        <f t="shared" si="177"/>
        <v>0.44086021505376344</v>
      </c>
    </row>
    <row r="394" spans="44:91">
      <c r="AR394">
        <f t="shared" si="175"/>
        <v>2037</v>
      </c>
      <c r="AS394" s="307">
        <f t="shared" si="174"/>
        <v>50072</v>
      </c>
      <c r="AW394" s="271">
        <v>384</v>
      </c>
      <c r="AX394" s="271">
        <v>288</v>
      </c>
      <c r="AY394" s="271">
        <f t="shared" si="176"/>
        <v>0.5714285714285714</v>
      </c>
      <c r="AZ394" s="271">
        <f t="shared" si="177"/>
        <v>0.42857142857142855</v>
      </c>
    </row>
    <row r="395" spans="44:91">
      <c r="AR395">
        <f t="shared" si="175"/>
        <v>2037</v>
      </c>
      <c r="AS395" s="307">
        <f t="shared" si="174"/>
        <v>50100</v>
      </c>
      <c r="AW395" s="271">
        <v>432</v>
      </c>
      <c r="AX395" s="271">
        <v>312</v>
      </c>
      <c r="AY395" s="271">
        <f t="shared" si="176"/>
        <v>0.58064516129032262</v>
      </c>
      <c r="AZ395" s="271">
        <f t="shared" si="177"/>
        <v>0.41935483870967744</v>
      </c>
    </row>
    <row r="396" spans="44:91">
      <c r="AR396">
        <f t="shared" si="175"/>
        <v>2037</v>
      </c>
      <c r="AS396" s="307">
        <f t="shared" si="174"/>
        <v>50131</v>
      </c>
      <c r="AW396" s="271">
        <v>416</v>
      </c>
      <c r="AX396" s="271">
        <v>304</v>
      </c>
      <c r="AY396" s="271">
        <f t="shared" si="176"/>
        <v>0.57777777777777772</v>
      </c>
      <c r="AZ396" s="271">
        <f t="shared" si="177"/>
        <v>0.42222222222222222</v>
      </c>
    </row>
    <row r="397" spans="44:91">
      <c r="AR397">
        <f t="shared" si="175"/>
        <v>2037</v>
      </c>
      <c r="AS397" s="307">
        <f t="shared" si="174"/>
        <v>50161</v>
      </c>
      <c r="AW397" s="271">
        <v>416</v>
      </c>
      <c r="AX397" s="271">
        <v>328</v>
      </c>
      <c r="AY397" s="271">
        <f t="shared" si="176"/>
        <v>0.55913978494623651</v>
      </c>
      <c r="AZ397" s="271">
        <f t="shared" si="177"/>
        <v>0.44086021505376344</v>
      </c>
    </row>
    <row r="398" spans="44:91">
      <c r="AR398">
        <f t="shared" si="175"/>
        <v>2037</v>
      </c>
      <c r="AS398" s="307">
        <f t="shared" si="174"/>
        <v>50192</v>
      </c>
      <c r="AW398" s="271">
        <v>416</v>
      </c>
      <c r="AX398" s="271">
        <v>304</v>
      </c>
      <c r="AY398" s="271">
        <f t="shared" si="176"/>
        <v>0.57777777777777772</v>
      </c>
      <c r="AZ398" s="271">
        <f t="shared" si="177"/>
        <v>0.42222222222222222</v>
      </c>
    </row>
    <row r="399" spans="44:91">
      <c r="AR399">
        <f t="shared" si="175"/>
        <v>2037</v>
      </c>
      <c r="AS399" s="307">
        <f t="shared" si="174"/>
        <v>50222</v>
      </c>
      <c r="AW399" s="271">
        <v>416</v>
      </c>
      <c r="AX399" s="271">
        <v>328</v>
      </c>
      <c r="AY399" s="271">
        <f t="shared" si="176"/>
        <v>0.55913978494623651</v>
      </c>
      <c r="AZ399" s="271">
        <f t="shared" si="177"/>
        <v>0.44086021505376344</v>
      </c>
    </row>
    <row r="400" spans="44:91">
      <c r="AR400">
        <f t="shared" si="175"/>
        <v>2037</v>
      </c>
      <c r="AS400" s="307">
        <f t="shared" si="174"/>
        <v>50253</v>
      </c>
      <c r="AW400" s="271">
        <v>424</v>
      </c>
      <c r="AX400" s="271">
        <v>320</v>
      </c>
      <c r="AY400" s="271">
        <f t="shared" si="176"/>
        <v>0.56989247311827962</v>
      </c>
      <c r="AZ400" s="271">
        <f t="shared" si="177"/>
        <v>0.43010752688172044</v>
      </c>
    </row>
    <row r="401" spans="44:52">
      <c r="AR401">
        <f t="shared" si="175"/>
        <v>2037</v>
      </c>
      <c r="AS401" s="307">
        <f t="shared" si="174"/>
        <v>50284</v>
      </c>
      <c r="AW401" s="271">
        <v>400</v>
      </c>
      <c r="AX401" s="271">
        <v>320</v>
      </c>
      <c r="AY401" s="271">
        <f t="shared" si="176"/>
        <v>0.55555555555555558</v>
      </c>
      <c r="AZ401" s="271">
        <f t="shared" si="177"/>
        <v>0.44444444444444442</v>
      </c>
    </row>
    <row r="402" spans="44:52">
      <c r="AR402">
        <f t="shared" si="175"/>
        <v>2037</v>
      </c>
      <c r="AS402" s="307">
        <f t="shared" si="174"/>
        <v>50314</v>
      </c>
      <c r="AW402" s="271">
        <v>428</v>
      </c>
      <c r="AX402" s="271">
        <v>316</v>
      </c>
      <c r="AY402" s="271">
        <f t="shared" si="176"/>
        <v>0.57526881720430112</v>
      </c>
      <c r="AZ402" s="271">
        <f t="shared" si="177"/>
        <v>0.42473118279569894</v>
      </c>
    </row>
    <row r="403" spans="44:52">
      <c r="AR403">
        <f t="shared" si="175"/>
        <v>2037</v>
      </c>
      <c r="AS403" s="307">
        <f t="shared" si="174"/>
        <v>50345</v>
      </c>
      <c r="AW403" s="271">
        <v>400</v>
      </c>
      <c r="AX403" s="271">
        <v>320</v>
      </c>
      <c r="AY403" s="271">
        <f t="shared" si="176"/>
        <v>0.55555555555555558</v>
      </c>
      <c r="AZ403" s="271">
        <f t="shared" si="177"/>
        <v>0.44444444444444442</v>
      </c>
    </row>
    <row r="404" spans="44:52">
      <c r="AR404">
        <f t="shared" si="175"/>
        <v>2037</v>
      </c>
      <c r="AS404" s="307">
        <f t="shared" si="174"/>
        <v>50375</v>
      </c>
      <c r="AW404" s="271">
        <v>416</v>
      </c>
      <c r="AX404" s="271">
        <v>328</v>
      </c>
      <c r="AY404" s="271">
        <f t="shared" si="176"/>
        <v>0.55913978494623651</v>
      </c>
      <c r="AZ404" s="271">
        <f t="shared" si="177"/>
        <v>0.44086021505376344</v>
      </c>
    </row>
    <row r="405" spans="44:52">
      <c r="AR405">
        <f t="shared" si="175"/>
        <v>2038</v>
      </c>
      <c r="AS405" s="307">
        <f t="shared" si="174"/>
        <v>50406</v>
      </c>
      <c r="AW405" s="271">
        <v>416</v>
      </c>
      <c r="AX405" s="271">
        <v>328</v>
      </c>
      <c r="AY405" s="271">
        <f t="shared" si="176"/>
        <v>0.55913978494623651</v>
      </c>
      <c r="AZ405" s="271">
        <f t="shared" si="177"/>
        <v>0.44086021505376344</v>
      </c>
    </row>
    <row r="406" spans="44:52">
      <c r="AR406">
        <f t="shared" si="175"/>
        <v>2038</v>
      </c>
      <c r="AS406" s="307">
        <f t="shared" si="174"/>
        <v>50437</v>
      </c>
      <c r="AW406" s="271">
        <v>384</v>
      </c>
      <c r="AX406" s="271">
        <v>288</v>
      </c>
      <c r="AY406" s="271">
        <f t="shared" si="176"/>
        <v>0.5714285714285714</v>
      </c>
      <c r="AZ406" s="271">
        <f t="shared" si="177"/>
        <v>0.42857142857142855</v>
      </c>
    </row>
    <row r="407" spans="44:52">
      <c r="AR407">
        <f t="shared" si="175"/>
        <v>2038</v>
      </c>
      <c r="AS407" s="307">
        <f t="shared" si="174"/>
        <v>50465</v>
      </c>
      <c r="AW407" s="271">
        <v>430</v>
      </c>
      <c r="AX407" s="271">
        <v>314</v>
      </c>
      <c r="AY407" s="271">
        <f t="shared" si="176"/>
        <v>0.57795698924731187</v>
      </c>
      <c r="AZ407" s="271">
        <f t="shared" si="177"/>
        <v>0.42204301075268819</v>
      </c>
    </row>
    <row r="408" spans="44:52">
      <c r="AR408">
        <f t="shared" si="175"/>
        <v>2038</v>
      </c>
      <c r="AS408" s="307">
        <f t="shared" si="174"/>
        <v>50496</v>
      </c>
      <c r="AW408" s="271">
        <v>416</v>
      </c>
      <c r="AX408" s="271">
        <v>304</v>
      </c>
      <c r="AY408" s="271">
        <f t="shared" si="176"/>
        <v>0.57777777777777772</v>
      </c>
      <c r="AZ408" s="271">
        <f t="shared" si="177"/>
        <v>0.42222222222222222</v>
      </c>
    </row>
    <row r="409" spans="44:52">
      <c r="AR409">
        <f t="shared" si="175"/>
        <v>2038</v>
      </c>
      <c r="AS409" s="307">
        <f t="shared" si="174"/>
        <v>50526</v>
      </c>
      <c r="AW409" s="271">
        <v>416</v>
      </c>
      <c r="AX409" s="271">
        <v>328</v>
      </c>
      <c r="AY409" s="271">
        <f t="shared" si="176"/>
        <v>0.55913978494623651</v>
      </c>
      <c r="AZ409" s="271">
        <f t="shared" si="177"/>
        <v>0.44086021505376344</v>
      </c>
    </row>
    <row r="410" spans="44:52">
      <c r="AR410">
        <f t="shared" si="175"/>
        <v>2038</v>
      </c>
      <c r="AS410" s="307">
        <f t="shared" si="174"/>
        <v>50557</v>
      </c>
      <c r="AW410" s="271">
        <v>416</v>
      </c>
      <c r="AX410" s="271">
        <v>304</v>
      </c>
      <c r="AY410" s="271">
        <f t="shared" si="176"/>
        <v>0.57777777777777772</v>
      </c>
      <c r="AZ410" s="271">
        <f t="shared" si="177"/>
        <v>0.42222222222222222</v>
      </c>
    </row>
    <row r="411" spans="44:52">
      <c r="AR411">
        <f t="shared" si="175"/>
        <v>2038</v>
      </c>
      <c r="AS411" s="307">
        <f t="shared" si="174"/>
        <v>50587</v>
      </c>
      <c r="AW411" s="271">
        <v>416</v>
      </c>
      <c r="AX411" s="271">
        <v>328</v>
      </c>
      <c r="AY411" s="271">
        <f t="shared" si="176"/>
        <v>0.55913978494623651</v>
      </c>
      <c r="AZ411" s="271">
        <f t="shared" si="177"/>
        <v>0.44086021505376344</v>
      </c>
    </row>
    <row r="412" spans="44:52">
      <c r="AR412">
        <f t="shared" si="175"/>
        <v>2038</v>
      </c>
      <c r="AS412" s="307">
        <f t="shared" si="174"/>
        <v>50618</v>
      </c>
      <c r="AW412" s="271">
        <v>426</v>
      </c>
      <c r="AX412" s="271">
        <v>318</v>
      </c>
      <c r="AY412" s="271">
        <f t="shared" si="176"/>
        <v>0.57258064516129037</v>
      </c>
      <c r="AZ412" s="271">
        <f t="shared" si="177"/>
        <v>0.42741935483870969</v>
      </c>
    </row>
    <row r="413" spans="44:52">
      <c r="AR413">
        <f t="shared" si="175"/>
        <v>2038</v>
      </c>
      <c r="AS413" s="307">
        <f t="shared" si="174"/>
        <v>50649</v>
      </c>
      <c r="AW413" s="271">
        <v>400</v>
      </c>
      <c r="AX413" s="271">
        <v>320</v>
      </c>
      <c r="AY413" s="271">
        <f t="shared" si="176"/>
        <v>0.55555555555555558</v>
      </c>
      <c r="AZ413" s="271">
        <f t="shared" si="177"/>
        <v>0.44444444444444442</v>
      </c>
    </row>
    <row r="414" spans="44:52">
      <c r="AR414">
        <f t="shared" si="175"/>
        <v>2038</v>
      </c>
      <c r="AS414" s="307">
        <f t="shared" si="174"/>
        <v>50679</v>
      </c>
      <c r="AW414" s="271">
        <v>432</v>
      </c>
      <c r="AX414" s="271">
        <v>312</v>
      </c>
      <c r="AY414" s="271">
        <f t="shared" si="176"/>
        <v>0.58064516129032262</v>
      </c>
      <c r="AZ414" s="271">
        <f t="shared" si="177"/>
        <v>0.41935483870967744</v>
      </c>
    </row>
    <row r="415" spans="44:52">
      <c r="AR415">
        <f t="shared" si="175"/>
        <v>2038</v>
      </c>
      <c r="AS415" s="307">
        <f t="shared" si="174"/>
        <v>50710</v>
      </c>
      <c r="AW415" s="271">
        <v>400</v>
      </c>
      <c r="AX415" s="271">
        <v>320</v>
      </c>
      <c r="AY415" s="271">
        <f t="shared" si="176"/>
        <v>0.55555555555555558</v>
      </c>
      <c r="AZ415" s="271">
        <f t="shared" si="177"/>
        <v>0.44444444444444442</v>
      </c>
    </row>
    <row r="416" spans="44:52">
      <c r="AR416">
        <f t="shared" si="175"/>
        <v>2038</v>
      </c>
      <c r="AS416" s="307">
        <f t="shared" si="174"/>
        <v>50740</v>
      </c>
      <c r="AW416" s="271">
        <v>416</v>
      </c>
      <c r="AX416" s="271">
        <v>328</v>
      </c>
      <c r="AY416" s="271">
        <f t="shared" si="176"/>
        <v>0.55913978494623651</v>
      </c>
      <c r="AZ416" s="271">
        <f t="shared" si="177"/>
        <v>0.44086021505376344</v>
      </c>
    </row>
    <row r="417" spans="44:52">
      <c r="AR417">
        <f t="shared" si="175"/>
        <v>2039</v>
      </c>
      <c r="AS417" s="307">
        <f t="shared" si="174"/>
        <v>50771</v>
      </c>
      <c r="AW417" s="271">
        <v>416</v>
      </c>
      <c r="AX417" s="271">
        <v>328</v>
      </c>
      <c r="AY417" s="271">
        <f t="shared" si="176"/>
        <v>0.55913978494623651</v>
      </c>
      <c r="AZ417" s="271">
        <f t="shared" si="177"/>
        <v>0.44086021505376344</v>
      </c>
    </row>
    <row r="418" spans="44:52">
      <c r="AR418">
        <f t="shared" si="175"/>
        <v>2039</v>
      </c>
      <c r="AS418" s="307">
        <f t="shared" si="174"/>
        <v>50802</v>
      </c>
      <c r="AW418" s="271">
        <v>384</v>
      </c>
      <c r="AX418" s="271">
        <v>288</v>
      </c>
      <c r="AY418" s="271">
        <f t="shared" si="176"/>
        <v>0.5714285714285714</v>
      </c>
      <c r="AZ418" s="271">
        <f t="shared" si="177"/>
        <v>0.42857142857142855</v>
      </c>
    </row>
    <row r="419" spans="44:52">
      <c r="AR419">
        <f t="shared" si="175"/>
        <v>2039</v>
      </c>
      <c r="AS419" s="307">
        <f t="shared" si="174"/>
        <v>50830</v>
      </c>
      <c r="AW419" s="271">
        <v>432</v>
      </c>
      <c r="AX419" s="271">
        <v>312</v>
      </c>
      <c r="AY419" s="271">
        <f t="shared" si="176"/>
        <v>0.58064516129032262</v>
      </c>
      <c r="AZ419" s="271">
        <f t="shared" si="177"/>
        <v>0.41935483870967744</v>
      </c>
    </row>
    <row r="420" spans="44:52">
      <c r="AR420">
        <f t="shared" si="175"/>
        <v>2039</v>
      </c>
      <c r="AS420" s="307">
        <f t="shared" si="174"/>
        <v>50861</v>
      </c>
      <c r="AW420" s="271">
        <v>416</v>
      </c>
      <c r="AX420" s="271">
        <v>304</v>
      </c>
      <c r="AY420" s="271">
        <f t="shared" si="176"/>
        <v>0.57777777777777772</v>
      </c>
      <c r="AZ420" s="271">
        <f t="shared" si="177"/>
        <v>0.42222222222222222</v>
      </c>
    </row>
    <row r="421" spans="44:52">
      <c r="AR421">
        <f t="shared" si="175"/>
        <v>2039</v>
      </c>
      <c r="AS421" s="307">
        <f t="shared" si="174"/>
        <v>50891</v>
      </c>
      <c r="AW421" s="271">
        <v>416</v>
      </c>
      <c r="AX421" s="271">
        <v>328</v>
      </c>
      <c r="AY421" s="271">
        <f t="shared" si="176"/>
        <v>0.55913978494623651</v>
      </c>
      <c r="AZ421" s="271">
        <f t="shared" si="177"/>
        <v>0.44086021505376344</v>
      </c>
    </row>
    <row r="422" spans="44:52">
      <c r="AR422">
        <f t="shared" si="175"/>
        <v>2039</v>
      </c>
      <c r="AS422" s="307">
        <f t="shared" si="174"/>
        <v>50922</v>
      </c>
      <c r="AW422" s="271">
        <v>416</v>
      </c>
      <c r="AX422" s="271">
        <v>304</v>
      </c>
      <c r="AY422" s="271">
        <f t="shared" si="176"/>
        <v>0.57777777777777772</v>
      </c>
      <c r="AZ422" s="271">
        <f t="shared" si="177"/>
        <v>0.42222222222222222</v>
      </c>
    </row>
    <row r="423" spans="44:52">
      <c r="AR423">
        <f t="shared" si="175"/>
        <v>2039</v>
      </c>
      <c r="AS423" s="307">
        <f t="shared" si="174"/>
        <v>50952</v>
      </c>
      <c r="AW423" s="271">
        <v>416</v>
      </c>
      <c r="AX423" s="271">
        <v>328</v>
      </c>
      <c r="AY423" s="271">
        <f t="shared" si="176"/>
        <v>0.55913978494623651</v>
      </c>
      <c r="AZ423" s="271">
        <f t="shared" si="177"/>
        <v>0.44086021505376344</v>
      </c>
    </row>
    <row r="424" spans="44:52">
      <c r="AR424">
        <f t="shared" si="175"/>
        <v>2039</v>
      </c>
      <c r="AS424" s="307">
        <f t="shared" si="174"/>
        <v>50983</v>
      </c>
      <c r="AW424" s="271">
        <v>424</v>
      </c>
      <c r="AX424" s="271">
        <v>320</v>
      </c>
      <c r="AY424" s="271">
        <f t="shared" si="176"/>
        <v>0.56989247311827962</v>
      </c>
      <c r="AZ424" s="271">
        <f t="shared" si="177"/>
        <v>0.43010752688172044</v>
      </c>
    </row>
    <row r="425" spans="44:52">
      <c r="AR425">
        <f t="shared" si="175"/>
        <v>2039</v>
      </c>
      <c r="AS425" s="307">
        <f t="shared" si="174"/>
        <v>51014</v>
      </c>
      <c r="AW425" s="271">
        <v>400</v>
      </c>
      <c r="AX425" s="271">
        <v>320</v>
      </c>
      <c r="AY425" s="271">
        <f t="shared" si="176"/>
        <v>0.55555555555555558</v>
      </c>
      <c r="AZ425" s="271">
        <f t="shared" si="177"/>
        <v>0.44444444444444442</v>
      </c>
    </row>
    <row r="426" spans="44:52">
      <c r="AR426">
        <f t="shared" si="175"/>
        <v>2039</v>
      </c>
      <c r="AS426" s="307">
        <f t="shared" si="174"/>
        <v>51044</v>
      </c>
      <c r="AW426" s="271">
        <v>430</v>
      </c>
      <c r="AX426" s="271">
        <v>314</v>
      </c>
      <c r="AY426" s="271">
        <f t="shared" si="176"/>
        <v>0.57795698924731187</v>
      </c>
      <c r="AZ426" s="271">
        <f t="shared" si="177"/>
        <v>0.42204301075268819</v>
      </c>
    </row>
    <row r="427" spans="44:52">
      <c r="AR427">
        <f t="shared" si="175"/>
        <v>2039</v>
      </c>
      <c r="AS427" s="307">
        <f t="shared" si="174"/>
        <v>51075</v>
      </c>
      <c r="AW427" s="271">
        <v>400</v>
      </c>
      <c r="AX427" s="271">
        <v>320</v>
      </c>
      <c r="AY427" s="271">
        <f t="shared" si="176"/>
        <v>0.55555555555555558</v>
      </c>
      <c r="AZ427" s="271">
        <f t="shared" si="177"/>
        <v>0.44444444444444442</v>
      </c>
    </row>
    <row r="428" spans="44:52">
      <c r="AR428">
        <f t="shared" si="175"/>
        <v>2039</v>
      </c>
      <c r="AS428" s="307">
        <f t="shared" si="174"/>
        <v>51105</v>
      </c>
      <c r="AW428" s="271">
        <v>416</v>
      </c>
      <c r="AX428" s="271">
        <v>328</v>
      </c>
      <c r="AY428" s="271">
        <f t="shared" si="176"/>
        <v>0.55913978494623651</v>
      </c>
      <c r="AZ428" s="271">
        <f t="shared" si="177"/>
        <v>0.44086021505376344</v>
      </c>
    </row>
    <row r="429" spans="44:52">
      <c r="AR429">
        <f t="shared" si="175"/>
        <v>2040</v>
      </c>
      <c r="AS429" s="307">
        <f t="shared" si="174"/>
        <v>51136</v>
      </c>
      <c r="AW429" s="271">
        <v>416</v>
      </c>
      <c r="AX429" s="271">
        <v>328</v>
      </c>
      <c r="AY429" s="271">
        <f t="shared" si="176"/>
        <v>0.55913978494623651</v>
      </c>
      <c r="AZ429" s="271">
        <f t="shared" si="177"/>
        <v>0.44086021505376344</v>
      </c>
    </row>
    <row r="430" spans="44:52">
      <c r="AR430">
        <f t="shared" si="175"/>
        <v>2040</v>
      </c>
      <c r="AS430" s="307">
        <f t="shared" ref="AS430:AS493" si="178">EOMONTH(AS429,0)+1</f>
        <v>51167</v>
      </c>
      <c r="AW430" s="271">
        <v>384</v>
      </c>
      <c r="AX430" s="271">
        <v>288</v>
      </c>
      <c r="AY430" s="271">
        <f t="shared" si="176"/>
        <v>0.5714285714285714</v>
      </c>
      <c r="AZ430" s="271">
        <f t="shared" si="177"/>
        <v>0.42857142857142855</v>
      </c>
    </row>
    <row r="431" spans="44:52">
      <c r="AR431">
        <f t="shared" si="175"/>
        <v>2040</v>
      </c>
      <c r="AS431" s="307">
        <f t="shared" si="178"/>
        <v>51196</v>
      </c>
      <c r="AW431" s="271">
        <v>431</v>
      </c>
      <c r="AX431" s="271">
        <v>313</v>
      </c>
      <c r="AY431" s="271">
        <f t="shared" si="176"/>
        <v>0.57930107526881724</v>
      </c>
      <c r="AZ431" s="271">
        <f t="shared" si="177"/>
        <v>0.42069892473118281</v>
      </c>
    </row>
    <row r="432" spans="44:52">
      <c r="AR432">
        <f t="shared" si="175"/>
        <v>2040</v>
      </c>
      <c r="AS432" s="307">
        <f t="shared" si="178"/>
        <v>51227</v>
      </c>
      <c r="AW432" s="271">
        <v>416</v>
      </c>
      <c r="AX432" s="271">
        <v>304</v>
      </c>
      <c r="AY432" s="271">
        <f t="shared" si="176"/>
        <v>0.57777777777777772</v>
      </c>
      <c r="AZ432" s="271">
        <f t="shared" si="177"/>
        <v>0.42222222222222222</v>
      </c>
    </row>
    <row r="433" spans="44:52">
      <c r="AR433">
        <f t="shared" si="175"/>
        <v>2040</v>
      </c>
      <c r="AS433" s="307">
        <f t="shared" si="178"/>
        <v>51257</v>
      </c>
      <c r="AW433" s="271">
        <v>416</v>
      </c>
      <c r="AX433" s="271">
        <v>328</v>
      </c>
      <c r="AY433" s="271">
        <f t="shared" si="176"/>
        <v>0.55913978494623651</v>
      </c>
      <c r="AZ433" s="271">
        <f t="shared" si="177"/>
        <v>0.44086021505376344</v>
      </c>
    </row>
    <row r="434" spans="44:52">
      <c r="AR434">
        <f t="shared" si="175"/>
        <v>2040</v>
      </c>
      <c r="AS434" s="307">
        <f t="shared" si="178"/>
        <v>51288</v>
      </c>
      <c r="AW434" s="271">
        <v>416</v>
      </c>
      <c r="AX434" s="271">
        <v>304</v>
      </c>
      <c r="AY434" s="271">
        <f t="shared" si="176"/>
        <v>0.57777777777777772</v>
      </c>
      <c r="AZ434" s="271">
        <f t="shared" si="177"/>
        <v>0.42222222222222222</v>
      </c>
    </row>
    <row r="435" spans="44:52">
      <c r="AR435">
        <f t="shared" si="175"/>
        <v>2040</v>
      </c>
      <c r="AS435" s="307">
        <f t="shared" si="178"/>
        <v>51318</v>
      </c>
      <c r="AW435" s="271">
        <v>416</v>
      </c>
      <c r="AX435" s="271">
        <v>328</v>
      </c>
      <c r="AY435" s="271">
        <f t="shared" si="176"/>
        <v>0.55913978494623651</v>
      </c>
      <c r="AZ435" s="271">
        <f t="shared" si="177"/>
        <v>0.44086021505376344</v>
      </c>
    </row>
    <row r="436" spans="44:52">
      <c r="AR436">
        <f t="shared" si="175"/>
        <v>2040</v>
      </c>
      <c r="AS436" s="307">
        <f t="shared" si="178"/>
        <v>51349</v>
      </c>
      <c r="AW436" s="271">
        <v>425</v>
      </c>
      <c r="AX436" s="271">
        <v>319</v>
      </c>
      <c r="AY436" s="271">
        <f t="shared" si="176"/>
        <v>0.57123655913978499</v>
      </c>
      <c r="AZ436" s="271">
        <f t="shared" si="177"/>
        <v>0.42876344086021506</v>
      </c>
    </row>
    <row r="437" spans="44:52">
      <c r="AR437">
        <f t="shared" si="175"/>
        <v>2040</v>
      </c>
      <c r="AS437" s="307">
        <f t="shared" si="178"/>
        <v>51380</v>
      </c>
      <c r="AW437" s="271">
        <v>400</v>
      </c>
      <c r="AX437" s="271">
        <v>320</v>
      </c>
      <c r="AY437" s="271">
        <f t="shared" si="176"/>
        <v>0.55555555555555558</v>
      </c>
      <c r="AZ437" s="271">
        <f t="shared" si="177"/>
        <v>0.44444444444444442</v>
      </c>
    </row>
    <row r="438" spans="44:52">
      <c r="AR438">
        <f t="shared" si="175"/>
        <v>2040</v>
      </c>
      <c r="AS438" s="307">
        <f t="shared" si="178"/>
        <v>51410</v>
      </c>
      <c r="AW438" s="271">
        <v>432</v>
      </c>
      <c r="AX438" s="271">
        <v>312</v>
      </c>
      <c r="AY438" s="271">
        <f t="shared" si="176"/>
        <v>0.58064516129032262</v>
      </c>
      <c r="AZ438" s="271">
        <f t="shared" si="177"/>
        <v>0.41935483870967744</v>
      </c>
    </row>
    <row r="439" spans="44:52">
      <c r="AR439">
        <f t="shared" si="175"/>
        <v>2040</v>
      </c>
      <c r="AS439" s="307">
        <f t="shared" si="178"/>
        <v>51441</v>
      </c>
      <c r="AW439" s="271">
        <v>400</v>
      </c>
      <c r="AX439" s="271">
        <v>320</v>
      </c>
      <c r="AY439" s="271">
        <f t="shared" si="176"/>
        <v>0.55555555555555558</v>
      </c>
      <c r="AZ439" s="271">
        <f t="shared" si="177"/>
        <v>0.44444444444444442</v>
      </c>
    </row>
    <row r="440" spans="44:52">
      <c r="AR440">
        <f t="shared" si="175"/>
        <v>2040</v>
      </c>
      <c r="AS440" s="307">
        <f t="shared" si="178"/>
        <v>51471</v>
      </c>
      <c r="AW440" s="271">
        <v>416</v>
      </c>
      <c r="AX440" s="271">
        <v>328</v>
      </c>
      <c r="AY440" s="271">
        <f t="shared" si="176"/>
        <v>0.55913978494623651</v>
      </c>
      <c r="AZ440" s="271">
        <f t="shared" si="177"/>
        <v>0.44086021505376344</v>
      </c>
    </row>
    <row r="441" spans="44:52">
      <c r="AR441">
        <f t="shared" ref="AR441:AR504" si="179">+YEAR(AS441)</f>
        <v>2041</v>
      </c>
      <c r="AS441" s="307">
        <f t="shared" si="178"/>
        <v>51502</v>
      </c>
      <c r="AW441" s="271">
        <v>416</v>
      </c>
      <c r="AX441" s="271">
        <v>328</v>
      </c>
      <c r="AY441" s="271">
        <f t="shared" si="176"/>
        <v>0.55913978494623651</v>
      </c>
      <c r="AZ441" s="271">
        <f t="shared" si="177"/>
        <v>0.44086021505376344</v>
      </c>
    </row>
    <row r="442" spans="44:52">
      <c r="AR442">
        <f t="shared" si="179"/>
        <v>2041</v>
      </c>
      <c r="AS442" s="307">
        <f t="shared" si="178"/>
        <v>51533</v>
      </c>
      <c r="AW442" s="271">
        <v>384</v>
      </c>
      <c r="AX442" s="271">
        <v>288</v>
      </c>
      <c r="AY442" s="271">
        <f t="shared" si="176"/>
        <v>0.5714285714285714</v>
      </c>
      <c r="AZ442" s="271">
        <f t="shared" si="177"/>
        <v>0.42857142857142855</v>
      </c>
    </row>
    <row r="443" spans="44:52">
      <c r="AR443">
        <f t="shared" si="179"/>
        <v>2041</v>
      </c>
      <c r="AS443" s="307">
        <f t="shared" si="178"/>
        <v>51561</v>
      </c>
      <c r="AW443" s="271">
        <v>432</v>
      </c>
      <c r="AX443" s="271">
        <v>312</v>
      </c>
      <c r="AY443" s="271">
        <f t="shared" si="176"/>
        <v>0.58064516129032262</v>
      </c>
      <c r="AZ443" s="271">
        <f t="shared" si="177"/>
        <v>0.41935483870967744</v>
      </c>
    </row>
    <row r="444" spans="44:52">
      <c r="AR444">
        <f t="shared" si="179"/>
        <v>2041</v>
      </c>
      <c r="AS444" s="307">
        <f t="shared" si="178"/>
        <v>51592</v>
      </c>
      <c r="AW444" s="271">
        <v>416</v>
      </c>
      <c r="AX444" s="271">
        <v>304</v>
      </c>
      <c r="AY444" s="271">
        <f t="shared" si="176"/>
        <v>0.57777777777777772</v>
      </c>
      <c r="AZ444" s="271">
        <f t="shared" si="177"/>
        <v>0.42222222222222222</v>
      </c>
    </row>
    <row r="445" spans="44:52">
      <c r="AR445">
        <f t="shared" si="179"/>
        <v>2041</v>
      </c>
      <c r="AS445" s="307">
        <f t="shared" si="178"/>
        <v>51622</v>
      </c>
      <c r="AW445" s="271">
        <v>416</v>
      </c>
      <c r="AX445" s="271">
        <v>328</v>
      </c>
      <c r="AY445" s="271">
        <f t="shared" si="176"/>
        <v>0.55913978494623651</v>
      </c>
      <c r="AZ445" s="271">
        <f t="shared" si="177"/>
        <v>0.44086021505376344</v>
      </c>
    </row>
    <row r="446" spans="44:52">
      <c r="AR446">
        <f t="shared" si="179"/>
        <v>2041</v>
      </c>
      <c r="AS446" s="307">
        <f t="shared" si="178"/>
        <v>51653</v>
      </c>
      <c r="AW446" s="271">
        <v>416</v>
      </c>
      <c r="AX446" s="271">
        <v>304</v>
      </c>
      <c r="AY446" s="271">
        <f t="shared" si="176"/>
        <v>0.57777777777777772</v>
      </c>
      <c r="AZ446" s="271">
        <f t="shared" si="177"/>
        <v>0.42222222222222222</v>
      </c>
    </row>
    <row r="447" spans="44:52">
      <c r="AR447">
        <f t="shared" si="179"/>
        <v>2041</v>
      </c>
      <c r="AS447" s="307">
        <f t="shared" si="178"/>
        <v>51683</v>
      </c>
      <c r="AW447" s="271">
        <v>416</v>
      </c>
      <c r="AX447" s="271">
        <v>328</v>
      </c>
      <c r="AY447" s="271">
        <f t="shared" si="176"/>
        <v>0.55913978494623651</v>
      </c>
      <c r="AZ447" s="271">
        <f t="shared" si="177"/>
        <v>0.44086021505376344</v>
      </c>
    </row>
    <row r="448" spans="44:52">
      <c r="AR448">
        <f t="shared" si="179"/>
        <v>2041</v>
      </c>
      <c r="AS448" s="307">
        <f t="shared" si="178"/>
        <v>51714</v>
      </c>
      <c r="AW448" s="271">
        <v>424</v>
      </c>
      <c r="AX448" s="271">
        <v>320</v>
      </c>
      <c r="AY448" s="271">
        <f t="shared" si="176"/>
        <v>0.56989247311827962</v>
      </c>
      <c r="AZ448" s="271">
        <f t="shared" si="177"/>
        <v>0.43010752688172044</v>
      </c>
    </row>
    <row r="449" spans="44:52">
      <c r="AR449">
        <f t="shared" si="179"/>
        <v>2041</v>
      </c>
      <c r="AS449" s="307">
        <f t="shared" si="178"/>
        <v>51745</v>
      </c>
      <c r="AW449" s="271">
        <v>400</v>
      </c>
      <c r="AX449" s="271">
        <v>320</v>
      </c>
      <c r="AY449" s="271">
        <f t="shared" si="176"/>
        <v>0.55555555555555558</v>
      </c>
      <c r="AZ449" s="271">
        <f t="shared" si="177"/>
        <v>0.44444444444444442</v>
      </c>
    </row>
    <row r="450" spans="44:52">
      <c r="AR450">
        <f t="shared" si="179"/>
        <v>2041</v>
      </c>
      <c r="AS450" s="307">
        <f t="shared" si="178"/>
        <v>51775</v>
      </c>
      <c r="AW450" s="271">
        <v>431</v>
      </c>
      <c r="AX450" s="271">
        <v>313</v>
      </c>
      <c r="AY450" s="271">
        <f t="shared" si="176"/>
        <v>0.57930107526881724</v>
      </c>
      <c r="AZ450" s="271">
        <f t="shared" si="177"/>
        <v>0.42069892473118281</v>
      </c>
    </row>
    <row r="451" spans="44:52">
      <c r="AR451">
        <f t="shared" si="179"/>
        <v>2041</v>
      </c>
      <c r="AS451" s="307">
        <f t="shared" si="178"/>
        <v>51806</v>
      </c>
      <c r="AW451" s="271">
        <v>400</v>
      </c>
      <c r="AX451" s="271">
        <v>320</v>
      </c>
      <c r="AY451" s="271">
        <f t="shared" si="176"/>
        <v>0.55555555555555558</v>
      </c>
      <c r="AZ451" s="271">
        <f t="shared" si="177"/>
        <v>0.44444444444444442</v>
      </c>
    </row>
    <row r="452" spans="44:52">
      <c r="AR452">
        <f t="shared" si="179"/>
        <v>2041</v>
      </c>
      <c r="AS452" s="307">
        <f t="shared" si="178"/>
        <v>51836</v>
      </c>
      <c r="AW452" s="271">
        <v>416</v>
      </c>
      <c r="AX452" s="271">
        <v>328</v>
      </c>
      <c r="AY452" s="271">
        <f t="shared" si="176"/>
        <v>0.55913978494623651</v>
      </c>
      <c r="AZ452" s="271">
        <f t="shared" si="177"/>
        <v>0.44086021505376344</v>
      </c>
    </row>
    <row r="453" spans="44:52">
      <c r="AR453">
        <f t="shared" si="179"/>
        <v>2042</v>
      </c>
      <c r="AS453" s="307">
        <f t="shared" si="178"/>
        <v>51867</v>
      </c>
      <c r="AW453" s="271">
        <v>416</v>
      </c>
      <c r="AX453" s="271">
        <v>328</v>
      </c>
      <c r="AY453" s="271">
        <f t="shared" si="176"/>
        <v>0.55913978494623651</v>
      </c>
      <c r="AZ453" s="271">
        <f t="shared" si="177"/>
        <v>0.44086021505376344</v>
      </c>
    </row>
    <row r="454" spans="44:52">
      <c r="AR454">
        <f t="shared" si="179"/>
        <v>2042</v>
      </c>
      <c r="AS454" s="307">
        <f t="shared" si="178"/>
        <v>51898</v>
      </c>
      <c r="AW454" s="271">
        <v>384</v>
      </c>
      <c r="AX454" s="271">
        <v>288</v>
      </c>
      <c r="AY454" s="271">
        <f t="shared" ref="AY454:AY517" si="180">AW454/(AW454+AX454)</f>
        <v>0.5714285714285714</v>
      </c>
      <c r="AZ454" s="271">
        <f t="shared" ref="AZ454:AZ517" si="181">AX454/(AW454+AX454)</f>
        <v>0.42857142857142855</v>
      </c>
    </row>
    <row r="455" spans="44:52">
      <c r="AR455">
        <f t="shared" si="179"/>
        <v>2042</v>
      </c>
      <c r="AS455" s="307">
        <f t="shared" si="178"/>
        <v>51926</v>
      </c>
      <c r="AW455" s="271">
        <v>431.5</v>
      </c>
      <c r="AX455" s="271">
        <v>312.5</v>
      </c>
      <c r="AY455" s="271">
        <f t="shared" si="180"/>
        <v>0.57997311827956988</v>
      </c>
      <c r="AZ455" s="271">
        <f t="shared" si="181"/>
        <v>0.42002688172043012</v>
      </c>
    </row>
    <row r="456" spans="44:52">
      <c r="AR456">
        <f t="shared" si="179"/>
        <v>2042</v>
      </c>
      <c r="AS456" s="307">
        <f t="shared" si="178"/>
        <v>51957</v>
      </c>
      <c r="AW456" s="271">
        <v>416</v>
      </c>
      <c r="AX456" s="271">
        <v>304</v>
      </c>
      <c r="AY456" s="271">
        <f t="shared" si="180"/>
        <v>0.57777777777777772</v>
      </c>
      <c r="AZ456" s="271">
        <f t="shared" si="181"/>
        <v>0.42222222222222222</v>
      </c>
    </row>
    <row r="457" spans="44:52">
      <c r="AR457">
        <f t="shared" si="179"/>
        <v>2042</v>
      </c>
      <c r="AS457" s="307">
        <f t="shared" si="178"/>
        <v>51987</v>
      </c>
      <c r="AW457" s="271">
        <v>416</v>
      </c>
      <c r="AX457" s="271">
        <v>328</v>
      </c>
      <c r="AY457" s="271">
        <f t="shared" si="180"/>
        <v>0.55913978494623651</v>
      </c>
      <c r="AZ457" s="271">
        <f t="shared" si="181"/>
        <v>0.44086021505376344</v>
      </c>
    </row>
    <row r="458" spans="44:52">
      <c r="AR458">
        <f t="shared" si="179"/>
        <v>2042</v>
      </c>
      <c r="AS458" s="307">
        <f t="shared" si="178"/>
        <v>52018</v>
      </c>
      <c r="AW458" s="271">
        <v>416</v>
      </c>
      <c r="AX458" s="271">
        <v>304</v>
      </c>
      <c r="AY458" s="271">
        <f t="shared" si="180"/>
        <v>0.57777777777777772</v>
      </c>
      <c r="AZ458" s="271">
        <f t="shared" si="181"/>
        <v>0.42222222222222222</v>
      </c>
    </row>
    <row r="459" spans="44:52">
      <c r="AR459">
        <f t="shared" si="179"/>
        <v>2042</v>
      </c>
      <c r="AS459" s="307">
        <f t="shared" si="178"/>
        <v>52048</v>
      </c>
      <c r="AW459" s="271">
        <v>416</v>
      </c>
      <c r="AX459" s="271">
        <v>328</v>
      </c>
      <c r="AY459" s="271">
        <f t="shared" si="180"/>
        <v>0.55913978494623651</v>
      </c>
      <c r="AZ459" s="271">
        <f t="shared" si="181"/>
        <v>0.44086021505376344</v>
      </c>
    </row>
    <row r="460" spans="44:52">
      <c r="AR460">
        <f t="shared" si="179"/>
        <v>2042</v>
      </c>
      <c r="AS460" s="307">
        <f t="shared" si="178"/>
        <v>52079</v>
      </c>
      <c r="AW460" s="271">
        <v>424.5</v>
      </c>
      <c r="AX460" s="271">
        <v>319.5</v>
      </c>
      <c r="AY460" s="271">
        <f t="shared" si="180"/>
        <v>0.57056451612903225</v>
      </c>
      <c r="AZ460" s="271">
        <f t="shared" si="181"/>
        <v>0.42943548387096775</v>
      </c>
    </row>
    <row r="461" spans="44:52">
      <c r="AR461">
        <f t="shared" si="179"/>
        <v>2042</v>
      </c>
      <c r="AS461" s="307">
        <f t="shared" si="178"/>
        <v>52110</v>
      </c>
      <c r="AW461" s="271">
        <v>400</v>
      </c>
      <c r="AX461" s="271">
        <v>320</v>
      </c>
      <c r="AY461" s="271">
        <f t="shared" si="180"/>
        <v>0.55555555555555558</v>
      </c>
      <c r="AZ461" s="271">
        <f t="shared" si="181"/>
        <v>0.44444444444444442</v>
      </c>
    </row>
    <row r="462" spans="44:52">
      <c r="AR462">
        <f t="shared" si="179"/>
        <v>2042</v>
      </c>
      <c r="AS462" s="307">
        <f t="shared" si="178"/>
        <v>52140</v>
      </c>
      <c r="AW462" s="271">
        <v>431</v>
      </c>
      <c r="AX462" s="271">
        <v>313</v>
      </c>
      <c r="AY462" s="271">
        <f t="shared" si="180"/>
        <v>0.57930107526881724</v>
      </c>
      <c r="AZ462" s="271">
        <f t="shared" si="181"/>
        <v>0.42069892473118281</v>
      </c>
    </row>
    <row r="463" spans="44:52">
      <c r="AR463">
        <f t="shared" si="179"/>
        <v>2042</v>
      </c>
      <c r="AS463" s="307">
        <f t="shared" si="178"/>
        <v>52171</v>
      </c>
      <c r="AW463" s="271">
        <v>400</v>
      </c>
      <c r="AX463" s="271">
        <v>320</v>
      </c>
      <c r="AY463" s="271">
        <f t="shared" si="180"/>
        <v>0.55555555555555558</v>
      </c>
      <c r="AZ463" s="271">
        <f t="shared" si="181"/>
        <v>0.44444444444444442</v>
      </c>
    </row>
    <row r="464" spans="44:52">
      <c r="AR464">
        <f t="shared" si="179"/>
        <v>2042</v>
      </c>
      <c r="AS464" s="307">
        <f t="shared" si="178"/>
        <v>52201</v>
      </c>
      <c r="AW464" s="271">
        <v>416</v>
      </c>
      <c r="AX464" s="271">
        <v>328</v>
      </c>
      <c r="AY464" s="271">
        <f t="shared" si="180"/>
        <v>0.55913978494623651</v>
      </c>
      <c r="AZ464" s="271">
        <f t="shared" si="181"/>
        <v>0.44086021505376344</v>
      </c>
    </row>
    <row r="465" spans="44:52">
      <c r="AR465">
        <f t="shared" si="179"/>
        <v>2043</v>
      </c>
      <c r="AS465" s="307">
        <f t="shared" si="178"/>
        <v>52232</v>
      </c>
      <c r="AW465" s="271">
        <v>416</v>
      </c>
      <c r="AX465" s="271">
        <v>328</v>
      </c>
      <c r="AY465" s="271">
        <f t="shared" si="180"/>
        <v>0.55913978494623651</v>
      </c>
      <c r="AZ465" s="271">
        <f t="shared" si="181"/>
        <v>0.44086021505376344</v>
      </c>
    </row>
    <row r="466" spans="44:52">
      <c r="AR466">
        <f t="shared" si="179"/>
        <v>2043</v>
      </c>
      <c r="AS466" s="307">
        <f t="shared" si="178"/>
        <v>52263</v>
      </c>
      <c r="AW466" s="271">
        <v>384</v>
      </c>
      <c r="AX466" s="271">
        <v>288</v>
      </c>
      <c r="AY466" s="271">
        <f t="shared" si="180"/>
        <v>0.5714285714285714</v>
      </c>
      <c r="AZ466" s="271">
        <f t="shared" si="181"/>
        <v>0.42857142857142855</v>
      </c>
    </row>
    <row r="467" spans="44:52">
      <c r="AR467">
        <f t="shared" si="179"/>
        <v>2043</v>
      </c>
      <c r="AS467" s="307">
        <f t="shared" si="178"/>
        <v>52291</v>
      </c>
      <c r="AW467" s="271">
        <v>432</v>
      </c>
      <c r="AX467" s="271">
        <v>312</v>
      </c>
      <c r="AY467" s="271">
        <f t="shared" si="180"/>
        <v>0.58064516129032262</v>
      </c>
      <c r="AZ467" s="271">
        <f t="shared" si="181"/>
        <v>0.41935483870967744</v>
      </c>
    </row>
    <row r="468" spans="44:52">
      <c r="AR468">
        <f t="shared" si="179"/>
        <v>2043</v>
      </c>
      <c r="AS468" s="307">
        <f t="shared" si="178"/>
        <v>52322</v>
      </c>
      <c r="AW468" s="271">
        <v>416</v>
      </c>
      <c r="AX468" s="271">
        <v>304</v>
      </c>
      <c r="AY468" s="271">
        <f t="shared" si="180"/>
        <v>0.57777777777777772</v>
      </c>
      <c r="AZ468" s="271">
        <f t="shared" si="181"/>
        <v>0.42222222222222222</v>
      </c>
    </row>
    <row r="469" spans="44:52">
      <c r="AR469">
        <f t="shared" si="179"/>
        <v>2043</v>
      </c>
      <c r="AS469" s="307">
        <f t="shared" si="178"/>
        <v>52352</v>
      </c>
      <c r="AW469" s="271">
        <v>416</v>
      </c>
      <c r="AX469" s="271">
        <v>328</v>
      </c>
      <c r="AY469" s="271">
        <f t="shared" si="180"/>
        <v>0.55913978494623651</v>
      </c>
      <c r="AZ469" s="271">
        <f t="shared" si="181"/>
        <v>0.44086021505376344</v>
      </c>
    </row>
    <row r="470" spans="44:52">
      <c r="AR470">
        <f t="shared" si="179"/>
        <v>2043</v>
      </c>
      <c r="AS470" s="307">
        <f t="shared" si="178"/>
        <v>52383</v>
      </c>
      <c r="AW470" s="271">
        <v>416</v>
      </c>
      <c r="AX470" s="271">
        <v>304</v>
      </c>
      <c r="AY470" s="271">
        <f t="shared" si="180"/>
        <v>0.57777777777777772</v>
      </c>
      <c r="AZ470" s="271">
        <f t="shared" si="181"/>
        <v>0.42222222222222222</v>
      </c>
    </row>
    <row r="471" spans="44:52">
      <c r="AR471">
        <f t="shared" si="179"/>
        <v>2043</v>
      </c>
      <c r="AS471" s="307">
        <f t="shared" si="178"/>
        <v>52413</v>
      </c>
      <c r="AW471" s="271">
        <v>416</v>
      </c>
      <c r="AX471" s="271">
        <v>328</v>
      </c>
      <c r="AY471" s="271">
        <f t="shared" si="180"/>
        <v>0.55913978494623651</v>
      </c>
      <c r="AZ471" s="271">
        <f t="shared" si="181"/>
        <v>0.44086021505376344</v>
      </c>
    </row>
    <row r="472" spans="44:52">
      <c r="AR472">
        <f t="shared" si="179"/>
        <v>2043</v>
      </c>
      <c r="AS472" s="307">
        <f t="shared" si="178"/>
        <v>52444</v>
      </c>
      <c r="AW472" s="271">
        <v>424</v>
      </c>
      <c r="AX472" s="271">
        <v>320</v>
      </c>
      <c r="AY472" s="271">
        <f t="shared" si="180"/>
        <v>0.56989247311827962</v>
      </c>
      <c r="AZ472" s="271">
        <f t="shared" si="181"/>
        <v>0.43010752688172044</v>
      </c>
    </row>
    <row r="473" spans="44:52">
      <c r="AR473">
        <f t="shared" si="179"/>
        <v>2043</v>
      </c>
      <c r="AS473" s="307">
        <f t="shared" si="178"/>
        <v>52475</v>
      </c>
      <c r="AW473" s="271">
        <v>400</v>
      </c>
      <c r="AX473" s="271">
        <v>320</v>
      </c>
      <c r="AY473" s="271">
        <f t="shared" si="180"/>
        <v>0.55555555555555558</v>
      </c>
      <c r="AZ473" s="271">
        <f t="shared" si="181"/>
        <v>0.44444444444444442</v>
      </c>
    </row>
    <row r="474" spans="44:52">
      <c r="AR474">
        <f t="shared" si="179"/>
        <v>2043</v>
      </c>
      <c r="AS474" s="307">
        <f t="shared" si="178"/>
        <v>52505</v>
      </c>
      <c r="AW474" s="271">
        <v>431.5</v>
      </c>
      <c r="AX474" s="271">
        <v>312.5</v>
      </c>
      <c r="AY474" s="271">
        <f t="shared" si="180"/>
        <v>0.57997311827956988</v>
      </c>
      <c r="AZ474" s="271">
        <f t="shared" si="181"/>
        <v>0.42002688172043012</v>
      </c>
    </row>
    <row r="475" spans="44:52">
      <c r="AR475">
        <f t="shared" si="179"/>
        <v>2043</v>
      </c>
      <c r="AS475" s="307">
        <f t="shared" si="178"/>
        <v>52536</v>
      </c>
      <c r="AW475" s="271">
        <v>400</v>
      </c>
      <c r="AX475" s="271">
        <v>320</v>
      </c>
      <c r="AY475" s="271">
        <f t="shared" si="180"/>
        <v>0.55555555555555558</v>
      </c>
      <c r="AZ475" s="271">
        <f t="shared" si="181"/>
        <v>0.44444444444444442</v>
      </c>
    </row>
    <row r="476" spans="44:52">
      <c r="AR476">
        <f t="shared" si="179"/>
        <v>2043</v>
      </c>
      <c r="AS476" s="307">
        <f t="shared" si="178"/>
        <v>52566</v>
      </c>
      <c r="AW476" s="271">
        <v>416</v>
      </c>
      <c r="AX476" s="271">
        <v>328</v>
      </c>
      <c r="AY476" s="271">
        <f t="shared" si="180"/>
        <v>0.55913978494623651</v>
      </c>
      <c r="AZ476" s="271">
        <f t="shared" si="181"/>
        <v>0.44086021505376344</v>
      </c>
    </row>
    <row r="477" spans="44:52">
      <c r="AR477">
        <f t="shared" si="179"/>
        <v>2044</v>
      </c>
      <c r="AS477" s="307">
        <f t="shared" si="178"/>
        <v>52597</v>
      </c>
      <c r="AW477" s="271">
        <v>416</v>
      </c>
      <c r="AX477" s="271">
        <v>328</v>
      </c>
      <c r="AY477" s="271">
        <f t="shared" si="180"/>
        <v>0.55913978494623651</v>
      </c>
      <c r="AZ477" s="271">
        <f t="shared" si="181"/>
        <v>0.44086021505376344</v>
      </c>
    </row>
    <row r="478" spans="44:52">
      <c r="AR478">
        <f t="shared" si="179"/>
        <v>2044</v>
      </c>
      <c r="AS478" s="307">
        <f t="shared" si="178"/>
        <v>52628</v>
      </c>
      <c r="AW478" s="271">
        <v>384</v>
      </c>
      <c r="AX478" s="271">
        <v>288</v>
      </c>
      <c r="AY478" s="271">
        <f t="shared" si="180"/>
        <v>0.5714285714285714</v>
      </c>
      <c r="AZ478" s="271">
        <f t="shared" si="181"/>
        <v>0.42857142857142855</v>
      </c>
    </row>
    <row r="479" spans="44:52">
      <c r="AR479">
        <f t="shared" si="179"/>
        <v>2044</v>
      </c>
      <c r="AS479" s="307">
        <f t="shared" si="178"/>
        <v>52657</v>
      </c>
      <c r="AW479" s="271">
        <v>431.75</v>
      </c>
      <c r="AX479" s="271">
        <v>312.25</v>
      </c>
      <c r="AY479" s="271">
        <f t="shared" si="180"/>
        <v>0.58030913978494625</v>
      </c>
      <c r="AZ479" s="271">
        <f t="shared" si="181"/>
        <v>0.41969086021505375</v>
      </c>
    </row>
    <row r="480" spans="44:52">
      <c r="AR480">
        <f t="shared" si="179"/>
        <v>2044</v>
      </c>
      <c r="AS480" s="307">
        <f t="shared" si="178"/>
        <v>52688</v>
      </c>
      <c r="AW480" s="271">
        <v>416</v>
      </c>
      <c r="AX480" s="271">
        <v>304</v>
      </c>
      <c r="AY480" s="271">
        <f t="shared" si="180"/>
        <v>0.57777777777777772</v>
      </c>
      <c r="AZ480" s="271">
        <f t="shared" si="181"/>
        <v>0.42222222222222222</v>
      </c>
    </row>
    <row r="481" spans="44:52">
      <c r="AR481">
        <f t="shared" si="179"/>
        <v>2044</v>
      </c>
      <c r="AS481" s="307">
        <f t="shared" si="178"/>
        <v>52718</v>
      </c>
      <c r="AW481" s="271">
        <v>416</v>
      </c>
      <c r="AX481" s="271">
        <v>328</v>
      </c>
      <c r="AY481" s="271">
        <f t="shared" si="180"/>
        <v>0.55913978494623651</v>
      </c>
      <c r="AZ481" s="271">
        <f t="shared" si="181"/>
        <v>0.44086021505376344</v>
      </c>
    </row>
    <row r="482" spans="44:52">
      <c r="AR482">
        <f t="shared" si="179"/>
        <v>2044</v>
      </c>
      <c r="AS482" s="307">
        <f t="shared" si="178"/>
        <v>52749</v>
      </c>
      <c r="AW482" s="271">
        <v>416</v>
      </c>
      <c r="AX482" s="271">
        <v>304</v>
      </c>
      <c r="AY482" s="271">
        <f t="shared" si="180"/>
        <v>0.57777777777777772</v>
      </c>
      <c r="AZ482" s="271">
        <f t="shared" si="181"/>
        <v>0.42222222222222222</v>
      </c>
    </row>
    <row r="483" spans="44:52">
      <c r="AR483">
        <f t="shared" si="179"/>
        <v>2044</v>
      </c>
      <c r="AS483" s="307">
        <f t="shared" si="178"/>
        <v>52779</v>
      </c>
      <c r="AW483" s="271">
        <v>416</v>
      </c>
      <c r="AX483" s="271">
        <v>328</v>
      </c>
      <c r="AY483" s="271">
        <f t="shared" si="180"/>
        <v>0.55913978494623651</v>
      </c>
      <c r="AZ483" s="271">
        <f t="shared" si="181"/>
        <v>0.44086021505376344</v>
      </c>
    </row>
    <row r="484" spans="44:52">
      <c r="AR484">
        <f t="shared" si="179"/>
        <v>2044</v>
      </c>
      <c r="AS484" s="307">
        <f t="shared" si="178"/>
        <v>52810</v>
      </c>
      <c r="AW484" s="271">
        <v>424.25</v>
      </c>
      <c r="AX484" s="271">
        <v>319.75</v>
      </c>
      <c r="AY484" s="271">
        <f t="shared" si="180"/>
        <v>0.57022849462365588</v>
      </c>
      <c r="AZ484" s="271">
        <f t="shared" si="181"/>
        <v>0.42977150537634407</v>
      </c>
    </row>
    <row r="485" spans="44:52">
      <c r="AR485">
        <f t="shared" si="179"/>
        <v>2044</v>
      </c>
      <c r="AS485" s="307">
        <f t="shared" si="178"/>
        <v>52841</v>
      </c>
      <c r="AW485" s="271">
        <v>400</v>
      </c>
      <c r="AX485" s="271">
        <v>320</v>
      </c>
      <c r="AY485" s="271">
        <f t="shared" si="180"/>
        <v>0.55555555555555558</v>
      </c>
      <c r="AZ485" s="271">
        <f t="shared" si="181"/>
        <v>0.44444444444444442</v>
      </c>
    </row>
    <row r="486" spans="44:52">
      <c r="AR486">
        <f t="shared" si="179"/>
        <v>2044</v>
      </c>
      <c r="AS486" s="307">
        <f t="shared" si="178"/>
        <v>52871</v>
      </c>
      <c r="AW486" s="271">
        <v>431</v>
      </c>
      <c r="AX486" s="271">
        <v>313</v>
      </c>
      <c r="AY486" s="271">
        <f t="shared" si="180"/>
        <v>0.57930107526881724</v>
      </c>
      <c r="AZ486" s="271">
        <f t="shared" si="181"/>
        <v>0.42069892473118281</v>
      </c>
    </row>
    <row r="487" spans="44:52">
      <c r="AR487">
        <f t="shared" si="179"/>
        <v>2044</v>
      </c>
      <c r="AS487" s="307">
        <f t="shared" si="178"/>
        <v>52902</v>
      </c>
      <c r="AW487" s="271">
        <v>400</v>
      </c>
      <c r="AX487" s="271">
        <v>320</v>
      </c>
      <c r="AY487" s="271">
        <f t="shared" si="180"/>
        <v>0.55555555555555558</v>
      </c>
      <c r="AZ487" s="271">
        <f t="shared" si="181"/>
        <v>0.44444444444444442</v>
      </c>
    </row>
    <row r="488" spans="44:52">
      <c r="AR488">
        <f t="shared" si="179"/>
        <v>2044</v>
      </c>
      <c r="AS488" s="307">
        <f t="shared" si="178"/>
        <v>52932</v>
      </c>
      <c r="AW488" s="271">
        <v>416</v>
      </c>
      <c r="AX488" s="271">
        <v>328</v>
      </c>
      <c r="AY488" s="271">
        <f t="shared" si="180"/>
        <v>0.55913978494623651</v>
      </c>
      <c r="AZ488" s="271">
        <f t="shared" si="181"/>
        <v>0.44086021505376344</v>
      </c>
    </row>
    <row r="489" spans="44:52">
      <c r="AR489">
        <f t="shared" si="179"/>
        <v>2045</v>
      </c>
      <c r="AS489" s="307">
        <f t="shared" si="178"/>
        <v>52963</v>
      </c>
      <c r="AW489" s="271">
        <v>416</v>
      </c>
      <c r="AX489" s="271">
        <v>328</v>
      </c>
      <c r="AY489" s="271">
        <f t="shared" si="180"/>
        <v>0.55913978494623651</v>
      </c>
      <c r="AZ489" s="271">
        <f t="shared" si="181"/>
        <v>0.44086021505376344</v>
      </c>
    </row>
    <row r="490" spans="44:52">
      <c r="AR490">
        <f t="shared" si="179"/>
        <v>2045</v>
      </c>
      <c r="AS490" s="307">
        <f t="shared" si="178"/>
        <v>52994</v>
      </c>
      <c r="AW490" s="271">
        <v>384</v>
      </c>
      <c r="AX490" s="271">
        <v>288</v>
      </c>
      <c r="AY490" s="271">
        <f t="shared" si="180"/>
        <v>0.5714285714285714</v>
      </c>
      <c r="AZ490" s="271">
        <f t="shared" si="181"/>
        <v>0.42857142857142855</v>
      </c>
    </row>
    <row r="491" spans="44:52">
      <c r="AR491">
        <f t="shared" si="179"/>
        <v>2045</v>
      </c>
      <c r="AS491" s="307">
        <f t="shared" si="178"/>
        <v>53022</v>
      </c>
      <c r="AW491" s="271">
        <v>431.75</v>
      </c>
      <c r="AX491" s="271">
        <v>312.25</v>
      </c>
      <c r="AY491" s="271">
        <f t="shared" si="180"/>
        <v>0.58030913978494625</v>
      </c>
      <c r="AZ491" s="271">
        <f t="shared" si="181"/>
        <v>0.41969086021505375</v>
      </c>
    </row>
    <row r="492" spans="44:52">
      <c r="AR492">
        <f t="shared" si="179"/>
        <v>2045</v>
      </c>
      <c r="AS492" s="307">
        <f t="shared" si="178"/>
        <v>53053</v>
      </c>
      <c r="AW492" s="271">
        <v>416</v>
      </c>
      <c r="AX492" s="271">
        <v>304</v>
      </c>
      <c r="AY492" s="271">
        <f t="shared" si="180"/>
        <v>0.57777777777777772</v>
      </c>
      <c r="AZ492" s="271">
        <f t="shared" si="181"/>
        <v>0.42222222222222222</v>
      </c>
    </row>
    <row r="493" spans="44:52">
      <c r="AR493">
        <f t="shared" si="179"/>
        <v>2045</v>
      </c>
      <c r="AS493" s="307">
        <f t="shared" si="178"/>
        <v>53083</v>
      </c>
      <c r="AW493" s="271">
        <v>416</v>
      </c>
      <c r="AX493" s="271">
        <v>328</v>
      </c>
      <c r="AY493" s="271">
        <f t="shared" si="180"/>
        <v>0.55913978494623651</v>
      </c>
      <c r="AZ493" s="271">
        <f t="shared" si="181"/>
        <v>0.44086021505376344</v>
      </c>
    </row>
    <row r="494" spans="44:52">
      <c r="AR494">
        <f t="shared" si="179"/>
        <v>2045</v>
      </c>
      <c r="AS494" s="307">
        <f t="shared" ref="AS494:AS557" si="182">EOMONTH(AS493,0)+1</f>
        <v>53114</v>
      </c>
      <c r="AW494" s="271">
        <v>416</v>
      </c>
      <c r="AX494" s="271">
        <v>304</v>
      </c>
      <c r="AY494" s="271">
        <f t="shared" si="180"/>
        <v>0.57777777777777772</v>
      </c>
      <c r="AZ494" s="271">
        <f t="shared" si="181"/>
        <v>0.42222222222222222</v>
      </c>
    </row>
    <row r="495" spans="44:52">
      <c r="AR495">
        <f t="shared" si="179"/>
        <v>2045</v>
      </c>
      <c r="AS495" s="307">
        <f t="shared" si="182"/>
        <v>53144</v>
      </c>
      <c r="AW495" s="271">
        <v>416</v>
      </c>
      <c r="AX495" s="271">
        <v>328</v>
      </c>
      <c r="AY495" s="271">
        <f t="shared" si="180"/>
        <v>0.55913978494623651</v>
      </c>
      <c r="AZ495" s="271">
        <f t="shared" si="181"/>
        <v>0.44086021505376344</v>
      </c>
    </row>
    <row r="496" spans="44:52">
      <c r="AR496">
        <f t="shared" si="179"/>
        <v>2045</v>
      </c>
      <c r="AS496" s="307">
        <f t="shared" si="182"/>
        <v>53175</v>
      </c>
      <c r="AW496" s="271">
        <v>424</v>
      </c>
      <c r="AX496" s="271">
        <v>320</v>
      </c>
      <c r="AY496" s="271">
        <f t="shared" si="180"/>
        <v>0.56989247311827962</v>
      </c>
      <c r="AZ496" s="271">
        <f t="shared" si="181"/>
        <v>0.43010752688172044</v>
      </c>
    </row>
    <row r="497" spans="44:52">
      <c r="AR497">
        <f t="shared" si="179"/>
        <v>2045</v>
      </c>
      <c r="AS497" s="307">
        <f t="shared" si="182"/>
        <v>53206</v>
      </c>
      <c r="AW497" s="271">
        <v>400</v>
      </c>
      <c r="AX497" s="271">
        <v>320</v>
      </c>
      <c r="AY497" s="271">
        <f t="shared" si="180"/>
        <v>0.55555555555555558</v>
      </c>
      <c r="AZ497" s="271">
        <f t="shared" si="181"/>
        <v>0.44444444444444442</v>
      </c>
    </row>
    <row r="498" spans="44:52">
      <c r="AR498">
        <f t="shared" si="179"/>
        <v>2045</v>
      </c>
      <c r="AS498" s="307">
        <f t="shared" si="182"/>
        <v>53236</v>
      </c>
      <c r="AW498" s="271">
        <v>431.25</v>
      </c>
      <c r="AX498" s="271">
        <v>312.75</v>
      </c>
      <c r="AY498" s="271">
        <f t="shared" si="180"/>
        <v>0.57963709677419351</v>
      </c>
      <c r="AZ498" s="271">
        <f t="shared" si="181"/>
        <v>0.42036290322580644</v>
      </c>
    </row>
    <row r="499" spans="44:52">
      <c r="AR499">
        <f t="shared" si="179"/>
        <v>2045</v>
      </c>
      <c r="AS499" s="307">
        <f t="shared" si="182"/>
        <v>53267</v>
      </c>
      <c r="AW499" s="271">
        <v>400</v>
      </c>
      <c r="AX499" s="271">
        <v>320</v>
      </c>
      <c r="AY499" s="271">
        <f t="shared" si="180"/>
        <v>0.55555555555555558</v>
      </c>
      <c r="AZ499" s="271">
        <f t="shared" si="181"/>
        <v>0.44444444444444442</v>
      </c>
    </row>
    <row r="500" spans="44:52">
      <c r="AR500">
        <f t="shared" si="179"/>
        <v>2045</v>
      </c>
      <c r="AS500" s="307">
        <f t="shared" si="182"/>
        <v>53297</v>
      </c>
      <c r="AW500" s="271">
        <v>416</v>
      </c>
      <c r="AX500" s="271">
        <v>328</v>
      </c>
      <c r="AY500" s="271">
        <f t="shared" si="180"/>
        <v>0.55913978494623651</v>
      </c>
      <c r="AZ500" s="271">
        <f t="shared" si="181"/>
        <v>0.44086021505376344</v>
      </c>
    </row>
    <row r="501" spans="44:52">
      <c r="AR501">
        <f t="shared" si="179"/>
        <v>2046</v>
      </c>
      <c r="AS501" s="307">
        <f t="shared" si="182"/>
        <v>53328</v>
      </c>
      <c r="AW501" s="271">
        <v>416</v>
      </c>
      <c r="AX501" s="271">
        <v>328</v>
      </c>
      <c r="AY501" s="271">
        <f t="shared" si="180"/>
        <v>0.55913978494623651</v>
      </c>
      <c r="AZ501" s="271">
        <f t="shared" si="181"/>
        <v>0.44086021505376344</v>
      </c>
    </row>
    <row r="502" spans="44:52">
      <c r="AR502">
        <f t="shared" si="179"/>
        <v>2046</v>
      </c>
      <c r="AS502" s="307">
        <f t="shared" si="182"/>
        <v>53359</v>
      </c>
      <c r="AW502" s="271">
        <v>384</v>
      </c>
      <c r="AX502" s="271">
        <v>288</v>
      </c>
      <c r="AY502" s="271">
        <f t="shared" si="180"/>
        <v>0.5714285714285714</v>
      </c>
      <c r="AZ502" s="271">
        <f t="shared" si="181"/>
        <v>0.42857142857142855</v>
      </c>
    </row>
    <row r="503" spans="44:52">
      <c r="AR503">
        <f t="shared" si="179"/>
        <v>2046</v>
      </c>
      <c r="AS503" s="307">
        <f t="shared" si="182"/>
        <v>53387</v>
      </c>
      <c r="AW503" s="271">
        <v>431.875</v>
      </c>
      <c r="AX503" s="271">
        <v>312.125</v>
      </c>
      <c r="AY503" s="271">
        <f t="shared" si="180"/>
        <v>0.58047715053763438</v>
      </c>
      <c r="AZ503" s="271">
        <f t="shared" si="181"/>
        <v>0.41952284946236557</v>
      </c>
    </row>
    <row r="504" spans="44:52">
      <c r="AR504">
        <f t="shared" si="179"/>
        <v>2046</v>
      </c>
      <c r="AS504" s="307">
        <f t="shared" si="182"/>
        <v>53418</v>
      </c>
      <c r="AW504" s="271">
        <v>416</v>
      </c>
      <c r="AX504" s="271">
        <v>304</v>
      </c>
      <c r="AY504" s="271">
        <f t="shared" si="180"/>
        <v>0.57777777777777772</v>
      </c>
      <c r="AZ504" s="271">
        <f t="shared" si="181"/>
        <v>0.42222222222222222</v>
      </c>
    </row>
    <row r="505" spans="44:52">
      <c r="AR505">
        <f t="shared" ref="AR505:AR560" si="183">+YEAR(AS505)</f>
        <v>2046</v>
      </c>
      <c r="AS505" s="307">
        <f t="shared" si="182"/>
        <v>53448</v>
      </c>
      <c r="AW505" s="271">
        <v>416</v>
      </c>
      <c r="AX505" s="271">
        <v>328</v>
      </c>
      <c r="AY505" s="271">
        <f t="shared" si="180"/>
        <v>0.55913978494623651</v>
      </c>
      <c r="AZ505" s="271">
        <f t="shared" si="181"/>
        <v>0.44086021505376344</v>
      </c>
    </row>
    <row r="506" spans="44:52">
      <c r="AR506">
        <f t="shared" si="183"/>
        <v>2046</v>
      </c>
      <c r="AS506" s="307">
        <f t="shared" si="182"/>
        <v>53479</v>
      </c>
      <c r="AW506" s="271">
        <v>416</v>
      </c>
      <c r="AX506" s="271">
        <v>304</v>
      </c>
      <c r="AY506" s="271">
        <f t="shared" si="180"/>
        <v>0.57777777777777772</v>
      </c>
      <c r="AZ506" s="271">
        <f t="shared" si="181"/>
        <v>0.42222222222222222</v>
      </c>
    </row>
    <row r="507" spans="44:52">
      <c r="AR507">
        <f t="shared" si="183"/>
        <v>2046</v>
      </c>
      <c r="AS507" s="307">
        <f t="shared" si="182"/>
        <v>53509</v>
      </c>
      <c r="AW507" s="271">
        <v>416</v>
      </c>
      <c r="AX507" s="271">
        <v>328</v>
      </c>
      <c r="AY507" s="271">
        <f t="shared" si="180"/>
        <v>0.55913978494623651</v>
      </c>
      <c r="AZ507" s="271">
        <f t="shared" si="181"/>
        <v>0.44086021505376344</v>
      </c>
    </row>
    <row r="508" spans="44:52">
      <c r="AR508">
        <f t="shared" si="183"/>
        <v>2046</v>
      </c>
      <c r="AS508" s="307">
        <f t="shared" si="182"/>
        <v>53540</v>
      </c>
      <c r="AW508" s="271">
        <v>424</v>
      </c>
      <c r="AX508" s="271">
        <v>320</v>
      </c>
      <c r="AY508" s="271">
        <f t="shared" si="180"/>
        <v>0.56989247311827962</v>
      </c>
      <c r="AZ508" s="271">
        <f t="shared" si="181"/>
        <v>0.43010752688172044</v>
      </c>
    </row>
    <row r="509" spans="44:52">
      <c r="AR509">
        <f t="shared" si="183"/>
        <v>2046</v>
      </c>
      <c r="AS509" s="307">
        <f t="shared" si="182"/>
        <v>53571</v>
      </c>
      <c r="AW509" s="271">
        <v>400</v>
      </c>
      <c r="AX509" s="271">
        <v>320</v>
      </c>
      <c r="AY509" s="271">
        <f t="shared" si="180"/>
        <v>0.55555555555555558</v>
      </c>
      <c r="AZ509" s="271">
        <f t="shared" si="181"/>
        <v>0.44444444444444442</v>
      </c>
    </row>
    <row r="510" spans="44:52">
      <c r="AR510">
        <f t="shared" si="183"/>
        <v>2046</v>
      </c>
      <c r="AS510" s="307">
        <f t="shared" si="182"/>
        <v>53601</v>
      </c>
      <c r="AW510" s="271">
        <v>431</v>
      </c>
      <c r="AX510" s="271">
        <v>313</v>
      </c>
      <c r="AY510" s="271">
        <f t="shared" si="180"/>
        <v>0.57930107526881724</v>
      </c>
      <c r="AZ510" s="271">
        <f t="shared" si="181"/>
        <v>0.42069892473118281</v>
      </c>
    </row>
    <row r="511" spans="44:52">
      <c r="AR511">
        <f t="shared" si="183"/>
        <v>2046</v>
      </c>
      <c r="AS511" s="307">
        <f t="shared" si="182"/>
        <v>53632</v>
      </c>
      <c r="AW511" s="271">
        <v>400</v>
      </c>
      <c r="AX511" s="271">
        <v>320</v>
      </c>
      <c r="AY511" s="271">
        <f t="shared" si="180"/>
        <v>0.55555555555555558</v>
      </c>
      <c r="AZ511" s="271">
        <f t="shared" si="181"/>
        <v>0.44444444444444442</v>
      </c>
    </row>
    <row r="512" spans="44:52">
      <c r="AR512">
        <f t="shared" si="183"/>
        <v>2046</v>
      </c>
      <c r="AS512" s="307">
        <f t="shared" si="182"/>
        <v>53662</v>
      </c>
      <c r="AW512" s="271">
        <v>416</v>
      </c>
      <c r="AX512" s="271">
        <v>328</v>
      </c>
      <c r="AY512" s="271">
        <f t="shared" si="180"/>
        <v>0.55913978494623651</v>
      </c>
      <c r="AZ512" s="271">
        <f t="shared" si="181"/>
        <v>0.44086021505376344</v>
      </c>
    </row>
    <row r="513" spans="44:52">
      <c r="AR513">
        <f t="shared" si="183"/>
        <v>2047</v>
      </c>
      <c r="AS513" s="307">
        <f t="shared" si="182"/>
        <v>53693</v>
      </c>
      <c r="AW513" s="271">
        <v>416</v>
      </c>
      <c r="AX513" s="271">
        <v>328</v>
      </c>
      <c r="AY513" s="271">
        <f t="shared" si="180"/>
        <v>0.55913978494623651</v>
      </c>
      <c r="AZ513" s="271">
        <f t="shared" si="181"/>
        <v>0.44086021505376344</v>
      </c>
    </row>
    <row r="514" spans="44:52">
      <c r="AR514">
        <f t="shared" si="183"/>
        <v>2047</v>
      </c>
      <c r="AS514" s="307">
        <f t="shared" si="182"/>
        <v>53724</v>
      </c>
      <c r="AW514" s="271">
        <v>384</v>
      </c>
      <c r="AX514" s="271">
        <v>288</v>
      </c>
      <c r="AY514" s="271">
        <f t="shared" si="180"/>
        <v>0.5714285714285714</v>
      </c>
      <c r="AZ514" s="271">
        <f t="shared" si="181"/>
        <v>0.42857142857142855</v>
      </c>
    </row>
    <row r="515" spans="44:52">
      <c r="AR515">
        <f t="shared" si="183"/>
        <v>2047</v>
      </c>
      <c r="AS515" s="307">
        <f t="shared" si="182"/>
        <v>53752</v>
      </c>
      <c r="AW515" s="271">
        <v>431.875</v>
      </c>
      <c r="AX515" s="271">
        <v>312.125</v>
      </c>
      <c r="AY515" s="271">
        <f t="shared" si="180"/>
        <v>0.58047715053763438</v>
      </c>
      <c r="AZ515" s="271">
        <f t="shared" si="181"/>
        <v>0.41952284946236557</v>
      </c>
    </row>
    <row r="516" spans="44:52">
      <c r="AR516">
        <f t="shared" si="183"/>
        <v>2047</v>
      </c>
      <c r="AS516" s="307">
        <f t="shared" si="182"/>
        <v>53783</v>
      </c>
      <c r="AW516" s="271">
        <v>416</v>
      </c>
      <c r="AX516" s="271">
        <v>304</v>
      </c>
      <c r="AY516" s="271">
        <f t="shared" si="180"/>
        <v>0.57777777777777772</v>
      </c>
      <c r="AZ516" s="271">
        <f t="shared" si="181"/>
        <v>0.42222222222222222</v>
      </c>
    </row>
    <row r="517" spans="44:52">
      <c r="AR517">
        <f t="shared" si="183"/>
        <v>2047</v>
      </c>
      <c r="AS517" s="307">
        <f t="shared" si="182"/>
        <v>53813</v>
      </c>
      <c r="AW517" s="271">
        <v>416</v>
      </c>
      <c r="AX517" s="271">
        <v>328</v>
      </c>
      <c r="AY517" s="271">
        <f t="shared" si="180"/>
        <v>0.55913978494623651</v>
      </c>
      <c r="AZ517" s="271">
        <f t="shared" si="181"/>
        <v>0.44086021505376344</v>
      </c>
    </row>
    <row r="518" spans="44:52">
      <c r="AR518">
        <f t="shared" si="183"/>
        <v>2047</v>
      </c>
      <c r="AS518" s="307">
        <f t="shared" si="182"/>
        <v>53844</v>
      </c>
      <c r="AW518" s="271">
        <v>416</v>
      </c>
      <c r="AX518" s="271">
        <v>304</v>
      </c>
      <c r="AY518" s="271">
        <f t="shared" ref="AY518:AY560" si="184">AW518/(AW518+AX518)</f>
        <v>0.57777777777777772</v>
      </c>
      <c r="AZ518" s="271">
        <f t="shared" ref="AZ518:AZ560" si="185">AX518/(AW518+AX518)</f>
        <v>0.42222222222222222</v>
      </c>
    </row>
    <row r="519" spans="44:52">
      <c r="AR519">
        <f t="shared" si="183"/>
        <v>2047</v>
      </c>
      <c r="AS519" s="307">
        <f t="shared" si="182"/>
        <v>53874</v>
      </c>
      <c r="AW519" s="271">
        <v>416</v>
      </c>
      <c r="AX519" s="271">
        <v>328</v>
      </c>
      <c r="AY519" s="271">
        <f t="shared" si="184"/>
        <v>0.55913978494623651</v>
      </c>
      <c r="AZ519" s="271">
        <f t="shared" si="185"/>
        <v>0.44086021505376344</v>
      </c>
    </row>
    <row r="520" spans="44:52">
      <c r="AR520">
        <f t="shared" si="183"/>
        <v>2047</v>
      </c>
      <c r="AS520" s="307">
        <f t="shared" si="182"/>
        <v>53905</v>
      </c>
      <c r="AW520" s="271">
        <v>424.125</v>
      </c>
      <c r="AX520" s="271">
        <v>319.875</v>
      </c>
      <c r="AY520" s="271">
        <f t="shared" si="184"/>
        <v>0.57006048387096775</v>
      </c>
      <c r="AZ520" s="271">
        <f t="shared" si="185"/>
        <v>0.42993951612903225</v>
      </c>
    </row>
    <row r="521" spans="44:52">
      <c r="AR521">
        <f t="shared" si="183"/>
        <v>2047</v>
      </c>
      <c r="AS521" s="307">
        <f t="shared" si="182"/>
        <v>53936</v>
      </c>
      <c r="AW521" s="271">
        <v>400</v>
      </c>
      <c r="AX521" s="271">
        <v>320</v>
      </c>
      <c r="AY521" s="271">
        <f t="shared" si="184"/>
        <v>0.55555555555555558</v>
      </c>
      <c r="AZ521" s="271">
        <f t="shared" si="185"/>
        <v>0.44444444444444442</v>
      </c>
    </row>
    <row r="522" spans="44:52">
      <c r="AR522">
        <f t="shared" si="183"/>
        <v>2047</v>
      </c>
      <c r="AS522" s="307">
        <f t="shared" si="182"/>
        <v>53966</v>
      </c>
      <c r="AW522" s="271">
        <v>431</v>
      </c>
      <c r="AX522" s="271">
        <v>313</v>
      </c>
      <c r="AY522" s="271">
        <f t="shared" si="184"/>
        <v>0.57930107526881724</v>
      </c>
      <c r="AZ522" s="271">
        <f t="shared" si="185"/>
        <v>0.42069892473118281</v>
      </c>
    </row>
    <row r="523" spans="44:52">
      <c r="AR523">
        <f t="shared" si="183"/>
        <v>2047</v>
      </c>
      <c r="AS523" s="307">
        <f t="shared" si="182"/>
        <v>53997</v>
      </c>
      <c r="AW523" s="271">
        <v>400</v>
      </c>
      <c r="AX523" s="271">
        <v>320</v>
      </c>
      <c r="AY523" s="271">
        <f t="shared" si="184"/>
        <v>0.55555555555555558</v>
      </c>
      <c r="AZ523" s="271">
        <f t="shared" si="185"/>
        <v>0.44444444444444442</v>
      </c>
    </row>
    <row r="524" spans="44:52">
      <c r="AR524">
        <f t="shared" si="183"/>
        <v>2047</v>
      </c>
      <c r="AS524" s="307">
        <f t="shared" si="182"/>
        <v>54027</v>
      </c>
      <c r="AW524" s="271">
        <v>416</v>
      </c>
      <c r="AX524" s="271">
        <v>328</v>
      </c>
      <c r="AY524" s="271">
        <f t="shared" si="184"/>
        <v>0.55913978494623651</v>
      </c>
      <c r="AZ524" s="271">
        <f t="shared" si="185"/>
        <v>0.44086021505376344</v>
      </c>
    </row>
    <row r="525" spans="44:52">
      <c r="AR525">
        <f t="shared" si="183"/>
        <v>2048</v>
      </c>
      <c r="AS525" s="307">
        <f t="shared" si="182"/>
        <v>54058</v>
      </c>
      <c r="AW525" s="271">
        <v>416</v>
      </c>
      <c r="AX525" s="271">
        <v>328</v>
      </c>
      <c r="AY525" s="271">
        <f t="shared" si="184"/>
        <v>0.55913978494623651</v>
      </c>
      <c r="AZ525" s="271">
        <f t="shared" si="185"/>
        <v>0.44086021505376344</v>
      </c>
    </row>
    <row r="526" spans="44:52">
      <c r="AR526">
        <f t="shared" si="183"/>
        <v>2048</v>
      </c>
      <c r="AS526" s="307">
        <f t="shared" si="182"/>
        <v>54089</v>
      </c>
      <c r="AW526" s="271">
        <v>384</v>
      </c>
      <c r="AX526" s="271">
        <v>288</v>
      </c>
      <c r="AY526" s="271">
        <f t="shared" si="184"/>
        <v>0.5714285714285714</v>
      </c>
      <c r="AZ526" s="271">
        <f t="shared" si="185"/>
        <v>0.42857142857142855</v>
      </c>
    </row>
    <row r="527" spans="44:52">
      <c r="AR527">
        <f t="shared" si="183"/>
        <v>2048</v>
      </c>
      <c r="AS527" s="307">
        <f t="shared" si="182"/>
        <v>54118</v>
      </c>
      <c r="AW527" s="271">
        <v>431.75</v>
      </c>
      <c r="AX527" s="271">
        <v>312.25</v>
      </c>
      <c r="AY527" s="271">
        <f t="shared" si="184"/>
        <v>0.58030913978494625</v>
      </c>
      <c r="AZ527" s="271">
        <f t="shared" si="185"/>
        <v>0.41969086021505375</v>
      </c>
    </row>
    <row r="528" spans="44:52">
      <c r="AR528">
        <f t="shared" si="183"/>
        <v>2048</v>
      </c>
      <c r="AS528" s="307">
        <f t="shared" si="182"/>
        <v>54149</v>
      </c>
      <c r="AW528" s="271">
        <v>416</v>
      </c>
      <c r="AX528" s="271">
        <v>304</v>
      </c>
      <c r="AY528" s="271">
        <f t="shared" si="184"/>
        <v>0.57777777777777772</v>
      </c>
      <c r="AZ528" s="271">
        <f t="shared" si="185"/>
        <v>0.42222222222222222</v>
      </c>
    </row>
    <row r="529" spans="44:52">
      <c r="AR529">
        <f t="shared" si="183"/>
        <v>2048</v>
      </c>
      <c r="AS529" s="307">
        <f t="shared" si="182"/>
        <v>54179</v>
      </c>
      <c r="AW529" s="271">
        <v>416</v>
      </c>
      <c r="AX529" s="271">
        <v>328</v>
      </c>
      <c r="AY529" s="271">
        <f t="shared" si="184"/>
        <v>0.55913978494623651</v>
      </c>
      <c r="AZ529" s="271">
        <f t="shared" si="185"/>
        <v>0.44086021505376344</v>
      </c>
    </row>
    <row r="530" spans="44:52">
      <c r="AR530">
        <f t="shared" si="183"/>
        <v>2048</v>
      </c>
      <c r="AS530" s="307">
        <f t="shared" si="182"/>
        <v>54210</v>
      </c>
      <c r="AW530" s="271">
        <v>416</v>
      </c>
      <c r="AX530" s="271">
        <v>304</v>
      </c>
      <c r="AY530" s="271">
        <f t="shared" si="184"/>
        <v>0.57777777777777772</v>
      </c>
      <c r="AZ530" s="271">
        <f t="shared" si="185"/>
        <v>0.42222222222222222</v>
      </c>
    </row>
    <row r="531" spans="44:52">
      <c r="AR531">
        <f t="shared" si="183"/>
        <v>2048</v>
      </c>
      <c r="AS531" s="307">
        <f t="shared" si="182"/>
        <v>54240</v>
      </c>
      <c r="AW531" s="271">
        <v>416</v>
      </c>
      <c r="AX531" s="271">
        <v>328</v>
      </c>
      <c r="AY531" s="271">
        <f t="shared" si="184"/>
        <v>0.55913978494623651</v>
      </c>
      <c r="AZ531" s="271">
        <f t="shared" si="185"/>
        <v>0.44086021505376344</v>
      </c>
    </row>
    <row r="532" spans="44:52">
      <c r="AR532">
        <f t="shared" si="183"/>
        <v>2048</v>
      </c>
      <c r="AS532" s="307">
        <f t="shared" si="182"/>
        <v>54271</v>
      </c>
      <c r="AW532" s="271">
        <v>424</v>
      </c>
      <c r="AX532" s="271">
        <v>320</v>
      </c>
      <c r="AY532" s="271">
        <f t="shared" si="184"/>
        <v>0.56989247311827962</v>
      </c>
      <c r="AZ532" s="271">
        <f t="shared" si="185"/>
        <v>0.43010752688172044</v>
      </c>
    </row>
    <row r="533" spans="44:52">
      <c r="AR533">
        <f t="shared" si="183"/>
        <v>2048</v>
      </c>
      <c r="AS533" s="307">
        <f t="shared" si="182"/>
        <v>54302</v>
      </c>
      <c r="AW533" s="271">
        <v>400</v>
      </c>
      <c r="AX533" s="271">
        <v>320</v>
      </c>
      <c r="AY533" s="271">
        <f t="shared" si="184"/>
        <v>0.55555555555555558</v>
      </c>
      <c r="AZ533" s="271">
        <f t="shared" si="185"/>
        <v>0.44444444444444442</v>
      </c>
    </row>
    <row r="534" spans="44:52">
      <c r="AR534">
        <f t="shared" si="183"/>
        <v>2048</v>
      </c>
      <c r="AS534" s="307">
        <f t="shared" si="182"/>
        <v>54332</v>
      </c>
      <c r="AW534" s="271">
        <v>431.125</v>
      </c>
      <c r="AX534" s="271">
        <v>312.875</v>
      </c>
      <c r="AY534" s="271">
        <f t="shared" si="184"/>
        <v>0.57946908602150538</v>
      </c>
      <c r="AZ534" s="271">
        <f t="shared" si="185"/>
        <v>0.42053091397849462</v>
      </c>
    </row>
    <row r="535" spans="44:52">
      <c r="AR535">
        <f t="shared" si="183"/>
        <v>2048</v>
      </c>
      <c r="AS535" s="307">
        <f t="shared" si="182"/>
        <v>54363</v>
      </c>
      <c r="AW535" s="271">
        <v>400</v>
      </c>
      <c r="AX535" s="271">
        <v>320</v>
      </c>
      <c r="AY535" s="271">
        <f t="shared" si="184"/>
        <v>0.55555555555555558</v>
      </c>
      <c r="AZ535" s="271">
        <f t="shared" si="185"/>
        <v>0.44444444444444442</v>
      </c>
    </row>
    <row r="536" spans="44:52">
      <c r="AR536">
        <f t="shared" si="183"/>
        <v>2048</v>
      </c>
      <c r="AS536" s="307">
        <f t="shared" si="182"/>
        <v>54393</v>
      </c>
      <c r="AW536" s="271">
        <v>416</v>
      </c>
      <c r="AX536" s="271">
        <v>328</v>
      </c>
      <c r="AY536" s="271">
        <f t="shared" si="184"/>
        <v>0.55913978494623651</v>
      </c>
      <c r="AZ536" s="271">
        <f t="shared" si="185"/>
        <v>0.44086021505376344</v>
      </c>
    </row>
    <row r="537" spans="44:52">
      <c r="AR537">
        <f t="shared" si="183"/>
        <v>2049</v>
      </c>
      <c r="AS537" s="307">
        <f t="shared" si="182"/>
        <v>54424</v>
      </c>
      <c r="AW537" s="271">
        <v>416</v>
      </c>
      <c r="AX537" s="271">
        <v>328</v>
      </c>
      <c r="AY537" s="271">
        <f t="shared" si="184"/>
        <v>0.55913978494623651</v>
      </c>
      <c r="AZ537" s="271">
        <f t="shared" si="185"/>
        <v>0.44086021505376344</v>
      </c>
    </row>
    <row r="538" spans="44:52">
      <c r="AR538">
        <f t="shared" si="183"/>
        <v>2049</v>
      </c>
      <c r="AS538" s="307">
        <f t="shared" si="182"/>
        <v>54455</v>
      </c>
      <c r="AW538" s="271">
        <v>384</v>
      </c>
      <c r="AX538" s="271">
        <v>288</v>
      </c>
      <c r="AY538" s="271">
        <f t="shared" si="184"/>
        <v>0.5714285714285714</v>
      </c>
      <c r="AZ538" s="271">
        <f t="shared" si="185"/>
        <v>0.42857142857142855</v>
      </c>
    </row>
    <row r="539" spans="44:52">
      <c r="AR539">
        <f t="shared" si="183"/>
        <v>2049</v>
      </c>
      <c r="AS539" s="307">
        <f t="shared" si="182"/>
        <v>54483</v>
      </c>
      <c r="AW539" s="271">
        <v>431.875</v>
      </c>
      <c r="AX539" s="271">
        <v>312.125</v>
      </c>
      <c r="AY539" s="271">
        <f t="shared" si="184"/>
        <v>0.58047715053763438</v>
      </c>
      <c r="AZ539" s="271">
        <f t="shared" si="185"/>
        <v>0.41952284946236557</v>
      </c>
    </row>
    <row r="540" spans="44:52">
      <c r="AR540">
        <f t="shared" si="183"/>
        <v>2049</v>
      </c>
      <c r="AS540" s="307">
        <f t="shared" si="182"/>
        <v>54514</v>
      </c>
      <c r="AW540" s="271">
        <v>416</v>
      </c>
      <c r="AX540" s="271">
        <v>304</v>
      </c>
      <c r="AY540" s="271">
        <f t="shared" si="184"/>
        <v>0.57777777777777772</v>
      </c>
      <c r="AZ540" s="271">
        <f t="shared" si="185"/>
        <v>0.42222222222222222</v>
      </c>
    </row>
    <row r="541" spans="44:52">
      <c r="AR541">
        <f t="shared" si="183"/>
        <v>2049</v>
      </c>
      <c r="AS541" s="307">
        <f t="shared" si="182"/>
        <v>54544</v>
      </c>
      <c r="AW541" s="271">
        <v>416</v>
      </c>
      <c r="AX541" s="271">
        <v>328</v>
      </c>
      <c r="AY541" s="271">
        <f t="shared" si="184"/>
        <v>0.55913978494623651</v>
      </c>
      <c r="AZ541" s="271">
        <f t="shared" si="185"/>
        <v>0.44086021505376344</v>
      </c>
    </row>
    <row r="542" spans="44:52">
      <c r="AR542">
        <f t="shared" si="183"/>
        <v>2049</v>
      </c>
      <c r="AS542" s="307">
        <f t="shared" si="182"/>
        <v>54575</v>
      </c>
      <c r="AW542" s="271">
        <v>416</v>
      </c>
      <c r="AX542" s="271">
        <v>304</v>
      </c>
      <c r="AY542" s="271">
        <f t="shared" si="184"/>
        <v>0.57777777777777772</v>
      </c>
      <c r="AZ542" s="271">
        <f t="shared" si="185"/>
        <v>0.42222222222222222</v>
      </c>
    </row>
    <row r="543" spans="44:52">
      <c r="AR543">
        <f t="shared" si="183"/>
        <v>2049</v>
      </c>
      <c r="AS543" s="307">
        <f t="shared" si="182"/>
        <v>54605</v>
      </c>
      <c r="AW543" s="271">
        <v>416</v>
      </c>
      <c r="AX543" s="271">
        <v>328</v>
      </c>
      <c r="AY543" s="271">
        <f t="shared" si="184"/>
        <v>0.55913978494623651</v>
      </c>
      <c r="AZ543" s="271">
        <f t="shared" si="185"/>
        <v>0.44086021505376344</v>
      </c>
    </row>
    <row r="544" spans="44:52">
      <c r="AR544">
        <f t="shared" si="183"/>
        <v>2049</v>
      </c>
      <c r="AS544" s="307">
        <f t="shared" si="182"/>
        <v>54636</v>
      </c>
      <c r="AW544" s="271">
        <v>424</v>
      </c>
      <c r="AX544" s="271">
        <v>320</v>
      </c>
      <c r="AY544" s="271">
        <f t="shared" si="184"/>
        <v>0.56989247311827962</v>
      </c>
      <c r="AZ544" s="271">
        <f t="shared" si="185"/>
        <v>0.43010752688172044</v>
      </c>
    </row>
    <row r="545" spans="44:52">
      <c r="AR545">
        <f t="shared" si="183"/>
        <v>2049</v>
      </c>
      <c r="AS545" s="307">
        <f t="shared" si="182"/>
        <v>54667</v>
      </c>
      <c r="AW545" s="271">
        <v>400</v>
      </c>
      <c r="AX545" s="271">
        <v>320</v>
      </c>
      <c r="AY545" s="271">
        <f t="shared" si="184"/>
        <v>0.55555555555555558</v>
      </c>
      <c r="AZ545" s="271">
        <f t="shared" si="185"/>
        <v>0.44444444444444442</v>
      </c>
    </row>
    <row r="546" spans="44:52">
      <c r="AR546">
        <f t="shared" si="183"/>
        <v>2049</v>
      </c>
      <c r="AS546" s="307">
        <f t="shared" si="182"/>
        <v>54697</v>
      </c>
      <c r="AW546" s="271">
        <v>431</v>
      </c>
      <c r="AX546" s="271">
        <v>313</v>
      </c>
      <c r="AY546" s="271">
        <f t="shared" si="184"/>
        <v>0.57930107526881724</v>
      </c>
      <c r="AZ546" s="271">
        <f t="shared" si="185"/>
        <v>0.42069892473118281</v>
      </c>
    </row>
    <row r="547" spans="44:52">
      <c r="AR547">
        <f t="shared" si="183"/>
        <v>2049</v>
      </c>
      <c r="AS547" s="307">
        <f t="shared" si="182"/>
        <v>54728</v>
      </c>
      <c r="AW547" s="271">
        <v>400</v>
      </c>
      <c r="AX547" s="271">
        <v>320</v>
      </c>
      <c r="AY547" s="271">
        <f t="shared" si="184"/>
        <v>0.55555555555555558</v>
      </c>
      <c r="AZ547" s="271">
        <f t="shared" si="185"/>
        <v>0.44444444444444442</v>
      </c>
    </row>
    <row r="548" spans="44:52">
      <c r="AR548">
        <f t="shared" si="183"/>
        <v>2049</v>
      </c>
      <c r="AS548" s="307">
        <f t="shared" si="182"/>
        <v>54758</v>
      </c>
      <c r="AW548" s="271">
        <v>416</v>
      </c>
      <c r="AX548" s="271">
        <v>328</v>
      </c>
      <c r="AY548" s="271">
        <f t="shared" si="184"/>
        <v>0.55913978494623651</v>
      </c>
      <c r="AZ548" s="271">
        <f t="shared" si="185"/>
        <v>0.44086021505376344</v>
      </c>
    </row>
    <row r="549" spans="44:52">
      <c r="AR549">
        <f t="shared" si="183"/>
        <v>2050</v>
      </c>
      <c r="AS549" s="307">
        <f t="shared" si="182"/>
        <v>54789</v>
      </c>
      <c r="AW549" s="271">
        <v>416</v>
      </c>
      <c r="AX549" s="271">
        <v>328</v>
      </c>
      <c r="AY549" s="271">
        <f t="shared" si="184"/>
        <v>0.55913978494623651</v>
      </c>
      <c r="AZ549" s="271">
        <f t="shared" si="185"/>
        <v>0.44086021505376344</v>
      </c>
    </row>
    <row r="550" spans="44:52">
      <c r="AR550">
        <f t="shared" si="183"/>
        <v>2050</v>
      </c>
      <c r="AS550" s="307">
        <f t="shared" si="182"/>
        <v>54820</v>
      </c>
      <c r="AW550" s="271">
        <v>384</v>
      </c>
      <c r="AX550" s="271">
        <v>288</v>
      </c>
      <c r="AY550" s="271">
        <f t="shared" si="184"/>
        <v>0.5714285714285714</v>
      </c>
      <c r="AZ550" s="271">
        <f t="shared" si="185"/>
        <v>0.42857142857142855</v>
      </c>
    </row>
    <row r="551" spans="44:52">
      <c r="AR551">
        <f t="shared" si="183"/>
        <v>2050</v>
      </c>
      <c r="AS551" s="307">
        <f t="shared" si="182"/>
        <v>54848</v>
      </c>
      <c r="AW551" s="271">
        <v>431.75</v>
      </c>
      <c r="AX551" s="271">
        <v>312.25</v>
      </c>
      <c r="AY551" s="271">
        <f t="shared" si="184"/>
        <v>0.58030913978494625</v>
      </c>
      <c r="AZ551" s="271">
        <f t="shared" si="185"/>
        <v>0.41969086021505375</v>
      </c>
    </row>
    <row r="552" spans="44:52">
      <c r="AR552">
        <f t="shared" si="183"/>
        <v>2050</v>
      </c>
      <c r="AS552" s="307">
        <f t="shared" si="182"/>
        <v>54879</v>
      </c>
      <c r="AW552" s="271">
        <v>416</v>
      </c>
      <c r="AX552" s="271">
        <v>304</v>
      </c>
      <c r="AY552" s="271">
        <f t="shared" si="184"/>
        <v>0.57777777777777772</v>
      </c>
      <c r="AZ552" s="271">
        <f t="shared" si="185"/>
        <v>0.42222222222222222</v>
      </c>
    </row>
    <row r="553" spans="44:52">
      <c r="AR553">
        <f t="shared" si="183"/>
        <v>2050</v>
      </c>
      <c r="AS553" s="307">
        <f t="shared" si="182"/>
        <v>54909</v>
      </c>
      <c r="AW553" s="271">
        <v>416</v>
      </c>
      <c r="AX553" s="271">
        <v>328</v>
      </c>
      <c r="AY553" s="271">
        <f t="shared" si="184"/>
        <v>0.55913978494623651</v>
      </c>
      <c r="AZ553" s="271">
        <f t="shared" si="185"/>
        <v>0.44086021505376344</v>
      </c>
    </row>
    <row r="554" spans="44:52">
      <c r="AR554">
        <f t="shared" si="183"/>
        <v>2050</v>
      </c>
      <c r="AS554" s="307">
        <f t="shared" si="182"/>
        <v>54940</v>
      </c>
      <c r="AW554" s="271">
        <v>416</v>
      </c>
      <c r="AX554" s="271">
        <v>304</v>
      </c>
      <c r="AY554" s="271">
        <f t="shared" si="184"/>
        <v>0.57777777777777772</v>
      </c>
      <c r="AZ554" s="271">
        <f t="shared" si="185"/>
        <v>0.42222222222222222</v>
      </c>
    </row>
    <row r="555" spans="44:52">
      <c r="AR555">
        <f t="shared" si="183"/>
        <v>2050</v>
      </c>
      <c r="AS555" s="307">
        <f t="shared" si="182"/>
        <v>54970</v>
      </c>
      <c r="AW555" s="271">
        <v>416</v>
      </c>
      <c r="AX555" s="271">
        <v>328</v>
      </c>
      <c r="AY555" s="271">
        <f t="shared" si="184"/>
        <v>0.55913978494623651</v>
      </c>
      <c r="AZ555" s="271">
        <f t="shared" si="185"/>
        <v>0.44086021505376344</v>
      </c>
    </row>
    <row r="556" spans="44:52">
      <c r="AR556">
        <f t="shared" si="183"/>
        <v>2050</v>
      </c>
      <c r="AS556" s="307">
        <f t="shared" si="182"/>
        <v>55001</v>
      </c>
      <c r="AW556" s="271">
        <v>424.0625</v>
      </c>
      <c r="AX556" s="271">
        <v>319.9375</v>
      </c>
      <c r="AY556" s="271">
        <f t="shared" si="184"/>
        <v>0.56997647849462363</v>
      </c>
      <c r="AZ556" s="271">
        <f t="shared" si="185"/>
        <v>0.43002352150537637</v>
      </c>
    </row>
    <row r="557" spans="44:52">
      <c r="AR557">
        <f t="shared" si="183"/>
        <v>2050</v>
      </c>
      <c r="AS557" s="307">
        <f t="shared" si="182"/>
        <v>55032</v>
      </c>
      <c r="AW557" s="271">
        <v>400</v>
      </c>
      <c r="AX557" s="271">
        <v>320</v>
      </c>
      <c r="AY557" s="271">
        <f t="shared" si="184"/>
        <v>0.55555555555555558</v>
      </c>
      <c r="AZ557" s="271">
        <f t="shared" si="185"/>
        <v>0.44444444444444442</v>
      </c>
    </row>
    <row r="558" spans="44:52">
      <c r="AR558">
        <f t="shared" si="183"/>
        <v>2050</v>
      </c>
      <c r="AS558" s="307">
        <f t="shared" ref="AS558:AS560" si="186">EOMONTH(AS557,0)+1</f>
        <v>55062</v>
      </c>
      <c r="AW558" s="271">
        <v>431.0625</v>
      </c>
      <c r="AX558" s="271">
        <v>312.9375</v>
      </c>
      <c r="AY558" s="271">
        <f t="shared" si="184"/>
        <v>0.57938508064516125</v>
      </c>
      <c r="AZ558" s="271">
        <f t="shared" si="185"/>
        <v>0.42061491935483869</v>
      </c>
    </row>
    <row r="559" spans="44:52">
      <c r="AR559">
        <f t="shared" si="183"/>
        <v>2050</v>
      </c>
      <c r="AS559" s="307">
        <f t="shared" si="186"/>
        <v>55093</v>
      </c>
      <c r="AW559" s="271">
        <v>400</v>
      </c>
      <c r="AX559" s="271">
        <v>320</v>
      </c>
      <c r="AY559" s="271">
        <f t="shared" si="184"/>
        <v>0.55555555555555558</v>
      </c>
      <c r="AZ559" s="271">
        <f t="shared" si="185"/>
        <v>0.44444444444444442</v>
      </c>
    </row>
    <row r="560" spans="44:52">
      <c r="AR560">
        <f t="shared" si="183"/>
        <v>2050</v>
      </c>
      <c r="AS560" s="307">
        <f t="shared" si="186"/>
        <v>55123</v>
      </c>
      <c r="AW560" s="271">
        <v>416</v>
      </c>
      <c r="AX560" s="271">
        <v>328</v>
      </c>
      <c r="AY560" s="271">
        <f t="shared" si="184"/>
        <v>0.55913978494623651</v>
      </c>
      <c r="AZ560" s="271">
        <f t="shared" si="185"/>
        <v>0.44086021505376344</v>
      </c>
    </row>
    <row r="561" spans="45:52">
      <c r="AS561" s="307"/>
      <c r="AY561" s="271"/>
      <c r="AZ561" s="271"/>
    </row>
    <row r="562" spans="45:52">
      <c r="AS562" s="307"/>
      <c r="AY562" s="271"/>
      <c r="AZ562" s="271"/>
    </row>
    <row r="563" spans="45:52">
      <c r="AS563" s="307"/>
      <c r="AY563" s="271"/>
      <c r="AZ563" s="271"/>
    </row>
    <row r="564" spans="45:52">
      <c r="AS564" s="307"/>
      <c r="AY564" s="271"/>
      <c r="AZ564" s="271"/>
    </row>
    <row r="565" spans="45:52">
      <c r="AS565" s="307"/>
      <c r="AY565" s="271"/>
      <c r="AZ565" s="271"/>
    </row>
    <row r="566" spans="45:52">
      <c r="AS566" s="307"/>
      <c r="AY566" s="271"/>
      <c r="AZ566" s="271"/>
    </row>
    <row r="567" spans="45:52">
      <c r="AS567" s="307"/>
      <c r="AY567" s="271"/>
      <c r="AZ567" s="271"/>
    </row>
    <row r="568" spans="45:52">
      <c r="AS568" s="307"/>
      <c r="AY568" s="271"/>
      <c r="AZ568" s="271"/>
    </row>
    <row r="569" spans="45:52">
      <c r="AS569" s="307"/>
      <c r="AY569" s="271"/>
      <c r="AZ569" s="271"/>
    </row>
    <row r="570" spans="45:52">
      <c r="AS570" s="307"/>
      <c r="AY570" s="271"/>
      <c r="AZ570" s="271"/>
    </row>
    <row r="571" spans="45:52">
      <c r="AS571" s="307"/>
      <c r="AY571" s="271"/>
      <c r="AZ571" s="271"/>
    </row>
    <row r="572" spans="45:52">
      <c r="AS572" s="307"/>
      <c r="AY572" s="271"/>
      <c r="AZ572" s="271"/>
    </row>
    <row r="573" spans="45:52">
      <c r="AS573" s="307"/>
    </row>
    <row r="574" spans="45:52">
      <c r="AS574" s="307"/>
    </row>
    <row r="575" spans="45:52">
      <c r="AS575" s="307"/>
    </row>
    <row r="576" spans="45:52">
      <c r="AS576" s="307"/>
    </row>
    <row r="577" spans="45:45">
      <c r="AS577" s="307"/>
    </row>
    <row r="578" spans="45:45">
      <c r="AS578" s="307"/>
    </row>
    <row r="579" spans="45:45">
      <c r="AS579" s="307"/>
    </row>
    <row r="580" spans="45:45">
      <c r="AS580" s="307"/>
    </row>
    <row r="581" spans="45:45">
      <c r="AS581" s="307"/>
    </row>
    <row r="582" spans="45:45">
      <c r="AS582" s="307"/>
    </row>
    <row r="583" spans="45:45">
      <c r="AS583" s="307"/>
    </row>
    <row r="584" spans="45:45">
      <c r="AS584" s="307"/>
    </row>
    <row r="585" spans="45:45">
      <c r="AS585" s="307"/>
    </row>
    <row r="586" spans="45:45">
      <c r="AS586" s="307"/>
    </row>
    <row r="587" spans="45:45">
      <c r="AS587" s="307"/>
    </row>
    <row r="588" spans="45:45">
      <c r="AS588" s="307"/>
    </row>
    <row r="589" spans="45:45">
      <c r="AS589" s="307"/>
    </row>
    <row r="590" spans="45:45">
      <c r="AS590" s="307"/>
    </row>
    <row r="591" spans="45:45">
      <c r="AS591" s="307"/>
    </row>
    <row r="592" spans="45:45">
      <c r="AS592" s="307"/>
    </row>
    <row r="593" spans="45:45">
      <c r="AS593" s="307"/>
    </row>
    <row r="594" spans="45:45">
      <c r="AS594" s="307"/>
    </row>
    <row r="595" spans="45:45">
      <c r="AS595" s="307"/>
    </row>
    <row r="596" spans="45:45">
      <c r="AS596" s="307"/>
    </row>
    <row r="597" spans="45:45">
      <c r="AS597" s="307"/>
    </row>
    <row r="598" spans="45:45">
      <c r="AS598" s="307"/>
    </row>
    <row r="599" spans="45:45">
      <c r="AS599" s="307"/>
    </row>
    <row r="600" spans="45:45">
      <c r="AS600" s="307"/>
    </row>
    <row r="601" spans="45:45">
      <c r="AS601" s="307"/>
    </row>
    <row r="602" spans="45:45">
      <c r="AS602" s="307"/>
    </row>
    <row r="603" spans="45:45">
      <c r="AS603" s="307"/>
    </row>
    <row r="604" spans="45:45">
      <c r="AS604" s="307"/>
    </row>
    <row r="605" spans="45:45">
      <c r="AS605" s="307"/>
    </row>
    <row r="606" spans="45:45">
      <c r="AS606" s="307"/>
    </row>
    <row r="607" spans="45:45">
      <c r="AS607" s="307"/>
    </row>
    <row r="608" spans="45:45">
      <c r="AS608" s="307"/>
    </row>
    <row r="609" spans="45:45">
      <c r="AS609" s="307"/>
    </row>
    <row r="610" spans="45:45">
      <c r="AS610" s="307"/>
    </row>
    <row r="611" spans="45:45">
      <c r="AS611" s="307"/>
    </row>
    <row r="612" spans="45:45">
      <c r="AS612" s="307"/>
    </row>
    <row r="613" spans="45:45">
      <c r="AS613" s="307"/>
    </row>
    <row r="614" spans="45:45">
      <c r="AS614" s="307"/>
    </row>
    <row r="615" spans="45:45">
      <c r="AS615" s="307"/>
    </row>
    <row r="616" spans="45:45">
      <c r="AS616" s="307"/>
    </row>
    <row r="617" spans="45:45">
      <c r="AS617" s="307"/>
    </row>
    <row r="618" spans="45:45">
      <c r="AS618" s="307"/>
    </row>
    <row r="619" spans="45:45">
      <c r="AS619" s="307"/>
    </row>
    <row r="620" spans="45:45">
      <c r="AS620" s="307"/>
    </row>
    <row r="621" spans="45:45">
      <c r="AS621" s="307"/>
    </row>
    <row r="622" spans="45:45">
      <c r="AS622" s="307"/>
    </row>
    <row r="623" spans="45:45">
      <c r="AS623" s="307"/>
    </row>
    <row r="624" spans="45:45">
      <c r="AS624" s="307"/>
    </row>
    <row r="625" spans="45:45">
      <c r="AS625" s="307"/>
    </row>
    <row r="626" spans="45:45">
      <c r="AS626" s="307"/>
    </row>
    <row r="627" spans="45:45">
      <c r="AS627" s="307"/>
    </row>
    <row r="628" spans="45:45">
      <c r="AS628" s="307"/>
    </row>
    <row r="629" spans="45:45">
      <c r="AS629" s="307"/>
    </row>
    <row r="630" spans="45:45">
      <c r="AS630" s="307"/>
    </row>
    <row r="631" spans="45:45">
      <c r="AS631" s="307"/>
    </row>
    <row r="632" spans="45:45">
      <c r="AS632" s="307"/>
    </row>
    <row r="633" spans="45:45">
      <c r="AS633" s="307"/>
    </row>
    <row r="634" spans="45:45">
      <c r="AS634" s="307"/>
    </row>
    <row r="635" spans="45:45">
      <c r="AS635" s="307"/>
    </row>
    <row r="636" spans="45:45">
      <c r="AS636" s="307"/>
    </row>
    <row r="637" spans="45:45">
      <c r="AS637" s="307"/>
    </row>
    <row r="638" spans="45:45">
      <c r="AS638" s="307"/>
    </row>
    <row r="639" spans="45:45">
      <c r="AS639" s="307"/>
    </row>
    <row r="640" spans="45:45">
      <c r="AS640" s="307"/>
    </row>
    <row r="641" spans="45:45">
      <c r="AS641" s="307"/>
    </row>
    <row r="642" spans="45:45">
      <c r="AS642" s="307"/>
    </row>
    <row r="643" spans="45:45">
      <c r="AS643" s="307"/>
    </row>
    <row r="644" spans="45:45">
      <c r="AS644" s="307"/>
    </row>
    <row r="645" spans="45:45">
      <c r="AS645" s="307"/>
    </row>
    <row r="646" spans="45:45">
      <c r="AS646" s="307"/>
    </row>
    <row r="647" spans="45:45">
      <c r="AS647" s="307"/>
    </row>
    <row r="648" spans="45:45">
      <c r="AS648" s="307"/>
    </row>
    <row r="649" spans="45:45">
      <c r="AS649" s="307"/>
    </row>
    <row r="650" spans="45:45">
      <c r="AS650" s="307"/>
    </row>
    <row r="651" spans="45:45">
      <c r="AS651" s="307"/>
    </row>
    <row r="652" spans="45:45">
      <c r="AS652" s="307"/>
    </row>
    <row r="653" spans="45:45">
      <c r="AS653" s="307"/>
    </row>
    <row r="654" spans="45:45">
      <c r="AS654" s="307"/>
    </row>
    <row r="655" spans="45:45">
      <c r="AS655" s="307"/>
    </row>
    <row r="656" spans="45:45">
      <c r="AS656" s="307"/>
    </row>
    <row r="657" spans="45:45">
      <c r="AS657" s="307"/>
    </row>
    <row r="658" spans="45:45">
      <c r="AS658" s="307"/>
    </row>
    <row r="659" spans="45:45">
      <c r="AS659" s="307"/>
    </row>
    <row r="660" spans="45:45">
      <c r="AS660" s="307"/>
    </row>
    <row r="661" spans="45:45">
      <c r="AS661" s="307"/>
    </row>
    <row r="662" spans="45:45">
      <c r="AS662" s="307"/>
    </row>
    <row r="663" spans="45:45">
      <c r="AS663" s="307"/>
    </row>
    <row r="664" spans="45:45">
      <c r="AS664" s="307"/>
    </row>
    <row r="665" spans="45:45">
      <c r="AS665" s="307"/>
    </row>
    <row r="666" spans="45:45">
      <c r="AS666" s="307"/>
    </row>
    <row r="667" spans="45:45">
      <c r="AS667" s="307"/>
    </row>
    <row r="668" spans="45:45">
      <c r="AS668" s="307"/>
    </row>
    <row r="669" spans="45:45">
      <c r="AS669" s="307"/>
    </row>
    <row r="670" spans="45:45">
      <c r="AS670" s="307"/>
    </row>
    <row r="671" spans="45:45">
      <c r="AS671" s="307"/>
    </row>
    <row r="672" spans="45:45">
      <c r="AS672" s="307"/>
    </row>
    <row r="673" spans="45:45">
      <c r="AS673" s="307"/>
    </row>
    <row r="674" spans="45:45">
      <c r="AS674" s="307"/>
    </row>
    <row r="675" spans="45:45">
      <c r="AS675" s="307"/>
    </row>
    <row r="676" spans="45:45">
      <c r="AS676" s="307"/>
    </row>
    <row r="677" spans="45:45">
      <c r="AS677" s="307"/>
    </row>
    <row r="678" spans="45:45">
      <c r="AS678" s="307"/>
    </row>
    <row r="679" spans="45:45">
      <c r="AS679" s="307"/>
    </row>
    <row r="680" spans="45:45">
      <c r="AS680" s="307"/>
    </row>
    <row r="681" spans="45:45">
      <c r="AS681" s="307"/>
    </row>
    <row r="682" spans="45:45">
      <c r="AS682" s="307"/>
    </row>
    <row r="683" spans="45:45">
      <c r="AS683" s="307"/>
    </row>
    <row r="684" spans="45:45">
      <c r="AS684" s="307"/>
    </row>
    <row r="685" spans="45:45">
      <c r="AS685" s="307"/>
    </row>
    <row r="686" spans="45:45">
      <c r="AS686" s="307"/>
    </row>
    <row r="687" spans="45:45">
      <c r="AS687" s="307"/>
    </row>
    <row r="688" spans="45:45">
      <c r="AS688" s="307"/>
    </row>
  </sheetData>
  <mergeCells count="7">
    <mergeCell ref="AC15:AE15"/>
    <mergeCell ref="Z15:AB15"/>
    <mergeCell ref="Y13:AE13"/>
    <mergeCell ref="Z1:AD1"/>
    <mergeCell ref="AM13:AO13"/>
    <mergeCell ref="AF15:AG15"/>
    <mergeCell ref="AH15:AI15"/>
  </mergeCells>
  <phoneticPr fontId="6" type="noConversion"/>
  <pageMargins left="0.25" right="0.25" top="0.25" bottom="0.75" header="0.3" footer="0.3"/>
  <pageSetup scale="80" orientation="landscape" r:id="rId1"/>
  <colBreaks count="1" manualBreakCount="1">
    <brk id="35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EDF5-B147-4D9A-A6ED-7F5E1D229129}">
  <sheetPr>
    <tabColor theme="0" tint="-0.249977111117893"/>
    <pageSetUpPr fitToPage="1"/>
  </sheetPr>
  <dimension ref="A1:BH73"/>
  <sheetViews>
    <sheetView workbookViewId="0">
      <selection activeCell="S28" sqref="S28"/>
    </sheetView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3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Index'!$C$4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364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51">
        <v>0.32100000000000017</v>
      </c>
      <c r="H11" s="252"/>
      <c r="AB11" s="122" t="s">
        <v>99</v>
      </c>
      <c r="AC11" s="123"/>
      <c r="AD11" s="123"/>
      <c r="AE11" s="123"/>
      <c r="AF11" s="134">
        <f>+G11*(G12/AJ16)</f>
        <v>0.33362767634105173</v>
      </c>
      <c r="AG11" s="127"/>
      <c r="AH11" s="123" t="s">
        <v>100</v>
      </c>
      <c r="AI11" s="124"/>
      <c r="AJ11" s="129">
        <f>'(2.1)_Proxy Resources'!$N$106</f>
        <v>6.6035087719298247</v>
      </c>
      <c r="AK11" s="235"/>
      <c r="AZ11" s="122" t="s">
        <v>99</v>
      </c>
      <c r="BA11" s="123"/>
      <c r="BB11" s="123"/>
      <c r="BC11" s="123"/>
      <c r="BD11" s="568">
        <f>(AF11*AF13-G11*G19)</f>
        <v>7.6207585016850821E-2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54">
        <v>0.80193174867352268</v>
      </c>
      <c r="H12" s="252"/>
      <c r="AB12" s="122" t="s">
        <v>32</v>
      </c>
      <c r="AC12" s="123"/>
      <c r="AD12" s="123"/>
      <c r="AE12" s="123"/>
      <c r="AF12" s="131">
        <f>+AD59/8760/AF11</f>
        <v>0.77157894736842103</v>
      </c>
      <c r="AG12" s="127"/>
      <c r="AH12" s="117" t="s">
        <v>101</v>
      </c>
      <c r="AI12" s="118"/>
      <c r="AJ12" s="117">
        <v>2002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2001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29">
        <f>'(2.1)_Proxy Resources'!$O$106</f>
        <v>1.5426421100500227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30</v>
      </c>
      <c r="H14" s="252"/>
      <c r="AB14" s="122" t="s">
        <v>104</v>
      </c>
      <c r="AC14" s="123"/>
      <c r="AD14" s="123"/>
      <c r="AE14" s="123"/>
      <c r="AF14" s="134">
        <f>'(2.1)_Proxy Resources'!$H$106</f>
        <v>7163.7407912687586</v>
      </c>
      <c r="AG14" s="127"/>
      <c r="AH14" s="117"/>
      <c r="AI14" s="118"/>
      <c r="AJ14" s="129"/>
      <c r="AK14" s="235"/>
      <c r="AZ14" s="122" t="s">
        <v>105</v>
      </c>
      <c r="BA14" s="123"/>
      <c r="BB14" s="123"/>
      <c r="BC14" s="123"/>
      <c r="BD14" s="135">
        <f>'(2.1)_Proxy Resources'!$J$107</f>
        <v>482</v>
      </c>
      <c r="BE14" s="132"/>
    </row>
    <row r="15" spans="1:57" ht="12">
      <c r="A15" t="s">
        <v>198</v>
      </c>
      <c r="B15" s="250"/>
      <c r="C15" s="231" t="s">
        <v>107</v>
      </c>
      <c r="D15" s="231"/>
      <c r="E15" s="231"/>
      <c r="F15" s="231"/>
      <c r="G15" s="255">
        <v>706.5</v>
      </c>
      <c r="H15" s="252"/>
      <c r="AB15" s="122" t="s">
        <v>197</v>
      </c>
      <c r="AC15" s="123"/>
      <c r="AD15" s="123"/>
      <c r="AE15" s="123"/>
      <c r="AF15" s="135">
        <f>'(2.1)_Proxy Resources'!$J$106</f>
        <v>625</v>
      </c>
      <c r="AG15" s="127"/>
      <c r="AH15" s="117" t="s">
        <v>145</v>
      </c>
      <c r="AI15" s="118"/>
      <c r="AJ15" s="129">
        <f>'(2.1)_Proxy Resources'!$P$106</f>
        <v>3.1491524416152528</v>
      </c>
      <c r="AK15" s="235"/>
      <c r="AZ15" s="122" t="s">
        <v>108</v>
      </c>
      <c r="BA15" s="123"/>
      <c r="BB15" s="123"/>
      <c r="BC15" s="123"/>
      <c r="BD15" s="136">
        <f>'(2.1)_Proxy Resources'!$K$107</f>
        <v>9.5899999999999999E-2</v>
      </c>
      <c r="BE15" s="132"/>
    </row>
    <row r="16" spans="1:57" ht="12">
      <c r="A16" t="s">
        <v>198</v>
      </c>
      <c r="B16" s="250"/>
      <c r="C16" s="231" t="s">
        <v>109</v>
      </c>
      <c r="D16" s="231"/>
      <c r="E16" s="231"/>
      <c r="F16" s="231"/>
      <c r="G16" s="255">
        <v>0</v>
      </c>
      <c r="H16" s="252"/>
      <c r="AB16" s="122" t="s">
        <v>108</v>
      </c>
      <c r="AC16" s="123"/>
      <c r="AD16" s="123"/>
      <c r="AE16" s="123"/>
      <c r="AF16" s="136">
        <f>'(2.1)_Proxy Resources'!$K$104</f>
        <v>8.6099999999999996E-2</v>
      </c>
      <c r="AG16" s="127"/>
      <c r="AH16" s="117" t="s">
        <v>110</v>
      </c>
      <c r="AI16" s="124"/>
      <c r="AJ16" s="137">
        <f>'(2.1)_Proxy Resources'!$D$106</f>
        <v>0.77157894736842092</v>
      </c>
      <c r="AK16" s="235"/>
      <c r="AZ16" s="122" t="s">
        <v>100</v>
      </c>
      <c r="BA16" s="124"/>
      <c r="BB16" s="129">
        <f>'(2.1)_Proxy Resources'!N107</f>
        <v>10.050000000000001</v>
      </c>
      <c r="BE16" s="130"/>
    </row>
    <row r="17" spans="1:60" ht="12">
      <c r="A17" t="s">
        <v>198</v>
      </c>
      <c r="B17" s="250"/>
      <c r="C17" s="231" t="s">
        <v>111</v>
      </c>
      <c r="D17" s="231"/>
      <c r="E17" s="231"/>
      <c r="F17" s="231"/>
      <c r="G17" s="255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2002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54">
        <v>8.6999999999999994E-2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258">
        <v>0.80193174867352268</v>
      </c>
      <c r="H19" s="259"/>
    </row>
    <row r="20" spans="1:60">
      <c r="B20" s="231"/>
      <c r="C20" s="231"/>
      <c r="D20" s="231"/>
      <c r="E20" s="231" t="s">
        <v>365</v>
      </c>
      <c r="F20" s="231"/>
      <c r="G20" s="569">
        <v>0.06</v>
      </c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126</v>
      </c>
      <c r="AR25" s="143" t="s">
        <v>141</v>
      </c>
      <c r="AS25" s="143"/>
      <c r="AT25" s="143" t="s">
        <v>127</v>
      </c>
      <c r="AV25" s="143" t="s">
        <v>128</v>
      </c>
      <c r="AX25" s="265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2001</v>
      </c>
      <c r="E28" s="169">
        <f>'(2.2)_Forward_Price_Curve'!$CZ$42</f>
        <v>2.5000000000000001E-2</v>
      </c>
      <c r="G28" s="18">
        <v>2255</v>
      </c>
      <c r="I28" s="268">
        <f>$G$15*$G$20</f>
        <v>42.39</v>
      </c>
      <c r="J28" s="268"/>
      <c r="K28" s="268">
        <f>$G$16</f>
        <v>0</v>
      </c>
      <c r="L28" s="269"/>
      <c r="M28" s="268">
        <f>$G$17</f>
        <v>0</v>
      </c>
      <c r="O28" s="270"/>
      <c r="Q28" s="28"/>
      <c r="S28" s="18">
        <f>G15</f>
        <v>706.5</v>
      </c>
      <c r="U28" s="18">
        <f>AX28</f>
        <v>84.262257553068522</v>
      </c>
      <c r="W28" s="18">
        <f>S28-U28</f>
        <v>622.23774244693152</v>
      </c>
      <c r="Y28" s="271">
        <f>+W28*1000/G28</f>
        <v>275.93691461061263</v>
      </c>
      <c r="Z28" s="235"/>
      <c r="AB28" s="146">
        <f>$C$28</f>
        <v>2001</v>
      </c>
      <c r="AC28" s="117"/>
      <c r="AD28" s="151">
        <f t="shared" ref="AD28:AD37" si="0">G28</f>
        <v>2255</v>
      </c>
      <c r="AF28" s="152">
        <f>$AF$15*$AF$16*(1+$E$28)</f>
        <v>55.157812499999999</v>
      </c>
      <c r="AG28" s="272"/>
      <c r="AH28" s="152">
        <f>$AJ$11*(1+$E$28)</f>
        <v>6.7685964912280694</v>
      </c>
      <c r="AI28" s="272"/>
      <c r="AJ28" s="152">
        <f>$AJ$13*(1+$E$28)</f>
        <v>1.5812081628012731</v>
      </c>
      <c r="AK28" s="272"/>
      <c r="AL28" s="153">
        <f>((AF28+AH28)*$AF$11*1000+AJ28*AD28)/1000</f>
        <v>24.225988343005902</v>
      </c>
      <c r="AN28" s="154">
        <f>INDEX('(2.2)_Forward_Price_Curve'!$G:$G,MATCH($AB28,'(2.2)_Forward_Price_Curve'!$C:$C,0),1)</f>
        <v>3.5379637556042436</v>
      </c>
      <c r="AO28" s="279"/>
      <c r="AP28" s="154">
        <f>AN28*$AF$14/1000</f>
        <v>25.345055274052534</v>
      </c>
      <c r="AQ28" s="272"/>
      <c r="AR28" s="152">
        <f>$AJ$15*(1+$E$28)</f>
        <v>3.2278812526556337</v>
      </c>
      <c r="AS28" s="152"/>
      <c r="AT28" s="153">
        <f t="shared" ref="AT28:AT37" si="1">AL28-BF28</f>
        <v>19.830285685341611</v>
      </c>
      <c r="AU28" s="272"/>
      <c r="AV28" s="153">
        <f t="shared" ref="AV28:AV37" si="2">(AP28+AR28)*AD28/1000</f>
        <v>64.431971867726915</v>
      </c>
      <c r="AW28" s="273"/>
      <c r="AX28" s="155">
        <f>AT28+AV28</f>
        <v>84.262257553068522</v>
      </c>
      <c r="AZ28" s="146">
        <f>$C$28</f>
        <v>2001</v>
      </c>
      <c r="BA28" s="117"/>
      <c r="BB28" s="566">
        <f>$BD$14*$BD$15*(1+$E$28)</f>
        <v>47.379394999999995</v>
      </c>
      <c r="BC28" s="557"/>
      <c r="BD28" s="566">
        <f>$BB$16*(1+$E$28)</f>
        <v>10.30125</v>
      </c>
      <c r="BE28" s="557"/>
      <c r="BF28" s="567">
        <f>(BB28+BD28)*$BD$11</f>
        <v>4.395702657664291</v>
      </c>
      <c r="BG28" s="272"/>
      <c r="BH28" s="156"/>
    </row>
    <row r="29" spans="1:60" ht="12">
      <c r="B29" s="2"/>
      <c r="C29">
        <f>+IF(C28&gt;$G$13+$G$14,XX,C28+1)</f>
        <v>2002</v>
      </c>
      <c r="E29" s="169">
        <f>'(2.2)_Forward_Price_Curve'!$CZ$42</f>
        <v>2.5000000000000001E-2</v>
      </c>
      <c r="G29" s="18">
        <v>2255</v>
      </c>
      <c r="I29" s="268">
        <f>I28*(1+$E29)</f>
        <v>43.449749999999995</v>
      </c>
      <c r="K29" s="268">
        <f t="shared" ref="K29:K57" si="3">$G$16</f>
        <v>0</v>
      </c>
      <c r="M29" s="268">
        <f t="shared" ref="M29:M57" si="4">$G$17</f>
        <v>0</v>
      </c>
      <c r="O29" s="270"/>
      <c r="Q29" s="28"/>
      <c r="S29" s="18">
        <v>0</v>
      </c>
      <c r="U29" s="18">
        <f>AX29</f>
        <v>86.368813991895223</v>
      </c>
      <c r="W29" s="18">
        <f t="shared" ref="W29:W57" si="5">S29-U29</f>
        <v>-86.368813991895223</v>
      </c>
      <c r="Y29" s="271">
        <f t="shared" ref="Y29:Y57" si="6">+W29*1000/G29</f>
        <v>-38.301026160485684</v>
      </c>
      <c r="Z29" s="235"/>
      <c r="AB29" s="146">
        <f>+IF(AB28&gt;$G$13+$G$14,XX,AB28+1)</f>
        <v>2002</v>
      </c>
      <c r="AC29" s="117"/>
      <c r="AD29" s="151">
        <f t="shared" si="0"/>
        <v>2255</v>
      </c>
      <c r="AF29" s="154">
        <f>AF28*(1+$E29)</f>
        <v>56.536757812499992</v>
      </c>
      <c r="AH29" s="154">
        <f>AH28*(1+$E29)</f>
        <v>6.9378114035087703</v>
      </c>
      <c r="AJ29" s="154">
        <f>AJ28*(1+$E29)</f>
        <v>1.6207383668713047</v>
      </c>
      <c r="AL29" s="153">
        <f t="shared" ref="AL29:AL37" si="7">((AF29+AH29)*$AF$11*1000+AJ29*AD29)/1000</f>
        <v>24.831638051581045</v>
      </c>
      <c r="AN29" s="154">
        <f>INDEX('(2.2)_Forward_Price_Curve'!$G:$G,MATCH($AB29,'(2.2)_Forward_Price_Curve'!$C:$C,0),1)</f>
        <v>3.6264128494943493</v>
      </c>
      <c r="AP29" s="154">
        <f t="shared" ref="AP29:AP37" si="8">AN29*$AF$14/1000</f>
        <v>25.978681655903841</v>
      </c>
      <c r="AR29" s="154">
        <f>AR28*(1+$E29)</f>
        <v>3.3085782839720244</v>
      </c>
      <c r="AS29" s="154"/>
      <c r="AT29" s="153">
        <f t="shared" si="1"/>
        <v>20.326042827475149</v>
      </c>
      <c r="AV29" s="153">
        <f t="shared" si="2"/>
        <v>66.042771164420074</v>
      </c>
      <c r="AW29" s="273"/>
      <c r="AX29" s="155">
        <f t="shared" ref="AX29:AX37" si="9">AT29+AV29</f>
        <v>86.368813991895223</v>
      </c>
      <c r="AZ29" s="146">
        <f>+IF(AZ28&gt;$G$13+$G$14,XX,AZ28+1)</f>
        <v>2002</v>
      </c>
      <c r="BA29" s="117"/>
      <c r="BB29" s="567">
        <f>BB28*(1+$E29)</f>
        <v>48.563879874999991</v>
      </c>
      <c r="BC29" s="557"/>
      <c r="BD29" s="567">
        <f>BD28*(1+$E29)</f>
        <v>10.558781249999999</v>
      </c>
      <c r="BE29" s="557"/>
      <c r="BF29" s="567">
        <f t="shared" ref="BF29:BF37" si="10">(BB29+BD29)*$BD$11</f>
        <v>4.5055952241058979</v>
      </c>
      <c r="BH29" s="157"/>
    </row>
    <row r="30" spans="1:60" ht="12">
      <c r="B30" s="2"/>
      <c r="C30">
        <f>+IF(C29&gt;$G$13+$G$14,XX,C29+1)</f>
        <v>2003</v>
      </c>
      <c r="E30" s="169">
        <f>'(2.2)_Forward_Price_Curve'!$CZ$42</f>
        <v>2.5000000000000001E-2</v>
      </c>
      <c r="G30" s="18">
        <v>2255</v>
      </c>
      <c r="I30" s="268">
        <f t="shared" ref="I30:I57" si="11">I29*(1+$E30)</f>
        <v>44.535993749999989</v>
      </c>
      <c r="K30" s="268">
        <f t="shared" si="3"/>
        <v>0</v>
      </c>
      <c r="M30" s="268">
        <f t="shared" si="4"/>
        <v>0</v>
      </c>
      <c r="O30" s="270"/>
      <c r="Q30" s="28"/>
      <c r="S30" s="18">
        <v>0</v>
      </c>
      <c r="U30" s="18">
        <f t="shared" ref="U30:U57" si="12">AX30</f>
        <v>88.528034341692617</v>
      </c>
      <c r="W30" s="18">
        <f t="shared" si="5"/>
        <v>-88.528034341692617</v>
      </c>
      <c r="Y30" s="271">
        <f t="shared" si="6"/>
        <v>-39.258551814497835</v>
      </c>
      <c r="Z30" s="235"/>
      <c r="AB30" s="146">
        <f>+IF(AB29&gt;$G$13+$G$14,XX,AB29+1)</f>
        <v>2003</v>
      </c>
      <c r="AC30" s="117"/>
      <c r="AD30" s="151">
        <f t="shared" si="0"/>
        <v>2255</v>
      </c>
      <c r="AF30" s="154">
        <f t="shared" ref="AF30:AF57" si="13">AF29*(1+$E30)</f>
        <v>57.950176757812486</v>
      </c>
      <c r="AH30" s="154">
        <f t="shared" ref="AH30:AH57" si="14">AH29*(1+$E30)</f>
        <v>7.1112566885964892</v>
      </c>
      <c r="AJ30" s="154">
        <f t="shared" ref="AJ30:AJ57" si="15">AJ29*(1+$E30)</f>
        <v>1.6612568260430871</v>
      </c>
      <c r="AL30" s="153">
        <f t="shared" si="7"/>
        <v>25.45242900287057</v>
      </c>
      <c r="AN30" s="154">
        <f>INDEX('(2.2)_Forward_Price_Curve'!$G:$G,MATCH($AB30,'(2.2)_Forward_Price_Curve'!$C:$C,0),1)</f>
        <v>3.7170731707317075</v>
      </c>
      <c r="AP30" s="154">
        <f t="shared" si="8"/>
        <v>26.628148697301437</v>
      </c>
      <c r="AR30" s="154">
        <f t="shared" ref="AR30:AR57" si="16">AR29*(1+$E30)</f>
        <v>3.3912927410713247</v>
      </c>
      <c r="AS30" s="154"/>
      <c r="AT30" s="153">
        <f t="shared" si="1"/>
        <v>20.834193898162027</v>
      </c>
      <c r="AV30" s="153">
        <f t="shared" si="2"/>
        <v>67.69384044353059</v>
      </c>
      <c r="AW30" s="273"/>
      <c r="AX30" s="155">
        <f t="shared" si="9"/>
        <v>88.528034341692617</v>
      </c>
      <c r="AZ30" s="146">
        <f>+IF(AZ29&gt;$G$13+$G$14,XX,AZ29+1)</f>
        <v>2003</v>
      </c>
      <c r="BA30" s="117"/>
      <c r="BB30" s="567">
        <f t="shared" ref="BB30:BB57" si="17">BB29*(1+$E30)</f>
        <v>49.777976871874984</v>
      </c>
      <c r="BC30" s="557"/>
      <c r="BD30" s="567">
        <f t="shared" ref="BD30:BD57" si="18">BD29*(1+$E30)</f>
        <v>10.822750781249999</v>
      </c>
      <c r="BE30" s="557"/>
      <c r="BF30" s="567">
        <f t="shared" si="10"/>
        <v>4.6182351047085444</v>
      </c>
      <c r="BH30" s="157"/>
    </row>
    <row r="31" spans="1:60" ht="12">
      <c r="B31" s="2"/>
      <c r="C31">
        <f>+IF(C30&gt;$G$13+$G$14,XX,C30+1)</f>
        <v>2004</v>
      </c>
      <c r="E31" s="169">
        <f>'(2.2)_Forward_Price_Curve'!$CZ$42</f>
        <v>2.5000000000000001E-2</v>
      </c>
      <c r="G31" s="18">
        <v>2255</v>
      </c>
      <c r="I31" s="268">
        <f t="shared" si="11"/>
        <v>45.649393593749984</v>
      </c>
      <c r="K31" s="268">
        <f t="shared" si="3"/>
        <v>0</v>
      </c>
      <c r="M31" s="268">
        <f t="shared" si="4"/>
        <v>0</v>
      </c>
      <c r="O31" s="270"/>
      <c r="Q31" s="28"/>
      <c r="S31" s="18">
        <v>0</v>
      </c>
      <c r="U31" s="18">
        <f t="shared" si="12"/>
        <v>90.741235200234897</v>
      </c>
      <c r="W31" s="18">
        <f t="shared" si="5"/>
        <v>-90.741235200234897</v>
      </c>
      <c r="Y31" s="271">
        <f t="shared" si="6"/>
        <v>-40.240015609860265</v>
      </c>
      <c r="Z31" s="235"/>
      <c r="AB31" s="146">
        <f>+IF(AB30&gt;$G$13+$G$14,XX,AB30+1)</f>
        <v>2004</v>
      </c>
      <c r="AC31" s="117"/>
      <c r="AD31" s="151">
        <f t="shared" si="0"/>
        <v>2255</v>
      </c>
      <c r="AF31" s="154">
        <f t="shared" si="13"/>
        <v>59.398931176757792</v>
      </c>
      <c r="AH31" s="154">
        <f t="shared" si="14"/>
        <v>7.2890381058114011</v>
      </c>
      <c r="AJ31" s="154">
        <f t="shared" si="15"/>
        <v>1.7027882466941642</v>
      </c>
      <c r="AL31" s="153">
        <f t="shared" si="7"/>
        <v>26.088739727942336</v>
      </c>
      <c r="AN31" s="154">
        <f>INDEX('(2.2)_Forward_Price_Curve'!$G:$G,MATCH($AB31,'(2.2)_Forward_Price_Curve'!$C:$C,0),1)</f>
        <v>3.81</v>
      </c>
      <c r="AP31" s="154">
        <f t="shared" si="8"/>
        <v>27.293852414733969</v>
      </c>
      <c r="AR31" s="154">
        <f t="shared" si="16"/>
        <v>3.4760750595981076</v>
      </c>
      <c r="AS31" s="154"/>
      <c r="AT31" s="153">
        <f t="shared" si="1"/>
        <v>21.355048745616077</v>
      </c>
      <c r="AV31" s="153">
        <f t="shared" si="2"/>
        <v>69.386186454618823</v>
      </c>
      <c r="AW31" s="273"/>
      <c r="AX31" s="155">
        <f t="shared" si="9"/>
        <v>90.741235200234897</v>
      </c>
      <c r="AZ31" s="146">
        <f>+IF(AZ30&gt;$G$13+$G$14,XX,AZ30+1)</f>
        <v>2004</v>
      </c>
      <c r="BA31" s="117"/>
      <c r="BB31" s="567">
        <f t="shared" si="17"/>
        <v>51.022426293671856</v>
      </c>
      <c r="BC31" s="557"/>
      <c r="BD31" s="567">
        <f t="shared" si="18"/>
        <v>11.093319550781247</v>
      </c>
      <c r="BE31" s="557"/>
      <c r="BF31" s="567">
        <f t="shared" si="10"/>
        <v>4.7336909823262578</v>
      </c>
      <c r="BH31" s="157"/>
    </row>
    <row r="32" spans="1:60" ht="12">
      <c r="B32" s="2"/>
      <c r="C32">
        <f>+IF(C31&gt;$G$13+$G$14,XX,C31+1)</f>
        <v>2005</v>
      </c>
      <c r="E32" s="169">
        <f>'(2.2)_Forward_Price_Curve'!$CZ$42</f>
        <v>2.5000000000000001E-2</v>
      </c>
      <c r="G32" s="18">
        <v>2255</v>
      </c>
      <c r="I32" s="268">
        <f t="shared" si="11"/>
        <v>46.790628433593731</v>
      </c>
      <c r="K32" s="268">
        <f t="shared" si="3"/>
        <v>0</v>
      </c>
      <c r="M32" s="268">
        <f t="shared" si="4"/>
        <v>0</v>
      </c>
      <c r="O32" s="270"/>
      <c r="Q32" s="28"/>
      <c r="S32" s="18">
        <v>0</v>
      </c>
      <c r="U32" s="18">
        <f t="shared" si="12"/>
        <v>93.894210473006808</v>
      </c>
      <c r="W32" s="18">
        <f t="shared" si="5"/>
        <v>-93.894210473006808</v>
      </c>
      <c r="Y32" s="271">
        <f t="shared" si="6"/>
        <v>-41.638230808428737</v>
      </c>
      <c r="Z32" s="235"/>
      <c r="AB32" s="146">
        <f>+IF(AB31&gt;$G$13+$G$14,XX,AB31+1)</f>
        <v>2005</v>
      </c>
      <c r="AC32" s="117"/>
      <c r="AD32" s="151">
        <f t="shared" si="0"/>
        <v>2255</v>
      </c>
      <c r="AF32" s="154">
        <f t="shared" si="13"/>
        <v>60.88390445617673</v>
      </c>
      <c r="AH32" s="154">
        <f t="shared" si="14"/>
        <v>7.4712640584566854</v>
      </c>
      <c r="AJ32" s="154">
        <f t="shared" si="15"/>
        <v>1.7453579528615182</v>
      </c>
      <c r="AL32" s="153">
        <f t="shared" si="7"/>
        <v>26.740958221140893</v>
      </c>
      <c r="AN32" s="154">
        <f>INDEX('(2.2)_Forward_Price_Curve'!$G:$G,MATCH($AB32,'(2.2)_Forward_Price_Curve'!$C:$C,0),1)</f>
        <v>3.96</v>
      </c>
      <c r="AP32" s="154">
        <f t="shared" si="8"/>
        <v>28.368413533424281</v>
      </c>
      <c r="AR32" s="154">
        <f t="shared" si="16"/>
        <v>3.5629769360880599</v>
      </c>
      <c r="AS32" s="154"/>
      <c r="AT32" s="153">
        <f t="shared" si="1"/>
        <v>21.888924964256478</v>
      </c>
      <c r="AV32" s="153">
        <f t="shared" si="2"/>
        <v>72.005285508750333</v>
      </c>
      <c r="AW32" s="273"/>
      <c r="AX32" s="155">
        <f t="shared" si="9"/>
        <v>93.894210473006808</v>
      </c>
      <c r="AZ32" s="146">
        <f>+IF(AZ31&gt;$G$13+$G$14,XX,AZ31+1)</f>
        <v>2005</v>
      </c>
      <c r="BA32" s="117"/>
      <c r="BB32" s="567">
        <f t="shared" si="17"/>
        <v>52.297986951013648</v>
      </c>
      <c r="BC32" s="557"/>
      <c r="BD32" s="567">
        <f t="shared" si="18"/>
        <v>11.370652539550777</v>
      </c>
      <c r="BE32" s="557"/>
      <c r="BF32" s="567">
        <f t="shared" si="10"/>
        <v>4.8520332568844138</v>
      </c>
      <c r="BH32" s="157"/>
    </row>
    <row r="33" spans="2:60" ht="12">
      <c r="B33" s="2"/>
      <c r="C33">
        <f>+IF(C32&gt;$G$13+$G$14,XX,C32+1)</f>
        <v>2006</v>
      </c>
      <c r="E33" s="169">
        <f>'(2.2)_Forward_Price_Curve'!$CZ$42</f>
        <v>2.5000000000000001E-2</v>
      </c>
      <c r="G33" s="18">
        <v>2255</v>
      </c>
      <c r="I33" s="268">
        <f t="shared" si="11"/>
        <v>47.960394144433572</v>
      </c>
      <c r="K33" s="268">
        <f t="shared" si="3"/>
        <v>0</v>
      </c>
      <c r="M33" s="268">
        <f t="shared" si="4"/>
        <v>0</v>
      </c>
      <c r="O33" s="270"/>
      <c r="Q33" s="28"/>
      <c r="S33" s="18">
        <v>0</v>
      </c>
      <c r="U33" s="18">
        <f t="shared" si="12"/>
        <v>95.288465841257647</v>
      </c>
      <c r="W33" s="18">
        <f t="shared" si="5"/>
        <v>-95.288465841257647</v>
      </c>
      <c r="Y33" s="271">
        <f t="shared" si="6"/>
        <v>-42.256525871954615</v>
      </c>
      <c r="Z33" s="235"/>
      <c r="AB33" s="146">
        <f>+IF(AB32&gt;$G$13+$G$14,XX,AB32+1)</f>
        <v>2006</v>
      </c>
      <c r="AC33" s="117"/>
      <c r="AD33" s="151">
        <f t="shared" si="0"/>
        <v>2255</v>
      </c>
      <c r="AF33" s="154">
        <f>AF32*(1+$E33)</f>
        <v>62.406002067581142</v>
      </c>
      <c r="AH33" s="154">
        <f t="shared" si="14"/>
        <v>7.6580456599181019</v>
      </c>
      <c r="AJ33" s="154">
        <f t="shared" si="15"/>
        <v>1.788991901683056</v>
      </c>
      <c r="AL33" s="153">
        <f t="shared" si="7"/>
        <v>27.409482176669414</v>
      </c>
      <c r="AN33" s="154">
        <f>INDEX('(2.2)_Forward_Price_Curve'!$G:$G,MATCH($AB33,'(2.2)_Forward_Price_Curve'!$C:$C,0),1)</f>
        <v>4</v>
      </c>
      <c r="AP33" s="154">
        <f t="shared" si="8"/>
        <v>28.654963165075035</v>
      </c>
      <c r="AR33" s="154">
        <f t="shared" si="16"/>
        <v>3.6520513594902613</v>
      </c>
      <c r="AS33" s="154"/>
      <c r="AT33" s="153">
        <f t="shared" si="1"/>
        <v>22.436148088362891</v>
      </c>
      <c r="AV33" s="153">
        <f t="shared" si="2"/>
        <v>72.852317752894749</v>
      </c>
      <c r="AW33" s="273"/>
      <c r="AX33" s="155">
        <f t="shared" si="9"/>
        <v>95.288465841257647</v>
      </c>
      <c r="AZ33" s="146">
        <f>+IF(AZ32&gt;$G$13+$G$14,XX,AZ32+1)</f>
        <v>2006</v>
      </c>
      <c r="BA33" s="117"/>
      <c r="BB33" s="567">
        <f t="shared" si="17"/>
        <v>53.605436624788986</v>
      </c>
      <c r="BC33" s="557"/>
      <c r="BD33" s="567">
        <f t="shared" si="18"/>
        <v>11.654918853039545</v>
      </c>
      <c r="BE33" s="557"/>
      <c r="BF33" s="567">
        <f t="shared" si="10"/>
        <v>4.9733340883065233</v>
      </c>
      <c r="BH33" s="157"/>
    </row>
    <row r="34" spans="2:60" ht="12">
      <c r="B34" s="2"/>
      <c r="C34">
        <f>+IF(C33&gt;$G$13+$G$14,XX,C33+1)</f>
        <v>2007</v>
      </c>
      <c r="E34" s="169">
        <f>'(2.2)_Forward_Price_Curve'!$CZ$42</f>
        <v>2.5000000000000001E-2</v>
      </c>
      <c r="G34" s="18">
        <v>2255</v>
      </c>
      <c r="I34" s="268">
        <f t="shared" si="11"/>
        <v>49.159403998044404</v>
      </c>
      <c r="K34" s="268">
        <f t="shared" si="3"/>
        <v>0</v>
      </c>
      <c r="M34" s="268">
        <f t="shared" si="4"/>
        <v>0</v>
      </c>
      <c r="O34" s="270"/>
      <c r="Q34" s="28"/>
      <c r="S34" s="18">
        <v>0</v>
      </c>
      <c r="U34" s="18">
        <f t="shared" si="12"/>
        <v>99.609185745406378</v>
      </c>
      <c r="W34" s="18">
        <f t="shared" si="5"/>
        <v>-99.609185745406378</v>
      </c>
      <c r="Y34" s="271">
        <f t="shared" si="6"/>
        <v>-44.172587913705705</v>
      </c>
      <c r="Z34" s="235"/>
      <c r="AB34" s="146">
        <f>+IF(AB33&gt;$G$13+$G$14,XX,AB33+1)</f>
        <v>2007</v>
      </c>
      <c r="AC34" s="117"/>
      <c r="AD34" s="151">
        <f t="shared" si="0"/>
        <v>2255</v>
      </c>
      <c r="AF34" s="154">
        <f t="shared" si="13"/>
        <v>63.966152119270667</v>
      </c>
      <c r="AH34" s="154">
        <f t="shared" si="14"/>
        <v>7.8494968014160538</v>
      </c>
      <c r="AJ34" s="154">
        <f t="shared" si="15"/>
        <v>1.8337166992251321</v>
      </c>
      <c r="AL34" s="153">
        <f t="shared" si="7"/>
        <v>28.094719231086142</v>
      </c>
      <c r="AN34" s="154">
        <f>INDEX('(2.2)_Forward_Price_Curve'!$G:$G,MATCH($AB34,'(2.2)_Forward_Price_Curve'!$C:$C,0),1)</f>
        <v>4.22</v>
      </c>
      <c r="AP34" s="154">
        <f t="shared" si="8"/>
        <v>30.230986139154162</v>
      </c>
      <c r="AR34" s="154">
        <f t="shared" si="16"/>
        <v>3.7433526434775173</v>
      </c>
      <c r="AS34" s="154"/>
      <c r="AT34" s="153">
        <f t="shared" si="1"/>
        <v>22.997051790571955</v>
      </c>
      <c r="AV34" s="153">
        <f t="shared" si="2"/>
        <v>76.61213395483442</v>
      </c>
      <c r="AW34" s="273"/>
      <c r="AX34" s="155">
        <f t="shared" si="9"/>
        <v>99.609185745406378</v>
      </c>
      <c r="AZ34" s="146">
        <f>+IF(AZ33&gt;$G$13+$G$14,XX,AZ33+1)</f>
        <v>2007</v>
      </c>
      <c r="BA34" s="117"/>
      <c r="BB34" s="567">
        <f t="shared" si="17"/>
        <v>54.945572540408705</v>
      </c>
      <c r="BC34" s="557"/>
      <c r="BD34" s="567">
        <f t="shared" si="18"/>
        <v>11.946291824365533</v>
      </c>
      <c r="BE34" s="557"/>
      <c r="BF34" s="567">
        <f t="shared" si="10"/>
        <v>5.0976674405141864</v>
      </c>
      <c r="BH34" s="157"/>
    </row>
    <row r="35" spans="2:60" ht="12">
      <c r="B35" s="2"/>
      <c r="C35">
        <f>+IF(C34&gt;$G$13+$G$14,XX,C34+1)</f>
        <v>2008</v>
      </c>
      <c r="E35" s="169">
        <f>'(2.2)_Forward_Price_Curve'!$CZ$42</f>
        <v>2.5000000000000001E-2</v>
      </c>
      <c r="G35" s="18">
        <v>2255</v>
      </c>
      <c r="I35" s="268">
        <f t="shared" si="11"/>
        <v>50.388389097995507</v>
      </c>
      <c r="K35" s="268">
        <f t="shared" si="3"/>
        <v>0</v>
      </c>
      <c r="M35" s="268">
        <f t="shared" si="4"/>
        <v>0</v>
      </c>
      <c r="O35" s="270"/>
      <c r="Q35" s="28"/>
      <c r="S35" s="18">
        <v>0</v>
      </c>
      <c r="U35" s="18">
        <f t="shared" si="12"/>
        <v>103.62599064230893</v>
      </c>
      <c r="W35" s="18">
        <f t="shared" si="5"/>
        <v>-103.62599064230893</v>
      </c>
      <c r="Y35" s="271">
        <f t="shared" si="6"/>
        <v>-45.953876116323258</v>
      </c>
      <c r="Z35" s="235"/>
      <c r="AB35" s="146">
        <f>+IF(AB34&gt;$G$13+$G$14,XX,AB34+1)</f>
        <v>2008</v>
      </c>
      <c r="AC35" s="117"/>
      <c r="AD35" s="151">
        <f t="shared" si="0"/>
        <v>2255</v>
      </c>
      <c r="AF35" s="154">
        <f t="shared" si="13"/>
        <v>65.565305922252435</v>
      </c>
      <c r="AH35" s="154">
        <f t="shared" si="14"/>
        <v>8.045734221451454</v>
      </c>
      <c r="AJ35" s="154">
        <f t="shared" si="15"/>
        <v>1.8795596167057602</v>
      </c>
      <c r="AL35" s="153">
        <f t="shared" si="7"/>
        <v>28.797087211863296</v>
      </c>
      <c r="AN35" s="154">
        <f>INDEX('(2.2)_Forward_Price_Curve'!$G:$G,MATCH($AB35,'(2.2)_Forward_Price_Curve'!$C:$C,0),1)</f>
        <v>4.42</v>
      </c>
      <c r="AP35" s="154">
        <f t="shared" si="8"/>
        <v>31.66373429740791</v>
      </c>
      <c r="AR35" s="154">
        <f t="shared" si="16"/>
        <v>3.8369364595644551</v>
      </c>
      <c r="AS35" s="154"/>
      <c r="AT35" s="153">
        <f t="shared" si="1"/>
        <v>23.571978085336255</v>
      </c>
      <c r="AV35" s="153">
        <f t="shared" si="2"/>
        <v>80.05401255697268</v>
      </c>
      <c r="AW35" s="273"/>
      <c r="AX35" s="155">
        <f t="shared" si="9"/>
        <v>103.62599064230893</v>
      </c>
      <c r="AZ35" s="146">
        <f>+IF(AZ34&gt;$G$13+$G$14,XX,AZ34+1)</f>
        <v>2008</v>
      </c>
      <c r="BA35" s="117"/>
      <c r="BB35" s="567">
        <f t="shared" si="17"/>
        <v>56.319211853918915</v>
      </c>
      <c r="BC35" s="557"/>
      <c r="BD35" s="567">
        <f t="shared" si="18"/>
        <v>12.24494911997467</v>
      </c>
      <c r="BE35" s="557"/>
      <c r="BF35" s="567">
        <f t="shared" si="10"/>
        <v>5.2251091265270411</v>
      </c>
      <c r="BH35" s="157"/>
    </row>
    <row r="36" spans="2:60" ht="12">
      <c r="B36" s="2"/>
      <c r="C36">
        <f>+IF(C35&gt;$G$13+$G$14,XX,C35+1)</f>
        <v>2009</v>
      </c>
      <c r="E36" s="169">
        <f>'(2.2)_Forward_Price_Curve'!$CZ$42</f>
        <v>2.5000000000000001E-2</v>
      </c>
      <c r="G36" s="18">
        <v>2255</v>
      </c>
      <c r="I36" s="268">
        <f t="shared" si="11"/>
        <v>51.648098825445388</v>
      </c>
      <c r="K36" s="268">
        <f t="shared" si="3"/>
        <v>0</v>
      </c>
      <c r="M36" s="268">
        <f t="shared" si="4"/>
        <v>0</v>
      </c>
      <c r="O36" s="270"/>
      <c r="Q36" s="28"/>
      <c r="S36" s="18">
        <v>0</v>
      </c>
      <c r="U36" s="18">
        <f t="shared" si="12"/>
        <v>102.33154677438986</v>
      </c>
      <c r="W36" s="18">
        <f t="shared" si="5"/>
        <v>-102.33154677438986</v>
      </c>
      <c r="Y36" s="271">
        <f t="shared" si="6"/>
        <v>-45.379843358931204</v>
      </c>
      <c r="Z36" s="235"/>
      <c r="AB36" s="146">
        <f>+IF(AB35&gt;$G$13+$G$14,XX,AB35+1)</f>
        <v>2009</v>
      </c>
      <c r="AC36" s="117"/>
      <c r="AD36" s="151">
        <f t="shared" si="0"/>
        <v>2255</v>
      </c>
      <c r="AF36" s="154">
        <f t="shared" si="13"/>
        <v>67.204438570308739</v>
      </c>
      <c r="AH36" s="154">
        <f t="shared" si="14"/>
        <v>8.2468775769877389</v>
      </c>
      <c r="AJ36" s="154">
        <f t="shared" si="15"/>
        <v>1.9265486071234041</v>
      </c>
      <c r="AL36" s="153">
        <f t="shared" si="7"/>
        <v>29.517014392159879</v>
      </c>
      <c r="AN36" s="154">
        <f>INDEX('(2.2)_Forward_Price_Curve'!$G:$G,MATCH($AB36,'(2.2)_Forward_Price_Curve'!$C:$C,0),1)</f>
        <v>4.29</v>
      </c>
      <c r="AP36" s="154">
        <f t="shared" si="8"/>
        <v>30.732447994542973</v>
      </c>
      <c r="AR36" s="154">
        <f t="shared" si="16"/>
        <v>3.9328598710535663</v>
      </c>
      <c r="AS36" s="154"/>
      <c r="AT36" s="153">
        <f t="shared" si="1"/>
        <v>24.161277537469665</v>
      </c>
      <c r="AV36" s="153">
        <f t="shared" si="2"/>
        <v>78.170269236920191</v>
      </c>
      <c r="AW36" s="273"/>
      <c r="AX36" s="155">
        <f t="shared" si="9"/>
        <v>102.33154677438986</v>
      </c>
      <c r="AZ36" s="146">
        <f>+IF(AZ35&gt;$G$13+$G$14,XX,AZ35+1)</f>
        <v>2009</v>
      </c>
      <c r="BA36" s="117"/>
      <c r="BB36" s="567">
        <f t="shared" si="17"/>
        <v>57.72719215026688</v>
      </c>
      <c r="BC36" s="557"/>
      <c r="BD36" s="567">
        <f t="shared" si="18"/>
        <v>12.551072847974035</v>
      </c>
      <c r="BE36" s="557"/>
      <c r="BF36" s="567">
        <f t="shared" si="10"/>
        <v>5.3557368546902158</v>
      </c>
      <c r="BH36" s="157"/>
    </row>
    <row r="37" spans="2:60" ht="12">
      <c r="B37" s="2"/>
      <c r="C37">
        <f>+IF(C36&gt;$G$13+$G$14,XX,C36+1)</f>
        <v>2010</v>
      </c>
      <c r="E37" s="169">
        <f>'(2.2)_Forward_Price_Curve'!$CZ$42</f>
        <v>2.5000000000000001E-2</v>
      </c>
      <c r="G37" s="18">
        <v>2255</v>
      </c>
      <c r="I37" s="268">
        <f t="shared" si="11"/>
        <v>52.939301296081517</v>
      </c>
      <c r="K37" s="268">
        <f t="shared" si="3"/>
        <v>0</v>
      </c>
      <c r="M37" s="268">
        <f t="shared" si="4"/>
        <v>0</v>
      </c>
      <c r="O37" s="270"/>
      <c r="Q37" s="28"/>
      <c r="S37" s="18">
        <v>0</v>
      </c>
      <c r="U37" s="18">
        <f t="shared" si="12"/>
        <v>94.757091236215501</v>
      </c>
      <c r="W37" s="18">
        <f t="shared" si="5"/>
        <v>-94.757091236215501</v>
      </c>
      <c r="Y37" s="271">
        <f t="shared" si="6"/>
        <v>-42.020883031581157</v>
      </c>
      <c r="Z37" s="235"/>
      <c r="AB37" s="146">
        <f>+IF(AB36&gt;$G$13+$G$14,XX,AB36+1)</f>
        <v>2010</v>
      </c>
      <c r="AC37" s="117"/>
      <c r="AD37" s="151">
        <f t="shared" si="0"/>
        <v>2255</v>
      </c>
      <c r="AF37" s="154">
        <f t="shared" si="13"/>
        <v>68.884549534566446</v>
      </c>
      <c r="AH37" s="154">
        <f t="shared" si="14"/>
        <v>8.4530495164124311</v>
      </c>
      <c r="AJ37" s="154">
        <f t="shared" si="15"/>
        <v>1.9747123223014891</v>
      </c>
      <c r="AL37" s="153">
        <f t="shared" si="7"/>
        <v>30.254939751963871</v>
      </c>
      <c r="AN37" s="154">
        <f>INDEX('(2.2)_Forward_Price_Curve'!$G:$G,MATCH($AB37,'(2.2)_Forward_Price_Curve'!$C:$C,0),1)</f>
        <v>3.77</v>
      </c>
      <c r="AP37" s="154">
        <f t="shared" si="8"/>
        <v>27.007302783083222</v>
      </c>
      <c r="AR37" s="154">
        <f t="shared" si="16"/>
        <v>4.0311813678299053</v>
      </c>
      <c r="AS37" s="154"/>
      <c r="AT37" s="153">
        <f t="shared" si="1"/>
        <v>24.765309475906399</v>
      </c>
      <c r="AV37" s="153">
        <f t="shared" si="2"/>
        <v>69.991781760309109</v>
      </c>
      <c r="AW37" s="273"/>
      <c r="AX37" s="155">
        <f t="shared" si="9"/>
        <v>94.757091236215501</v>
      </c>
      <c r="AZ37" s="146">
        <f>+IF(AZ36&gt;$G$13+$G$14,XX,AZ36+1)</f>
        <v>2010</v>
      </c>
      <c r="BA37" s="117"/>
      <c r="BB37" s="567">
        <f t="shared" si="17"/>
        <v>59.170371954023544</v>
      </c>
      <c r="BC37" s="557"/>
      <c r="BD37" s="567">
        <f t="shared" si="18"/>
        <v>12.864849669173385</v>
      </c>
      <c r="BE37" s="557"/>
      <c r="BF37" s="567">
        <f t="shared" si="10"/>
        <v>5.4896302760574711</v>
      </c>
      <c r="BH37" s="157"/>
    </row>
    <row r="38" spans="2:60" ht="12">
      <c r="B38" s="2"/>
      <c r="C38">
        <f>+IF(C37&gt;$G$13+$G$14,XX,C37+1)</f>
        <v>2011</v>
      </c>
      <c r="E38" s="169">
        <f>'(2.2)_Forward_Price_Curve'!$CZ$42</f>
        <v>2.5000000000000001E-2</v>
      </c>
      <c r="G38" s="18">
        <v>2255</v>
      </c>
      <c r="I38" s="268">
        <f t="shared" si="11"/>
        <v>54.262783828483549</v>
      </c>
      <c r="K38" s="268">
        <f t="shared" si="3"/>
        <v>0</v>
      </c>
      <c r="M38" s="268">
        <f t="shared" si="4"/>
        <v>0</v>
      </c>
      <c r="O38" s="270"/>
      <c r="Q38" s="28"/>
      <c r="S38" s="18">
        <v>0</v>
      </c>
      <c r="U38" s="18">
        <f t="shared" ref="U38:U47" si="19">AX38</f>
        <v>97.865074790528098</v>
      </c>
      <c r="W38" s="18">
        <f t="shared" ref="W38:W47" si="20">S38-U38</f>
        <v>-97.865074790528098</v>
      </c>
      <c r="Y38" s="271">
        <f t="shared" ref="Y38:Y47" si="21">+W38*1000/G38</f>
        <v>-43.39914624857122</v>
      </c>
      <c r="Z38" s="235"/>
      <c r="AB38" s="146">
        <f>+IF(AB37&gt;$G$13+$G$14,XX,AB37+1)</f>
        <v>2011</v>
      </c>
      <c r="AC38" s="117"/>
      <c r="AD38" s="151">
        <f t="shared" ref="AD38:AD57" si="22">G38</f>
        <v>2255</v>
      </c>
      <c r="AF38" s="154">
        <f t="shared" si="13"/>
        <v>70.606663272930604</v>
      </c>
      <c r="AH38" s="154">
        <f t="shared" si="14"/>
        <v>8.6643757543227409</v>
      </c>
      <c r="AJ38" s="154">
        <f t="shared" si="15"/>
        <v>2.0240801303590263</v>
      </c>
      <c r="AL38" s="153">
        <f t="shared" ref="AL38:AL57" si="23">((AF38+AH38)*$AF$11*1000+AJ38*AD38)/1000</f>
        <v>31.011313245762967</v>
      </c>
      <c r="AN38" s="154">
        <f>INDEX('(2.2)_Forward_Price_Curve'!$G:$G,MATCH($AB38,'(2.2)_Forward_Price_Curve'!$C:$C,0),1)</f>
        <v>3.91</v>
      </c>
      <c r="AP38" s="154">
        <f t="shared" ref="AP38:AP57" si="24">AN38*$AF$14/1000</f>
        <v>28.010226493860845</v>
      </c>
      <c r="AR38" s="154">
        <f t="shared" si="16"/>
        <v>4.1319609020256527</v>
      </c>
      <c r="AS38" s="154"/>
      <c r="AT38" s="153">
        <f t="shared" ref="AT38:AT57" si="25">AL38-BF38</f>
        <v>25.384442212804061</v>
      </c>
      <c r="AV38" s="153">
        <f t="shared" ref="AV38:AV57" si="26">(AP38+AR38)*AD38/1000</f>
        <v>72.480632577724037</v>
      </c>
      <c r="AW38" s="273"/>
      <c r="AX38" s="155">
        <f t="shared" ref="AX38:AX57" si="27">AT38+AV38</f>
        <v>97.865074790528098</v>
      </c>
      <c r="AZ38" s="146">
        <f>+IF(AZ37&gt;$G$13+$G$14,XX,AZ37+1)</f>
        <v>2011</v>
      </c>
      <c r="BA38" s="117"/>
      <c r="BB38" s="567">
        <f t="shared" si="17"/>
        <v>60.64963125287413</v>
      </c>
      <c r="BC38" s="557"/>
      <c r="BD38" s="567">
        <f t="shared" si="18"/>
        <v>13.186470910902719</v>
      </c>
      <c r="BE38" s="557"/>
      <c r="BF38" s="567">
        <f t="shared" ref="BF38:BF57" si="28">(BB38+BD38)*$BD$11</f>
        <v>5.6268710329589062</v>
      </c>
      <c r="BH38" s="157"/>
    </row>
    <row r="39" spans="2:60" ht="12">
      <c r="B39" s="2"/>
      <c r="C39">
        <f>+IF(C38&gt;$G$13+$G$14,XX,C38+1)</f>
        <v>2012</v>
      </c>
      <c r="E39" s="169">
        <f>'(2.2)_Forward_Price_Curve'!$CZ$42</f>
        <v>2.5000000000000001E-2</v>
      </c>
      <c r="G39" s="18">
        <v>2255</v>
      </c>
      <c r="I39" s="268">
        <f t="shared" si="11"/>
        <v>55.61935342419563</v>
      </c>
      <c r="K39" s="268">
        <f t="shared" si="3"/>
        <v>0</v>
      </c>
      <c r="M39" s="268">
        <f t="shared" si="4"/>
        <v>0</v>
      </c>
      <c r="O39" s="270"/>
      <c r="Q39" s="28"/>
      <c r="S39" s="18">
        <v>0</v>
      </c>
      <c r="U39" s="18">
        <f t="shared" si="19"/>
        <v>106.64820052901231</v>
      </c>
      <c r="W39" s="18">
        <f t="shared" si="20"/>
        <v>-106.64820052901231</v>
      </c>
      <c r="Y39" s="271">
        <f t="shared" si="21"/>
        <v>-47.294102230160675</v>
      </c>
      <c r="Z39" s="235"/>
      <c r="AB39" s="146">
        <f>+IF(AB38&gt;$G$13+$G$14,XX,AB38+1)</f>
        <v>2012</v>
      </c>
      <c r="AC39" s="117"/>
      <c r="AD39" s="151">
        <f t="shared" si="22"/>
        <v>2255</v>
      </c>
      <c r="AF39" s="154">
        <f t="shared" si="13"/>
        <v>72.371829854753869</v>
      </c>
      <c r="AH39" s="154">
        <f t="shared" si="14"/>
        <v>8.8809851481808089</v>
      </c>
      <c r="AJ39" s="154">
        <f t="shared" si="15"/>
        <v>2.0746821336180017</v>
      </c>
      <c r="AL39" s="153">
        <f t="shared" si="23"/>
        <v>31.786596076907038</v>
      </c>
      <c r="AN39" s="154">
        <f>INDEX('(2.2)_Forward_Price_Curve'!$G:$G,MATCH($AB39,'(2.2)_Forward_Price_Curve'!$C:$C,0),1)</f>
        <v>4.4000000000000004</v>
      </c>
      <c r="AP39" s="154">
        <f t="shared" si="24"/>
        <v>31.520459481582542</v>
      </c>
      <c r="AR39" s="154">
        <f t="shared" si="16"/>
        <v>4.2352599245762939</v>
      </c>
      <c r="AS39" s="154"/>
      <c r="AT39" s="153">
        <f t="shared" si="25"/>
        <v>26.019053268124161</v>
      </c>
      <c r="AV39" s="153">
        <f t="shared" si="26"/>
        <v>80.629147260888161</v>
      </c>
      <c r="AW39" s="273"/>
      <c r="AX39" s="155">
        <f t="shared" si="27"/>
        <v>106.64820052901231</v>
      </c>
      <c r="AZ39" s="146">
        <f>+IF(AZ38&gt;$G$13+$G$14,XX,AZ38+1)</f>
        <v>2012</v>
      </c>
      <c r="BA39" s="117"/>
      <c r="BB39" s="567">
        <f t="shared" si="17"/>
        <v>62.165872034195978</v>
      </c>
      <c r="BC39" s="557"/>
      <c r="BD39" s="567">
        <f t="shared" si="18"/>
        <v>13.516132683675286</v>
      </c>
      <c r="BE39" s="557"/>
      <c r="BF39" s="567">
        <f t="shared" si="28"/>
        <v>5.7675428087828795</v>
      </c>
      <c r="BH39" s="157"/>
    </row>
    <row r="40" spans="2:60" ht="12">
      <c r="B40" s="2"/>
      <c r="C40">
        <f>+IF(C39&gt;$G$13+$G$14,XX,C39+1)</f>
        <v>2013</v>
      </c>
      <c r="E40" s="169">
        <f>'(2.2)_Forward_Price_Curve'!$CZ$42</f>
        <v>2.5000000000000001E-2</v>
      </c>
      <c r="G40" s="18">
        <v>2255</v>
      </c>
      <c r="I40" s="268">
        <f t="shared" si="11"/>
        <v>57.009837259800513</v>
      </c>
      <c r="K40" s="268">
        <f t="shared" si="3"/>
        <v>0</v>
      </c>
      <c r="M40" s="268">
        <f t="shared" si="4"/>
        <v>0</v>
      </c>
      <c r="O40" s="270"/>
      <c r="Q40" s="28"/>
      <c r="S40" s="18">
        <v>0</v>
      </c>
      <c r="U40" s="18">
        <f t="shared" si="19"/>
        <v>111.41445615519808</v>
      </c>
      <c r="W40" s="18">
        <f t="shared" si="20"/>
        <v>-111.41445615519808</v>
      </c>
      <c r="Y40" s="271">
        <f t="shared" si="21"/>
        <v>-49.407741088779638</v>
      </c>
      <c r="Z40" s="235"/>
      <c r="AB40" s="146">
        <f>+IF(AB39&gt;$G$13+$G$14,XX,AB39+1)</f>
        <v>2013</v>
      </c>
      <c r="AC40" s="117"/>
      <c r="AD40" s="151">
        <f t="shared" si="22"/>
        <v>2255</v>
      </c>
      <c r="AF40" s="154">
        <f t="shared" si="13"/>
        <v>74.181125601122716</v>
      </c>
      <c r="AH40" s="154">
        <f t="shared" si="14"/>
        <v>9.1030097768853278</v>
      </c>
      <c r="AJ40" s="154">
        <f t="shared" si="15"/>
        <v>2.1265491869584516</v>
      </c>
      <c r="AL40" s="153">
        <f t="shared" si="23"/>
        <v>32.581260978829711</v>
      </c>
      <c r="AN40" s="154">
        <f>INDEX('(2.2)_Forward_Price_Curve'!$G:$G,MATCH($AB40,'(2.2)_Forward_Price_Curve'!$C:$C,0),1)</f>
        <v>4.6399999999999997</v>
      </c>
      <c r="AP40" s="154">
        <f t="shared" si="24"/>
        <v>33.239757271487044</v>
      </c>
      <c r="AR40" s="154">
        <f t="shared" si="16"/>
        <v>4.3411414226907006</v>
      </c>
      <c r="AS40" s="154"/>
      <c r="AT40" s="153">
        <f t="shared" si="25"/>
        <v>26.669529599827261</v>
      </c>
      <c r="AV40" s="153">
        <f t="shared" si="26"/>
        <v>84.744926555370824</v>
      </c>
      <c r="AW40" s="273"/>
      <c r="AX40" s="155">
        <f t="shared" si="27"/>
        <v>111.41445615519808</v>
      </c>
      <c r="AZ40" s="146">
        <f>+IF(AZ39&gt;$G$13+$G$14,XX,AZ39+1)</f>
        <v>2013</v>
      </c>
      <c r="BA40" s="117"/>
      <c r="BB40" s="567">
        <f t="shared" si="17"/>
        <v>63.720018835050872</v>
      </c>
      <c r="BC40" s="557"/>
      <c r="BD40" s="567">
        <f t="shared" si="18"/>
        <v>13.854036000767167</v>
      </c>
      <c r="BE40" s="557"/>
      <c r="BF40" s="567">
        <f t="shared" si="28"/>
        <v>5.9117313790024504</v>
      </c>
      <c r="BH40" s="157"/>
    </row>
    <row r="41" spans="2:60" ht="12">
      <c r="B41" s="2"/>
      <c r="C41">
        <f>+IF(C40&gt;$G$13+$G$14,XX,C40+1)</f>
        <v>2014</v>
      </c>
      <c r="E41" s="169">
        <f>'(2.2)_Forward_Price_Curve'!$CZ$42</f>
        <v>2.5000000000000001E-2</v>
      </c>
      <c r="G41" s="18">
        <v>2255</v>
      </c>
      <c r="I41" s="268">
        <f t="shared" si="11"/>
        <v>58.435083191295519</v>
      </c>
      <c r="K41" s="268">
        <f t="shared" si="3"/>
        <v>0</v>
      </c>
      <c r="M41" s="268">
        <f t="shared" si="4"/>
        <v>0</v>
      </c>
      <c r="O41" s="270"/>
      <c r="Q41" s="28"/>
      <c r="S41" s="18">
        <v>0</v>
      </c>
      <c r="U41" s="18">
        <f t="shared" si="19"/>
        <v>109.25662150087884</v>
      </c>
      <c r="W41" s="18">
        <f t="shared" si="20"/>
        <v>-109.25662150087884</v>
      </c>
      <c r="Y41" s="271">
        <f t="shared" si="21"/>
        <v>-48.450829933870885</v>
      </c>
      <c r="Z41" s="235"/>
      <c r="AB41" s="146">
        <f>+IF(AB40&gt;$G$13+$G$14,XX,AB40+1)</f>
        <v>2014</v>
      </c>
      <c r="AC41" s="117"/>
      <c r="AD41" s="151">
        <f t="shared" si="22"/>
        <v>2255</v>
      </c>
      <c r="AF41" s="154">
        <f t="shared" si="13"/>
        <v>76.035653741150782</v>
      </c>
      <c r="AH41" s="154">
        <f t="shared" si="14"/>
        <v>9.3305850213074599</v>
      </c>
      <c r="AJ41" s="154">
        <f t="shared" si="15"/>
        <v>2.1797129166324125</v>
      </c>
      <c r="AL41" s="153">
        <f t="shared" si="23"/>
        <v>33.395792503300449</v>
      </c>
      <c r="AN41" s="154">
        <f>INDEX('(2.2)_Forward_Price_Curve'!$G:$G,MATCH($AB41,'(2.2)_Forward_Price_Curve'!$C:$C,0),1)</f>
        <v>4.45</v>
      </c>
      <c r="AP41" s="154">
        <f t="shared" si="24"/>
        <v>31.878646521145978</v>
      </c>
      <c r="AR41" s="154">
        <f t="shared" si="16"/>
        <v>4.4496699582579673</v>
      </c>
      <c r="AS41" s="154"/>
      <c r="AT41" s="153">
        <f t="shared" si="25"/>
        <v>27.336267839822938</v>
      </c>
      <c r="AV41" s="153">
        <f t="shared" si="26"/>
        <v>81.920353661055898</v>
      </c>
      <c r="AW41" s="273"/>
      <c r="AX41" s="155">
        <f t="shared" si="27"/>
        <v>109.25662150087884</v>
      </c>
      <c r="AZ41" s="146">
        <f>+IF(AZ40&gt;$G$13+$G$14,XX,AZ40+1)</f>
        <v>2014</v>
      </c>
      <c r="BA41" s="117"/>
      <c r="BB41" s="567">
        <f t="shared" si="17"/>
        <v>65.313019305927142</v>
      </c>
      <c r="BC41" s="557"/>
      <c r="BD41" s="567">
        <f t="shared" si="18"/>
        <v>14.200386900786345</v>
      </c>
      <c r="BE41" s="557"/>
      <c r="BF41" s="567">
        <f t="shared" si="28"/>
        <v>6.0595246634775117</v>
      </c>
      <c r="BH41" s="157"/>
    </row>
    <row r="42" spans="2:60" ht="12">
      <c r="B42" s="2"/>
      <c r="C42">
        <f>+IF(C41&gt;$G$13+$G$14,XX,C41+1)</f>
        <v>2015</v>
      </c>
      <c r="E42" s="169">
        <f>'(2.2)_Forward_Price_Curve'!$CZ$42</f>
        <v>2.5000000000000001E-2</v>
      </c>
      <c r="G42" s="18">
        <v>2255</v>
      </c>
      <c r="I42" s="268">
        <f t="shared" si="11"/>
        <v>59.895960271077904</v>
      </c>
      <c r="K42" s="268">
        <f t="shared" si="3"/>
        <v>0</v>
      </c>
      <c r="M42" s="268">
        <f t="shared" si="4"/>
        <v>0</v>
      </c>
      <c r="O42" s="270"/>
      <c r="Q42" s="28"/>
      <c r="S42" s="18">
        <v>0</v>
      </c>
      <c r="U42" s="18">
        <f t="shared" si="19"/>
        <v>117.13719959902494</v>
      </c>
      <c r="W42" s="18">
        <f t="shared" si="20"/>
        <v>-117.13719959902494</v>
      </c>
      <c r="Y42" s="271">
        <f t="shared" si="21"/>
        <v>-51.945543059434563</v>
      </c>
      <c r="Z42" s="235"/>
      <c r="AB42" s="146">
        <f>+IF(AB41&gt;$G$13+$G$14,XX,AB41+1)</f>
        <v>2015</v>
      </c>
      <c r="AC42" s="117"/>
      <c r="AD42" s="151">
        <f t="shared" si="22"/>
        <v>2255</v>
      </c>
      <c r="AF42" s="154">
        <f t="shared" si="13"/>
        <v>77.936545084679551</v>
      </c>
      <c r="AH42" s="154">
        <f t="shared" si="14"/>
        <v>9.5638496468401453</v>
      </c>
      <c r="AJ42" s="154">
        <f t="shared" si="15"/>
        <v>2.2342057395482224</v>
      </c>
      <c r="AL42" s="153">
        <f t="shared" si="23"/>
        <v>34.23068731588296</v>
      </c>
      <c r="AN42" s="154">
        <f>INDEX('(2.2)_Forward_Price_Curve'!$G:$G,MATCH($AB42,'(2.2)_Forward_Price_Curve'!$C:$C,0),1)</f>
        <v>4.88</v>
      </c>
      <c r="AP42" s="154">
        <f t="shared" si="24"/>
        <v>34.959055061391538</v>
      </c>
      <c r="AR42" s="154">
        <f t="shared" si="16"/>
        <v>4.5609117072144159</v>
      </c>
      <c r="AS42" s="154"/>
      <c r="AT42" s="153">
        <f t="shared" si="25"/>
        <v>28.01967453581851</v>
      </c>
      <c r="AV42" s="153">
        <f t="shared" si="26"/>
        <v>89.117525063206429</v>
      </c>
      <c r="AW42" s="273"/>
      <c r="AX42" s="155">
        <f t="shared" si="27"/>
        <v>117.13719959902494</v>
      </c>
      <c r="AZ42" s="146">
        <f>+IF(AZ41&gt;$G$13+$G$14,XX,AZ41+1)</f>
        <v>2015</v>
      </c>
      <c r="BA42" s="117"/>
      <c r="BB42" s="567">
        <f t="shared" si="17"/>
        <v>66.945844788575315</v>
      </c>
      <c r="BC42" s="557"/>
      <c r="BD42" s="567">
        <f t="shared" si="18"/>
        <v>14.555396573306002</v>
      </c>
      <c r="BE42" s="557"/>
      <c r="BF42" s="567">
        <f t="shared" si="28"/>
        <v>6.2110127800644488</v>
      </c>
      <c r="BH42" s="157"/>
    </row>
    <row r="43" spans="2:60" ht="12">
      <c r="B43" s="2"/>
      <c r="C43">
        <f>+IF(C42&gt;$G$13+$G$14,XX,C42+1)</f>
        <v>2016</v>
      </c>
      <c r="E43" s="169">
        <f>'(2.2)_Forward_Price_Curve'!$CZ$42</f>
        <v>2.5000000000000001E-2</v>
      </c>
      <c r="G43" s="18">
        <v>2255</v>
      </c>
      <c r="I43" s="268">
        <f t="shared" si="11"/>
        <v>61.393359277854849</v>
      </c>
      <c r="K43" s="268">
        <f t="shared" si="3"/>
        <v>0</v>
      </c>
      <c r="M43" s="268">
        <f t="shared" si="4"/>
        <v>0</v>
      </c>
      <c r="O43" s="270"/>
      <c r="Q43" s="28"/>
      <c r="S43" s="18">
        <v>0</v>
      </c>
      <c r="U43" s="18">
        <f t="shared" si="19"/>
        <v>121.64874466646306</v>
      </c>
      <c r="W43" s="18">
        <f t="shared" si="20"/>
        <v>-121.64874466646306</v>
      </c>
      <c r="Y43" s="271">
        <f t="shared" si="21"/>
        <v>-53.946228233464772</v>
      </c>
      <c r="Z43" s="235"/>
      <c r="AB43" s="146">
        <f>+IF(AB42&gt;$G$13+$G$14,XX,AB42+1)</f>
        <v>2016</v>
      </c>
      <c r="AC43" s="117"/>
      <c r="AD43" s="151">
        <f t="shared" si="22"/>
        <v>2255</v>
      </c>
      <c r="AF43" s="154">
        <f t="shared" si="13"/>
        <v>79.884958711796529</v>
      </c>
      <c r="AH43" s="154">
        <f t="shared" si="14"/>
        <v>9.8029458880111484</v>
      </c>
      <c r="AJ43" s="154">
        <f t="shared" si="15"/>
        <v>2.290060883036928</v>
      </c>
      <c r="AL43" s="153">
        <f t="shared" si="23"/>
        <v>35.086454498780036</v>
      </c>
      <c r="AN43" s="154">
        <f>INDEX('(2.2)_Forward_Price_Curve'!$G:$G,MATCH($AB43,'(2.2)_Forward_Price_Curve'!$C:$C,0),1)</f>
        <v>5.0999999999999996</v>
      </c>
      <c r="AP43" s="154">
        <f t="shared" si="24"/>
        <v>36.535078035470669</v>
      </c>
      <c r="AR43" s="154">
        <f t="shared" si="16"/>
        <v>4.6749344998947757</v>
      </c>
      <c r="AS43" s="154"/>
      <c r="AT43" s="153">
        <f t="shared" si="25"/>
        <v>28.720166399213976</v>
      </c>
      <c r="AV43" s="153">
        <f t="shared" si="26"/>
        <v>92.92857826724908</v>
      </c>
      <c r="AW43" s="273"/>
      <c r="AX43" s="155">
        <f t="shared" si="27"/>
        <v>121.64874466646306</v>
      </c>
      <c r="AZ43" s="146">
        <f>+IF(AZ42&gt;$G$13+$G$14,XX,AZ42+1)</f>
        <v>2016</v>
      </c>
      <c r="BA43" s="117"/>
      <c r="BB43" s="567">
        <f t="shared" si="17"/>
        <v>68.619490908289691</v>
      </c>
      <c r="BC43" s="557"/>
      <c r="BD43" s="567">
        <f t="shared" si="18"/>
        <v>14.919281487638651</v>
      </c>
      <c r="BE43" s="557"/>
      <c r="BF43" s="567">
        <f t="shared" si="28"/>
        <v>6.3662880995660602</v>
      </c>
      <c r="BH43" s="157"/>
    </row>
    <row r="44" spans="2:60" ht="12">
      <c r="B44" s="2"/>
      <c r="C44">
        <f>+IF(C43&gt;$G$13+$G$14,XX,C43+1)</f>
        <v>2017</v>
      </c>
      <c r="E44" s="169">
        <f>'(2.2)_Forward_Price_Curve'!$CZ$42</f>
        <v>2.5000000000000001E-2</v>
      </c>
      <c r="G44" s="18">
        <v>2255</v>
      </c>
      <c r="I44" s="268">
        <f t="shared" si="11"/>
        <v>62.928193259801212</v>
      </c>
      <c r="K44" s="268">
        <f t="shared" si="3"/>
        <v>0</v>
      </c>
      <c r="M44" s="268">
        <f t="shared" si="4"/>
        <v>0</v>
      </c>
      <c r="O44" s="270"/>
      <c r="Q44" s="28"/>
      <c r="S44" s="18">
        <v>0</v>
      </c>
      <c r="U44" s="18">
        <f t="shared" si="19"/>
        <v>124.5688065169923</v>
      </c>
      <c r="W44" s="18">
        <f t="shared" si="20"/>
        <v>-124.5688065169923</v>
      </c>
      <c r="Y44" s="271">
        <f t="shared" si="21"/>
        <v>-55.241155883366872</v>
      </c>
      <c r="Z44" s="235"/>
      <c r="AB44" s="146">
        <f>+IF(AB43&gt;$G$13+$G$14,XX,AB43+1)</f>
        <v>2017</v>
      </c>
      <c r="AC44" s="117"/>
      <c r="AD44" s="151">
        <f t="shared" si="22"/>
        <v>2255</v>
      </c>
      <c r="AF44" s="154">
        <f t="shared" si="13"/>
        <v>81.882082679591434</v>
      </c>
      <c r="AH44" s="154">
        <f t="shared" si="14"/>
        <v>10.048019535211425</v>
      </c>
      <c r="AJ44" s="154">
        <f t="shared" si="15"/>
        <v>2.3473124051128509</v>
      </c>
      <c r="AL44" s="153">
        <f t="shared" si="23"/>
        <v>35.963615861249529</v>
      </c>
      <c r="AN44" s="154">
        <f>INDEX('(2.2)_Forward_Price_Curve'!$G:$G,MATCH($AB44,'(2.2)_Forward_Price_Curve'!$C:$C,0),1)</f>
        <v>5.22</v>
      </c>
      <c r="AP44" s="154">
        <f t="shared" si="24"/>
        <v>37.39472693042292</v>
      </c>
      <c r="AR44" s="154">
        <f t="shared" si="16"/>
        <v>4.7918078623921447</v>
      </c>
      <c r="AS44" s="154"/>
      <c r="AT44" s="153">
        <f t="shared" si="25"/>
        <v>29.438170559194319</v>
      </c>
      <c r="AV44" s="153">
        <f t="shared" si="26"/>
        <v>95.130635957797978</v>
      </c>
      <c r="AW44" s="273"/>
      <c r="AX44" s="155">
        <f t="shared" si="27"/>
        <v>124.5688065169923</v>
      </c>
      <c r="AZ44" s="146">
        <f>+IF(AZ43&gt;$G$13+$G$14,XX,AZ43+1)</f>
        <v>2017</v>
      </c>
      <c r="BA44" s="117"/>
      <c r="BB44" s="567">
        <f t="shared" si="17"/>
        <v>70.334978180996927</v>
      </c>
      <c r="BC44" s="557"/>
      <c r="BD44" s="567">
        <f t="shared" si="18"/>
        <v>15.292263524829616</v>
      </c>
      <c r="BE44" s="557"/>
      <c r="BF44" s="567">
        <f t="shared" si="28"/>
        <v>6.5254453020552114</v>
      </c>
      <c r="BH44" s="157"/>
    </row>
    <row r="45" spans="2:60" ht="12">
      <c r="B45" s="2"/>
      <c r="C45">
        <f>+IF(C44&gt;$G$13+$G$14,XX,C44+1)</f>
        <v>2018</v>
      </c>
      <c r="E45" s="169">
        <f>'(2.2)_Forward_Price_Curve'!$CZ$42</f>
        <v>2.5000000000000001E-2</v>
      </c>
      <c r="G45" s="18">
        <v>2255</v>
      </c>
      <c r="I45" s="268">
        <f t="shared" si="11"/>
        <v>64.501398091296238</v>
      </c>
      <c r="K45" s="268">
        <f t="shared" si="3"/>
        <v>0</v>
      </c>
      <c r="M45" s="268">
        <f t="shared" si="4"/>
        <v>0</v>
      </c>
      <c r="O45" s="270"/>
      <c r="Q45" s="28"/>
      <c r="S45" s="18">
        <v>0</v>
      </c>
      <c r="U45" s="18">
        <f t="shared" si="19"/>
        <v>127.51340720733182</v>
      </c>
      <c r="W45" s="18">
        <f t="shared" si="20"/>
        <v>-127.51340720733182</v>
      </c>
      <c r="Y45" s="271">
        <f t="shared" si="21"/>
        <v>-56.546965502142719</v>
      </c>
      <c r="Z45" s="235"/>
      <c r="AB45" s="146">
        <f>+IF(AB44&gt;$G$13+$G$14,XX,AB44+1)</f>
        <v>2018</v>
      </c>
      <c r="AC45" s="117"/>
      <c r="AD45" s="151">
        <f t="shared" si="22"/>
        <v>2255</v>
      </c>
      <c r="AF45" s="154">
        <f t="shared" si="13"/>
        <v>83.929134746581212</v>
      </c>
      <c r="AH45" s="154">
        <f t="shared" si="14"/>
        <v>10.29922002359171</v>
      </c>
      <c r="AJ45" s="154">
        <f t="shared" si="15"/>
        <v>2.4059952152406718</v>
      </c>
      <c r="AL45" s="153">
        <f t="shared" si="23"/>
        <v>36.862706257780765</v>
      </c>
      <c r="AN45" s="154">
        <f>INDEX('(2.2)_Forward_Price_Curve'!$G:$G,MATCH($AB45,'(2.2)_Forward_Price_Curve'!$C:$C,0),1)</f>
        <v>5.34</v>
      </c>
      <c r="AP45" s="154">
        <f t="shared" si="24"/>
        <v>38.25437582537517</v>
      </c>
      <c r="AR45" s="154">
        <f t="shared" si="16"/>
        <v>4.9116030589519477</v>
      </c>
      <c r="AS45" s="154"/>
      <c r="AT45" s="153">
        <f t="shared" si="25"/>
        <v>30.174124823174175</v>
      </c>
      <c r="AV45" s="153">
        <f t="shared" si="26"/>
        <v>97.339282384157642</v>
      </c>
      <c r="AW45" s="273"/>
      <c r="AX45" s="155">
        <f t="shared" si="27"/>
        <v>127.51340720733182</v>
      </c>
      <c r="AZ45" s="146">
        <f>+IF(AZ44&gt;$G$13+$G$14,XX,AZ44+1)</f>
        <v>2018</v>
      </c>
      <c r="BA45" s="117"/>
      <c r="BB45" s="567">
        <f t="shared" si="17"/>
        <v>72.093352635521839</v>
      </c>
      <c r="BC45" s="557"/>
      <c r="BD45" s="567">
        <f t="shared" si="18"/>
        <v>15.674570112950356</v>
      </c>
      <c r="BE45" s="557"/>
      <c r="BF45" s="567">
        <f t="shared" si="28"/>
        <v>6.688581434606589</v>
      </c>
      <c r="BH45" s="157"/>
    </row>
    <row r="46" spans="2:60" ht="12">
      <c r="B46" s="2"/>
      <c r="C46">
        <f>+IF(C45&gt;$G$13+$G$14,XX,C45+1)</f>
        <v>2019</v>
      </c>
      <c r="E46" s="169">
        <f>'(2.2)_Forward_Price_Curve'!$CZ$42</f>
        <v>2.5000000000000001E-2</v>
      </c>
      <c r="G46" s="18">
        <v>2255</v>
      </c>
      <c r="I46" s="268">
        <f t="shared" si="11"/>
        <v>66.113933043578641</v>
      </c>
      <c r="K46" s="268">
        <f t="shared" si="3"/>
        <v>0</v>
      </c>
      <c r="M46" s="268">
        <f t="shared" si="4"/>
        <v>0</v>
      </c>
      <c r="O46" s="270"/>
      <c r="Q46" s="28"/>
      <c r="S46" s="18">
        <v>0</v>
      </c>
      <c r="U46" s="18">
        <f t="shared" si="19"/>
        <v>130.48316020847693</v>
      </c>
      <c r="W46" s="18">
        <f t="shared" si="20"/>
        <v>-130.48316020847693</v>
      </c>
      <c r="Y46" s="271">
        <f t="shared" si="21"/>
        <v>-57.863929139014161</v>
      </c>
      <c r="Z46" s="235"/>
      <c r="AB46" s="146">
        <f>+IF(AB45&gt;$G$13+$G$14,XX,AB45+1)</f>
        <v>2019</v>
      </c>
      <c r="AC46" s="117"/>
      <c r="AD46" s="151">
        <f t="shared" si="22"/>
        <v>2255</v>
      </c>
      <c r="AF46" s="154">
        <f t="shared" si="13"/>
        <v>86.027363115245734</v>
      </c>
      <c r="AH46" s="154">
        <f t="shared" si="14"/>
        <v>10.556700524181501</v>
      </c>
      <c r="AJ46" s="154">
        <f t="shared" si="15"/>
        <v>2.4661450956216884</v>
      </c>
      <c r="AL46" s="153">
        <f t="shared" si="23"/>
        <v>37.784273914225274</v>
      </c>
      <c r="AN46" s="154">
        <f>INDEX('(2.2)_Forward_Price_Curve'!$G:$G,MATCH($AB46,'(2.2)_Forward_Price_Curve'!$C:$C,0),1)</f>
        <v>5.46</v>
      </c>
      <c r="AP46" s="154">
        <f t="shared" si="24"/>
        <v>39.114024720327421</v>
      </c>
      <c r="AR46" s="154">
        <f t="shared" si="16"/>
        <v>5.0343931354257458</v>
      </c>
      <c r="AS46" s="154"/>
      <c r="AT46" s="153">
        <f t="shared" si="25"/>
        <v>30.928477943753521</v>
      </c>
      <c r="AV46" s="153">
        <f t="shared" si="26"/>
        <v>99.554682264723397</v>
      </c>
      <c r="AW46" s="273"/>
      <c r="AX46" s="155">
        <f t="shared" si="27"/>
        <v>130.48316020847693</v>
      </c>
      <c r="AZ46" s="146">
        <f>+IF(AZ45&gt;$G$13+$G$14,XX,AZ45+1)</f>
        <v>2019</v>
      </c>
      <c r="BA46" s="117"/>
      <c r="BB46" s="567">
        <f t="shared" si="17"/>
        <v>73.895686451409873</v>
      </c>
      <c r="BC46" s="557"/>
      <c r="BD46" s="567">
        <f t="shared" si="18"/>
        <v>16.066434365774114</v>
      </c>
      <c r="BE46" s="557"/>
      <c r="BF46" s="567">
        <f t="shared" si="28"/>
        <v>6.8557959704717533</v>
      </c>
      <c r="BH46" s="157"/>
    </row>
    <row r="47" spans="2:60" ht="12">
      <c r="B47" s="2"/>
      <c r="C47">
        <f>+IF(C46&gt;$G$13+$G$14,XX,C46+1)</f>
        <v>2020</v>
      </c>
      <c r="E47" s="169">
        <f>'(2.2)_Forward_Price_Curve'!$CZ$42</f>
        <v>2.5000000000000001E-2</v>
      </c>
      <c r="G47" s="18">
        <v>2255</v>
      </c>
      <c r="I47" s="268">
        <f t="shared" si="11"/>
        <v>67.766781369668095</v>
      </c>
      <c r="K47" s="268">
        <f t="shared" si="3"/>
        <v>0</v>
      </c>
      <c r="M47" s="268">
        <f t="shared" si="4"/>
        <v>0</v>
      </c>
      <c r="O47" s="270"/>
      <c r="Q47" s="28"/>
      <c r="S47" s="18">
        <v>0</v>
      </c>
      <c r="U47" s="18">
        <f t="shared" si="19"/>
        <v>133.6402366830408</v>
      </c>
      <c r="W47" s="18">
        <f t="shared" si="20"/>
        <v>-133.6402366830408</v>
      </c>
      <c r="Y47" s="271">
        <f t="shared" si="21"/>
        <v>-59.263963052346256</v>
      </c>
      <c r="Z47" s="235"/>
      <c r="AB47" s="146">
        <f>+IF(AB46&gt;$G$13+$G$14,XX,AB46+1)</f>
        <v>2020</v>
      </c>
      <c r="AC47" s="117"/>
      <c r="AD47" s="151">
        <f t="shared" si="22"/>
        <v>2255</v>
      </c>
      <c r="AF47" s="154">
        <f t="shared" si="13"/>
        <v>88.178047193126872</v>
      </c>
      <c r="AH47" s="154">
        <f t="shared" si="14"/>
        <v>10.820618037286037</v>
      </c>
      <c r="AJ47" s="154">
        <f t="shared" si="15"/>
        <v>2.5277987230122303</v>
      </c>
      <c r="AL47" s="153">
        <f t="shared" si="23"/>
        <v>38.728880762080912</v>
      </c>
      <c r="AN47" s="154">
        <f>INDEX('(2.2)_Forward_Price_Curve'!$G:$G,MATCH($AB47,'(2.2)_Forward_Price_Curve'!$C:$C,0),1)</f>
        <v>5.59</v>
      </c>
      <c r="AP47" s="154">
        <f t="shared" si="24"/>
        <v>40.045311023192355</v>
      </c>
      <c r="AR47" s="154">
        <f t="shared" si="16"/>
        <v>5.1602529638113888</v>
      </c>
      <c r="AS47" s="154"/>
      <c r="AT47" s="153">
        <f t="shared" si="25"/>
        <v>31.701689892347364</v>
      </c>
      <c r="AV47" s="153">
        <f t="shared" si="26"/>
        <v>101.93854679069344</v>
      </c>
      <c r="AW47" s="273"/>
      <c r="AX47" s="155">
        <f t="shared" si="27"/>
        <v>133.6402366830408</v>
      </c>
      <c r="AZ47" s="146">
        <f>+IF(AZ46&gt;$G$13+$G$14,XX,AZ46+1)</f>
        <v>2020</v>
      </c>
      <c r="BA47" s="117"/>
      <c r="BB47" s="567">
        <f t="shared" si="17"/>
        <v>75.743078612695115</v>
      </c>
      <c r="BC47" s="557"/>
      <c r="BD47" s="567">
        <f t="shared" si="18"/>
        <v>16.468095224918464</v>
      </c>
      <c r="BE47" s="557"/>
      <c r="BF47" s="567">
        <f t="shared" si="28"/>
        <v>7.0271908697335475</v>
      </c>
      <c r="BH47" s="157"/>
    </row>
    <row r="48" spans="2:60" ht="12">
      <c r="B48" s="2"/>
      <c r="C48">
        <f>+IF(C47&gt;$G$13+$G$14,XX,C47+1)</f>
        <v>2021</v>
      </c>
      <c r="E48" s="169">
        <f>'(2.2)_Forward_Price_Curve'!$CZ$42</f>
        <v>2.5000000000000001E-2</v>
      </c>
      <c r="G48" s="18">
        <v>2255</v>
      </c>
      <c r="I48" s="268">
        <f t="shared" si="11"/>
        <v>69.46095090390979</v>
      </c>
      <c r="K48" s="268">
        <f t="shared" si="3"/>
        <v>0</v>
      </c>
      <c r="M48" s="268">
        <f t="shared" si="4"/>
        <v>0</v>
      </c>
      <c r="O48" s="270"/>
      <c r="Q48" s="28"/>
      <c r="S48" s="18">
        <v>0</v>
      </c>
      <c r="U48" s="18">
        <f t="shared" si="12"/>
        <v>136.17756938477237</v>
      </c>
      <c r="W48" s="18">
        <f t="shared" si="5"/>
        <v>-136.17756938477237</v>
      </c>
      <c r="Y48" s="271">
        <f t="shared" si="6"/>
        <v>-60.389166024289295</v>
      </c>
      <c r="Z48" s="235"/>
      <c r="AB48" s="146">
        <f>+IF(AB47&gt;$G$13+$G$14,XX,AB47+1)</f>
        <v>2021</v>
      </c>
      <c r="AC48" s="117"/>
      <c r="AD48" s="151">
        <f t="shared" si="22"/>
        <v>2255</v>
      </c>
      <c r="AF48" s="154">
        <f t="shared" si="13"/>
        <v>90.382498372955041</v>
      </c>
      <c r="AH48" s="154">
        <f t="shared" si="14"/>
        <v>11.091133488218187</v>
      </c>
      <c r="AJ48" s="154">
        <f t="shared" si="15"/>
        <v>2.5909936910875357</v>
      </c>
      <c r="AL48" s="153">
        <f t="shared" si="23"/>
        <v>39.697102781132934</v>
      </c>
      <c r="AN48" s="154">
        <f>INDEX('(2.2)_Forward_Price_Curve'!$G:$G,MATCH($AB48,'(2.2)_Forward_Price_Curve'!$C:$C,0),1)</f>
        <v>5.68</v>
      </c>
      <c r="AP48" s="154">
        <f t="shared" si="24"/>
        <v>40.690047694406545</v>
      </c>
      <c r="AR48" s="154">
        <f t="shared" si="16"/>
        <v>5.2892592879066731</v>
      </c>
      <c r="AS48" s="154"/>
      <c r="AT48" s="153">
        <f t="shared" si="25"/>
        <v>32.494232139656049</v>
      </c>
      <c r="AV48" s="153">
        <f t="shared" si="26"/>
        <v>103.68333724511631</v>
      </c>
      <c r="AW48" s="273"/>
      <c r="AX48" s="155">
        <f t="shared" si="27"/>
        <v>136.17756938477237</v>
      </c>
      <c r="AZ48" s="146">
        <f>+IF(AZ47&gt;$G$13+$G$14,XX,AZ47+1)</f>
        <v>2021</v>
      </c>
      <c r="BA48" s="117"/>
      <c r="BB48" s="567">
        <f t="shared" si="17"/>
        <v>77.63665557801248</v>
      </c>
      <c r="BC48" s="557"/>
      <c r="BD48" s="567">
        <f t="shared" si="18"/>
        <v>16.879797605541423</v>
      </c>
      <c r="BE48" s="557"/>
      <c r="BF48" s="567">
        <f t="shared" si="28"/>
        <v>7.2028706414768848</v>
      </c>
      <c r="BH48" s="157"/>
    </row>
    <row r="49" spans="1:60" ht="12">
      <c r="B49" s="2"/>
      <c r="C49">
        <f>+IF(C48&gt;$G$13+$G$14,XX,C48+1)</f>
        <v>2022</v>
      </c>
      <c r="E49" s="169">
        <f>'(2.2)_Forward_Price_Curve'!$CZ$42</f>
        <v>2.5000000000000001E-2</v>
      </c>
      <c r="G49" s="18">
        <v>2255</v>
      </c>
      <c r="I49" s="268">
        <f t="shared" si="11"/>
        <v>71.197474676507525</v>
      </c>
      <c r="K49" s="268">
        <f t="shared" si="3"/>
        <v>0</v>
      </c>
      <c r="M49" s="268">
        <f t="shared" si="4"/>
        <v>0</v>
      </c>
      <c r="O49" s="270"/>
      <c r="Q49" s="28"/>
      <c r="S49" s="18">
        <v>0</v>
      </c>
      <c r="U49" s="18">
        <f t="shared" si="12"/>
        <v>137.93427659999193</v>
      </c>
      <c r="W49" s="18">
        <f t="shared" si="5"/>
        <v>-137.93427659999193</v>
      </c>
      <c r="Y49" s="271">
        <f t="shared" si="6"/>
        <v>-61.168193614187103</v>
      </c>
      <c r="Z49" s="235"/>
      <c r="AB49" s="146">
        <f>+IF(AB48&gt;$G$13+$G$14,XX,AB48+1)</f>
        <v>2022</v>
      </c>
      <c r="AC49" s="117"/>
      <c r="AD49" s="151">
        <f t="shared" si="22"/>
        <v>2255</v>
      </c>
      <c r="AF49" s="154">
        <f t="shared" si="13"/>
        <v>92.642060832278915</v>
      </c>
      <c r="AH49" s="154">
        <f t="shared" si="14"/>
        <v>11.368411825423641</v>
      </c>
      <c r="AJ49" s="154">
        <f t="shared" si="15"/>
        <v>2.6557685333647241</v>
      </c>
      <c r="AL49" s="153">
        <f t="shared" si="23"/>
        <v>40.689530350661258</v>
      </c>
      <c r="AN49" s="154">
        <f>INDEX('(2.2)_Forward_Price_Curve'!$G:$G,MATCH($AB49,'(2.2)_Forward_Price_Curve'!$C:$C,0),1)</f>
        <v>5.72</v>
      </c>
      <c r="AP49" s="154">
        <f t="shared" si="24"/>
        <v>40.976597326057295</v>
      </c>
      <c r="AR49" s="154">
        <f t="shared" si="16"/>
        <v>5.4214907701043398</v>
      </c>
      <c r="AS49" s="154"/>
      <c r="AT49" s="153">
        <f t="shared" si="25"/>
        <v>33.306587943147449</v>
      </c>
      <c r="AV49" s="153">
        <f t="shared" si="26"/>
        <v>104.62768865684448</v>
      </c>
      <c r="AW49" s="273"/>
      <c r="AX49" s="155">
        <f t="shared" si="27"/>
        <v>137.93427659999193</v>
      </c>
      <c r="AZ49" s="146">
        <f>+IF(AZ48&gt;$G$13+$G$14,XX,AZ48+1)</f>
        <v>2022</v>
      </c>
      <c r="BA49" s="117"/>
      <c r="BB49" s="567">
        <f t="shared" si="17"/>
        <v>79.577571967462788</v>
      </c>
      <c r="BC49" s="557"/>
      <c r="BD49" s="567">
        <f t="shared" si="18"/>
        <v>17.301792545679959</v>
      </c>
      <c r="BE49" s="557"/>
      <c r="BF49" s="567">
        <f t="shared" si="28"/>
        <v>7.3829424075138066</v>
      </c>
      <c r="BH49" s="157"/>
    </row>
    <row r="50" spans="1:60" ht="12">
      <c r="B50" s="2"/>
      <c r="C50">
        <f>+IF(C49&gt;$G$13+$G$14,XX,C49+1)</f>
        <v>2023</v>
      </c>
      <c r="E50" s="169">
        <f>'(2.2)_Forward_Price_Curve'!$CZ$42</f>
        <v>2.5000000000000001E-2</v>
      </c>
      <c r="G50" s="18">
        <v>2255</v>
      </c>
      <c r="I50" s="268">
        <f t="shared" si="11"/>
        <v>72.977411543420203</v>
      </c>
      <c r="K50" s="268">
        <f t="shared" si="3"/>
        <v>0</v>
      </c>
      <c r="M50" s="268">
        <f t="shared" si="4"/>
        <v>0</v>
      </c>
      <c r="O50" s="270"/>
      <c r="Q50" s="28"/>
      <c r="S50" s="18">
        <v>0</v>
      </c>
      <c r="U50" s="18">
        <f t="shared" si="12"/>
        <v>141.17262845369572</v>
      </c>
      <c r="W50" s="18">
        <f t="shared" si="5"/>
        <v>-141.17262845369572</v>
      </c>
      <c r="Y50" s="271">
        <f t="shared" si="6"/>
        <v>-62.604269824255304</v>
      </c>
      <c r="Z50" s="235"/>
      <c r="AB50" s="146">
        <f>+IF(AB49&gt;$G$13+$G$14,XX,AB49+1)</f>
        <v>2023</v>
      </c>
      <c r="AC50" s="117"/>
      <c r="AD50" s="151">
        <f t="shared" si="22"/>
        <v>2255</v>
      </c>
      <c r="AF50" s="154">
        <f t="shared" si="13"/>
        <v>94.95811235308588</v>
      </c>
      <c r="AH50" s="154">
        <f t="shared" si="14"/>
        <v>11.652622121059231</v>
      </c>
      <c r="AJ50" s="154">
        <f t="shared" si="15"/>
        <v>2.7221627466988418</v>
      </c>
      <c r="AL50" s="153">
        <f t="shared" si="23"/>
        <v>41.706768609427783</v>
      </c>
      <c r="AN50" s="154">
        <f>INDEX('(2.2)_Forward_Price_Curve'!$G:$G,MATCH($AB50,'(2.2)_Forward_Price_Curve'!$C:$C,0),1)</f>
        <v>5.85</v>
      </c>
      <c r="AP50" s="154">
        <f t="shared" si="24"/>
        <v>41.907883628922235</v>
      </c>
      <c r="AR50" s="154">
        <f t="shared" si="16"/>
        <v>5.5570280393569478</v>
      </c>
      <c r="AS50" s="154"/>
      <c r="AT50" s="153">
        <f t="shared" si="25"/>
        <v>34.139252641726131</v>
      </c>
      <c r="AV50" s="153">
        <f t="shared" si="26"/>
        <v>107.03337581196958</v>
      </c>
      <c r="AW50" s="273"/>
      <c r="AX50" s="155">
        <f t="shared" si="27"/>
        <v>141.17262845369572</v>
      </c>
      <c r="AZ50" s="146">
        <f>+IF(AZ49&gt;$G$13+$G$14,XX,AZ49+1)</f>
        <v>2023</v>
      </c>
      <c r="BA50" s="117"/>
      <c r="BB50" s="567">
        <f t="shared" si="17"/>
        <v>81.567011266649345</v>
      </c>
      <c r="BC50" s="557"/>
      <c r="BD50" s="567">
        <f t="shared" si="18"/>
        <v>17.734337359321955</v>
      </c>
      <c r="BE50" s="557"/>
      <c r="BF50" s="567">
        <f t="shared" si="28"/>
        <v>7.5675159677016506</v>
      </c>
      <c r="BH50" s="157"/>
    </row>
    <row r="51" spans="1:60" ht="12">
      <c r="B51" s="2"/>
      <c r="C51">
        <f>+IF(C50&gt;$G$13+$G$14,XX,C50+1)</f>
        <v>2024</v>
      </c>
      <c r="E51" s="169">
        <f>'(2.2)_Forward_Price_Curve'!$CZ$42</f>
        <v>2.5000000000000001E-2</v>
      </c>
      <c r="G51" s="18">
        <v>2255</v>
      </c>
      <c r="I51" s="268">
        <f t="shared" si="11"/>
        <v>74.801846832005708</v>
      </c>
      <c r="K51" s="268">
        <f t="shared" si="3"/>
        <v>0</v>
      </c>
      <c r="M51" s="268">
        <f t="shared" si="4"/>
        <v>0</v>
      </c>
      <c r="O51" s="270"/>
      <c r="Q51" s="28"/>
      <c r="S51" s="18">
        <v>0</v>
      </c>
      <c r="U51" s="18">
        <f t="shared" si="12"/>
        <v>144.70194416503807</v>
      </c>
      <c r="W51" s="18">
        <f t="shared" si="5"/>
        <v>-144.70194416503807</v>
      </c>
      <c r="Y51" s="271">
        <f t="shared" si="6"/>
        <v>-64.169376569861669</v>
      </c>
      <c r="Z51" s="235"/>
      <c r="AB51" s="146">
        <f>+IF(AB50&gt;$G$13+$G$14,XX,AB50+1)</f>
        <v>2024</v>
      </c>
      <c r="AC51" s="117"/>
      <c r="AD51" s="151">
        <f t="shared" si="22"/>
        <v>2255</v>
      </c>
      <c r="AF51" s="154">
        <f t="shared" si="13"/>
        <v>97.332065161913022</v>
      </c>
      <c r="AH51" s="154">
        <f t="shared" si="14"/>
        <v>11.943937674085712</v>
      </c>
      <c r="AJ51" s="154">
        <f t="shared" si="15"/>
        <v>2.7902168153663127</v>
      </c>
      <c r="AL51" s="153">
        <f t="shared" si="23"/>
        <v>42.749437824663481</v>
      </c>
      <c r="AN51" s="154">
        <f>INDEX('(2.2)_Forward_Price_Curve'!$G:$G,MATCH($AB51,'(2.2)_Forward_Price_Curve'!$C:$C,0),1)</f>
        <v>5.996249999999999</v>
      </c>
      <c r="AP51" s="154">
        <f t="shared" si="24"/>
        <v>42.95558071964529</v>
      </c>
      <c r="AR51" s="154">
        <f t="shared" si="16"/>
        <v>5.6959537403408707</v>
      </c>
      <c r="AS51" s="154"/>
      <c r="AT51" s="153">
        <f t="shared" si="25"/>
        <v>34.992733957769289</v>
      </c>
      <c r="AV51" s="153">
        <f t="shared" si="26"/>
        <v>109.70921020726878</v>
      </c>
      <c r="AW51" s="273"/>
      <c r="AX51" s="155">
        <f t="shared" si="27"/>
        <v>144.70194416503807</v>
      </c>
      <c r="AZ51" s="146">
        <f>+IF(AZ50&gt;$G$13+$G$14,XX,AZ50+1)</f>
        <v>2024</v>
      </c>
      <c r="BA51" s="117"/>
      <c r="BB51" s="567">
        <f t="shared" si="17"/>
        <v>83.606186548315577</v>
      </c>
      <c r="BC51" s="557"/>
      <c r="BD51" s="567">
        <f t="shared" si="18"/>
        <v>18.177695793305002</v>
      </c>
      <c r="BE51" s="557"/>
      <c r="BF51" s="567">
        <f t="shared" si="28"/>
        <v>7.7567038668941919</v>
      </c>
      <c r="BH51" s="157"/>
    </row>
    <row r="52" spans="1:60" ht="12">
      <c r="B52" s="2"/>
      <c r="C52">
        <f>+IF(C51&gt;$G$13+$G$14,XX,C51+1)</f>
        <v>2025</v>
      </c>
      <c r="E52" s="169">
        <f>'(2.2)_Forward_Price_Curve'!$CZ$42</f>
        <v>2.5000000000000001E-2</v>
      </c>
      <c r="G52" s="18">
        <v>2255</v>
      </c>
      <c r="I52" s="268">
        <f t="shared" si="11"/>
        <v>76.671893002805845</v>
      </c>
      <c r="K52" s="268">
        <f t="shared" si="3"/>
        <v>0</v>
      </c>
      <c r="M52" s="268">
        <f t="shared" si="4"/>
        <v>0</v>
      </c>
      <c r="O52" s="270"/>
      <c r="Q52" s="28"/>
      <c r="S52" s="18">
        <v>0</v>
      </c>
      <c r="U52" s="18">
        <f t="shared" si="12"/>
        <v>148.31949276916401</v>
      </c>
      <c r="W52" s="18">
        <f t="shared" si="5"/>
        <v>-148.31949276916401</v>
      </c>
      <c r="Y52" s="271">
        <f t="shared" si="6"/>
        <v>-65.773610984108203</v>
      </c>
      <c r="Z52" s="235"/>
      <c r="AB52" s="146">
        <f>+IF(AB51&gt;$G$13+$G$14,XX,AB51+1)</f>
        <v>2025</v>
      </c>
      <c r="AC52" s="117"/>
      <c r="AD52" s="151">
        <f t="shared" si="22"/>
        <v>2255</v>
      </c>
      <c r="AF52" s="154">
        <f t="shared" si="13"/>
        <v>99.76536679096084</v>
      </c>
      <c r="AH52" s="154">
        <f t="shared" si="14"/>
        <v>12.242536115937854</v>
      </c>
      <c r="AJ52" s="154">
        <f t="shared" si="15"/>
        <v>2.8599722357504702</v>
      </c>
      <c r="AL52" s="153">
        <f t="shared" si="23"/>
        <v>43.818173770280055</v>
      </c>
      <c r="AN52" s="154">
        <f>INDEX('(2.2)_Forward_Price_Curve'!$G:$G,MATCH($AB52,'(2.2)_Forward_Price_Curve'!$C:$C,0),1)</f>
        <v>6.146156249999998</v>
      </c>
      <c r="AP52" s="154">
        <f t="shared" si="24"/>
        <v>44.029470237636417</v>
      </c>
      <c r="AR52" s="154">
        <f t="shared" si="16"/>
        <v>5.8383525838493915</v>
      </c>
      <c r="AS52" s="154"/>
      <c r="AT52" s="153">
        <f t="shared" si="25"/>
        <v>35.867552306713506</v>
      </c>
      <c r="AV52" s="153">
        <f t="shared" si="26"/>
        <v>112.45194046245049</v>
      </c>
      <c r="AW52" s="273"/>
      <c r="AX52" s="155">
        <f t="shared" si="27"/>
        <v>148.31949276916401</v>
      </c>
      <c r="AZ52" s="146">
        <f>+IF(AZ51&gt;$G$13+$G$14,XX,AZ51+1)</f>
        <v>2025</v>
      </c>
      <c r="BA52" s="117"/>
      <c r="BB52" s="567">
        <f t="shared" si="17"/>
        <v>85.696341212023455</v>
      </c>
      <c r="BC52" s="557"/>
      <c r="BD52" s="567">
        <f t="shared" si="18"/>
        <v>18.632138188137624</v>
      </c>
      <c r="BE52" s="557"/>
      <c r="BF52" s="567">
        <f t="shared" si="28"/>
        <v>7.9506214635665451</v>
      </c>
      <c r="BH52" s="157"/>
    </row>
    <row r="53" spans="1:60" ht="12">
      <c r="B53" s="2"/>
      <c r="C53">
        <f>+IF(C52&gt;$G$13+$G$14,XX,C52+1)</f>
        <v>2026</v>
      </c>
      <c r="E53" s="169">
        <f>'(2.2)_Forward_Price_Curve'!$CZ$42</f>
        <v>2.5000000000000001E-2</v>
      </c>
      <c r="G53" s="18">
        <v>2255</v>
      </c>
      <c r="I53" s="268">
        <f t="shared" si="11"/>
        <v>78.58869032787598</v>
      </c>
      <c r="K53" s="268">
        <f t="shared" si="3"/>
        <v>0</v>
      </c>
      <c r="M53" s="268">
        <f t="shared" si="4"/>
        <v>0</v>
      </c>
      <c r="O53" s="270"/>
      <c r="Q53" s="28"/>
      <c r="S53" s="18">
        <v>0</v>
      </c>
      <c r="U53" s="18">
        <f t="shared" si="12"/>
        <v>152.02748008839308</v>
      </c>
      <c r="W53" s="18">
        <f t="shared" si="5"/>
        <v>-152.02748008839308</v>
      </c>
      <c r="Y53" s="271">
        <f t="shared" si="6"/>
        <v>-67.4179512587109</v>
      </c>
      <c r="Z53" s="235"/>
      <c r="AB53" s="146">
        <f>+IF(AB52&gt;$G$13+$G$14,XX,AB52+1)</f>
        <v>2026</v>
      </c>
      <c r="AC53" s="117"/>
      <c r="AD53" s="151">
        <f t="shared" si="22"/>
        <v>2255</v>
      </c>
      <c r="AF53" s="154">
        <f t="shared" si="13"/>
        <v>102.25950096073485</v>
      </c>
      <c r="AH53" s="154">
        <f t="shared" si="14"/>
        <v>12.5485995188363</v>
      </c>
      <c r="AJ53" s="154">
        <f t="shared" si="15"/>
        <v>2.9314715416442318</v>
      </c>
      <c r="AL53" s="153">
        <f t="shared" si="23"/>
        <v>44.913628114537048</v>
      </c>
      <c r="AN53" s="154">
        <f>INDEX('(2.2)_Forward_Price_Curve'!$G:$G,MATCH($AB53,'(2.2)_Forward_Price_Curve'!$C:$C,0),1)</f>
        <v>6.2998101562499977</v>
      </c>
      <c r="AP53" s="154">
        <f t="shared" si="24"/>
        <v>45.130206993577318</v>
      </c>
      <c r="AR53" s="154">
        <f t="shared" si="16"/>
        <v>5.9843113984456258</v>
      </c>
      <c r="AS53" s="154"/>
      <c r="AT53" s="153">
        <f t="shared" si="25"/>
        <v>36.764241114381335</v>
      </c>
      <c r="AV53" s="153">
        <f t="shared" si="26"/>
        <v>115.26323897401174</v>
      </c>
      <c r="AW53" s="273"/>
      <c r="AX53" s="155">
        <f t="shared" si="27"/>
        <v>152.02748008839308</v>
      </c>
      <c r="AZ53" s="146">
        <f>+IF(AZ52&gt;$G$13+$G$14,XX,AZ52+1)</f>
        <v>2026</v>
      </c>
      <c r="BA53" s="117"/>
      <c r="BB53" s="567">
        <f t="shared" si="17"/>
        <v>87.83874974232404</v>
      </c>
      <c r="BC53" s="557"/>
      <c r="BD53" s="567">
        <f t="shared" si="18"/>
        <v>19.097941642841064</v>
      </c>
      <c r="BE53" s="557"/>
      <c r="BF53" s="567">
        <f t="shared" si="28"/>
        <v>8.1493870001557092</v>
      </c>
      <c r="BH53" s="157"/>
    </row>
    <row r="54" spans="1:60" ht="12">
      <c r="B54" s="2"/>
      <c r="C54">
        <f>+IF(C53&gt;$G$13+$G$14,XX,C53+1)</f>
        <v>2027</v>
      </c>
      <c r="E54" s="169">
        <f>'(2.2)_Forward_Price_Curve'!$CZ$42</f>
        <v>2.5000000000000001E-2</v>
      </c>
      <c r="G54" s="18">
        <v>2255</v>
      </c>
      <c r="I54" s="268">
        <f t="shared" si="11"/>
        <v>80.553407586072879</v>
      </c>
      <c r="K54" s="268">
        <f t="shared" si="3"/>
        <v>0</v>
      </c>
      <c r="M54" s="268">
        <f t="shared" si="4"/>
        <v>0</v>
      </c>
      <c r="O54" s="270"/>
      <c r="Q54" s="28"/>
      <c r="S54" s="18">
        <v>0</v>
      </c>
      <c r="U54" s="18">
        <f t="shared" si="12"/>
        <v>155.8281670906029</v>
      </c>
      <c r="W54" s="18">
        <f t="shared" si="5"/>
        <v>-155.8281670906029</v>
      </c>
      <c r="Y54" s="271">
        <f t="shared" si="6"/>
        <v>-69.103400040178684</v>
      </c>
      <c r="Z54" s="235"/>
      <c r="AB54" s="146">
        <f>+IF(AB53&gt;$G$13+$G$14,XX,AB53+1)</f>
        <v>2027</v>
      </c>
      <c r="AC54" s="117"/>
      <c r="AD54" s="151">
        <f t="shared" si="22"/>
        <v>2255</v>
      </c>
      <c r="AF54" s="154">
        <f t="shared" si="13"/>
        <v>104.81598848475322</v>
      </c>
      <c r="AH54" s="154">
        <f t="shared" si="14"/>
        <v>12.862314506807206</v>
      </c>
      <c r="AJ54" s="154">
        <f t="shared" si="15"/>
        <v>3.0047583301853376</v>
      </c>
      <c r="AL54" s="153">
        <f t="shared" si="23"/>
        <v>46.036468817400468</v>
      </c>
      <c r="AN54" s="154">
        <f>INDEX('(2.2)_Forward_Price_Curve'!$G:$G,MATCH($AB54,'(2.2)_Forward_Price_Curve'!$C:$C,0),1)</f>
        <v>6.4573054101562475</v>
      </c>
      <c r="AP54" s="154">
        <f t="shared" si="24"/>
        <v>46.258462168416749</v>
      </c>
      <c r="AR54" s="154">
        <f t="shared" si="16"/>
        <v>6.1339191834067659</v>
      </c>
      <c r="AS54" s="154"/>
      <c r="AT54" s="153">
        <f t="shared" si="25"/>
        <v>37.683347142240869</v>
      </c>
      <c r="AV54" s="153">
        <f t="shared" si="26"/>
        <v>118.14481994836203</v>
      </c>
      <c r="AW54" s="273"/>
      <c r="AX54" s="155">
        <f t="shared" si="27"/>
        <v>155.8281670906029</v>
      </c>
      <c r="AZ54" s="146">
        <f>+IF(AZ53&gt;$G$13+$G$14,XX,AZ53+1)</f>
        <v>2027</v>
      </c>
      <c r="BA54" s="117"/>
      <c r="BB54" s="567">
        <f t="shared" si="17"/>
        <v>90.034718485882138</v>
      </c>
      <c r="BC54" s="557"/>
      <c r="BD54" s="567">
        <f t="shared" si="18"/>
        <v>19.575390183912088</v>
      </c>
      <c r="BE54" s="557"/>
      <c r="BF54" s="567">
        <f t="shared" si="28"/>
        <v>8.3531216751596009</v>
      </c>
      <c r="BH54" s="157"/>
    </row>
    <row r="55" spans="1:60" ht="12">
      <c r="B55" s="2"/>
      <c r="C55">
        <f>+IF(C54&gt;$G$13+$G$14,XX,C54+1)</f>
        <v>2028</v>
      </c>
      <c r="E55" s="169">
        <f>'(2.2)_Forward_Price_Curve'!$CZ$42</f>
        <v>2.5000000000000001E-2</v>
      </c>
      <c r="G55" s="18">
        <v>2255</v>
      </c>
      <c r="I55" s="268">
        <f t="shared" si="11"/>
        <v>82.567242775724694</v>
      </c>
      <c r="K55" s="268">
        <f t="shared" si="3"/>
        <v>0</v>
      </c>
      <c r="M55" s="268">
        <f t="shared" si="4"/>
        <v>0</v>
      </c>
      <c r="O55" s="270"/>
      <c r="Q55" s="28"/>
      <c r="S55" s="18">
        <v>0</v>
      </c>
      <c r="U55" s="18">
        <f t="shared" si="12"/>
        <v>159.72387126786796</v>
      </c>
      <c r="W55" s="18">
        <f t="shared" si="5"/>
        <v>-159.72387126786796</v>
      </c>
      <c r="Y55" s="271">
        <f t="shared" si="6"/>
        <v>-70.830985041183141</v>
      </c>
      <c r="Z55" s="235"/>
      <c r="AB55" s="146">
        <f>+IF(AB54&gt;$G$13+$G$14,XX,AB54+1)</f>
        <v>2028</v>
      </c>
      <c r="AC55" s="117"/>
      <c r="AD55" s="151">
        <f t="shared" si="22"/>
        <v>2255</v>
      </c>
      <c r="AF55" s="154">
        <f t="shared" si="13"/>
        <v>107.43638819687204</v>
      </c>
      <c r="AH55" s="154">
        <f t="shared" si="14"/>
        <v>13.183872369477385</v>
      </c>
      <c r="AJ55" s="154">
        <f t="shared" si="15"/>
        <v>3.0798772884399708</v>
      </c>
      <c r="AL55" s="153">
        <f t="shared" si="23"/>
        <v>47.187380537835487</v>
      </c>
      <c r="AN55" s="154">
        <f>INDEX('(2.2)_Forward_Price_Curve'!$G:$G,MATCH($AB55,'(2.2)_Forward_Price_Curve'!$C:$C,0),1)</f>
        <v>6.6187380454101534</v>
      </c>
      <c r="AP55" s="154">
        <f t="shared" si="24"/>
        <v>47.414923722627172</v>
      </c>
      <c r="AR55" s="154">
        <f t="shared" si="16"/>
        <v>6.2872671629919346</v>
      </c>
      <c r="AS55" s="154"/>
      <c r="AT55" s="153">
        <f t="shared" si="25"/>
        <v>38.6254308207969</v>
      </c>
      <c r="AV55" s="153">
        <f t="shared" si="26"/>
        <v>121.09844044707107</v>
      </c>
      <c r="AW55" s="273"/>
      <c r="AX55" s="155">
        <f t="shared" si="27"/>
        <v>159.72387126786796</v>
      </c>
      <c r="AZ55" s="146">
        <f>+IF(AZ54&gt;$G$13+$G$14,XX,AZ54+1)</f>
        <v>2028</v>
      </c>
      <c r="BA55" s="117"/>
      <c r="BB55" s="567">
        <f t="shared" si="17"/>
        <v>92.285586448029179</v>
      </c>
      <c r="BC55" s="557"/>
      <c r="BD55" s="567">
        <f t="shared" si="18"/>
        <v>20.064774938509888</v>
      </c>
      <c r="BE55" s="557"/>
      <c r="BF55" s="567">
        <f t="shared" si="28"/>
        <v>8.5619497170385888</v>
      </c>
      <c r="BH55" s="157"/>
    </row>
    <row r="56" spans="1:60" ht="12">
      <c r="B56" s="2"/>
      <c r="C56">
        <f>+IF(C55&gt;$G$13+$G$14,XX,C55+1)</f>
        <v>2029</v>
      </c>
      <c r="E56" s="169">
        <f>'(2.2)_Forward_Price_Curve'!$CZ$42</f>
        <v>2.5000000000000001E-2</v>
      </c>
      <c r="G56" s="18">
        <v>2255</v>
      </c>
      <c r="I56" s="268">
        <f t="shared" si="11"/>
        <v>84.631423845117808</v>
      </c>
      <c r="K56" s="268">
        <f t="shared" si="3"/>
        <v>0</v>
      </c>
      <c r="M56" s="268">
        <f t="shared" si="4"/>
        <v>0</v>
      </c>
      <c r="O56" s="270"/>
      <c r="Q56" s="28"/>
      <c r="S56" s="18">
        <v>0</v>
      </c>
      <c r="U56" s="18">
        <f t="shared" si="12"/>
        <v>163.71696804956468</v>
      </c>
      <c r="W56" s="18">
        <f t="shared" si="5"/>
        <v>-163.71696804956468</v>
      </c>
      <c r="Y56" s="271">
        <f t="shared" si="6"/>
        <v>-72.601759667212718</v>
      </c>
      <c r="Z56" s="235"/>
      <c r="AB56" s="146">
        <f>+IF(AB55&gt;$G$13+$G$14,XX,AB55+1)</f>
        <v>2029</v>
      </c>
      <c r="AC56" s="117"/>
      <c r="AD56" s="151">
        <f t="shared" si="22"/>
        <v>2255</v>
      </c>
      <c r="AF56" s="154">
        <f t="shared" si="13"/>
        <v>110.12229790179384</v>
      </c>
      <c r="AH56" s="154">
        <f t="shared" si="14"/>
        <v>13.513469178714319</v>
      </c>
      <c r="AJ56" s="154">
        <f t="shared" si="15"/>
        <v>3.1568742206509697</v>
      </c>
      <c r="AL56" s="153">
        <f t="shared" si="23"/>
        <v>48.367065051281372</v>
      </c>
      <c r="AN56" s="154">
        <f>INDEX('(2.2)_Forward_Price_Curve'!$G:$G,MATCH($AB56,'(2.2)_Forward_Price_Curve'!$C:$C,0),1)</f>
        <v>6.7842064965454068</v>
      </c>
      <c r="AP56" s="154">
        <f t="shared" si="24"/>
        <v>48.60029681569285</v>
      </c>
      <c r="AR56" s="154">
        <f t="shared" si="16"/>
        <v>6.4444488420667323</v>
      </c>
      <c r="AS56" s="154"/>
      <c r="AT56" s="153">
        <f t="shared" si="25"/>
        <v>39.591066591316817</v>
      </c>
      <c r="AV56" s="153">
        <f t="shared" si="26"/>
        <v>124.12590145824785</v>
      </c>
      <c r="AW56" s="273"/>
      <c r="AX56" s="155">
        <f t="shared" si="27"/>
        <v>163.71696804956468</v>
      </c>
      <c r="AZ56" s="146">
        <f>+IF(AZ55&gt;$G$13+$G$14,XX,AZ55+1)</f>
        <v>2029</v>
      </c>
      <c r="BA56" s="117"/>
      <c r="BB56" s="567">
        <f t="shared" si="17"/>
        <v>94.592726109229901</v>
      </c>
      <c r="BC56" s="557"/>
      <c r="BD56" s="567">
        <f t="shared" si="18"/>
        <v>20.566394311972633</v>
      </c>
      <c r="BE56" s="557"/>
      <c r="BF56" s="567">
        <f t="shared" si="28"/>
        <v>8.7759984599645531</v>
      </c>
      <c r="BH56" s="157"/>
    </row>
    <row r="57" spans="1:60" ht="12">
      <c r="B57" s="2"/>
      <c r="C57">
        <f>+IF(C56&gt;$G$13+$G$14,XX,C56+1)</f>
        <v>2030</v>
      </c>
      <c r="E57" s="169">
        <f>'(2.2)_Forward_Price_Curve'!$CZ$42</f>
        <v>2.5000000000000001E-2</v>
      </c>
      <c r="G57" s="18">
        <v>2255</v>
      </c>
      <c r="I57" s="268">
        <f t="shared" si="11"/>
        <v>86.747209441245744</v>
      </c>
      <c r="K57" s="268">
        <f t="shared" si="3"/>
        <v>0</v>
      </c>
      <c r="M57" s="268">
        <f t="shared" si="4"/>
        <v>0</v>
      </c>
      <c r="O57" s="270"/>
      <c r="Q57" s="28"/>
      <c r="S57" s="18">
        <v>0</v>
      </c>
      <c r="U57" s="18">
        <f t="shared" si="12"/>
        <v>167.80989225080376</v>
      </c>
      <c r="W57" s="18">
        <f t="shared" si="5"/>
        <v>-167.80989225080376</v>
      </c>
      <c r="Y57" s="271">
        <f t="shared" si="6"/>
        <v>-74.416803658893016</v>
      </c>
      <c r="Z57" s="235"/>
      <c r="AB57" s="146">
        <f>+IF(AB56&gt;$G$13+$G$14,XX,AB56+1)</f>
        <v>2030</v>
      </c>
      <c r="AC57" s="117"/>
      <c r="AD57" s="151">
        <f t="shared" si="22"/>
        <v>2255</v>
      </c>
      <c r="AF57" s="154">
        <f t="shared" si="13"/>
        <v>112.87535534933868</v>
      </c>
      <c r="AH57" s="154">
        <f t="shared" si="14"/>
        <v>13.851305908182175</v>
      </c>
      <c r="AJ57" s="154">
        <f t="shared" si="15"/>
        <v>3.2357960761672437</v>
      </c>
      <c r="AL57" s="153">
        <f t="shared" si="23"/>
        <v>49.576241677563402</v>
      </c>
      <c r="AN57" s="154">
        <f>INDEX('(2.2)_Forward_Price_Curve'!$G:$G,MATCH($AB57,'(2.2)_Forward_Price_Curve'!$C:$C,0),1)</f>
        <v>6.9538116589590411</v>
      </c>
      <c r="AP57" s="154">
        <f t="shared" si="24"/>
        <v>49.815304236085161</v>
      </c>
      <c r="AR57" s="154">
        <f t="shared" si="16"/>
        <v>6.6055600631183999</v>
      </c>
      <c r="AS57" s="154"/>
      <c r="AT57" s="153">
        <f t="shared" si="25"/>
        <v>40.58084325609974</v>
      </c>
      <c r="AV57" s="153">
        <f t="shared" si="26"/>
        <v>127.22904899470402</v>
      </c>
      <c r="AW57" s="273"/>
      <c r="AX57" s="155">
        <f t="shared" si="27"/>
        <v>167.80989225080376</v>
      </c>
      <c r="AZ57" s="146">
        <f>+IF(AZ56&gt;$G$13+$G$14,XX,AZ56+1)</f>
        <v>2030</v>
      </c>
      <c r="BA57" s="117"/>
      <c r="BB57" s="567">
        <f t="shared" si="17"/>
        <v>96.957544261960635</v>
      </c>
      <c r="BC57" s="557"/>
      <c r="BD57" s="567">
        <f t="shared" si="18"/>
        <v>21.080554169771947</v>
      </c>
      <c r="BE57" s="557"/>
      <c r="BF57" s="567">
        <f t="shared" si="28"/>
        <v>8.9953984214636655</v>
      </c>
      <c r="BH57" s="157"/>
    </row>
    <row r="58" spans="1:60" ht="12">
      <c r="A58" s="235"/>
      <c r="E58" s="169"/>
      <c r="G58" s="18"/>
      <c r="I58" s="28"/>
      <c r="K58" s="28"/>
      <c r="M58" s="28"/>
      <c r="O58" s="270"/>
      <c r="Q58" s="28"/>
      <c r="S58" s="18"/>
      <c r="U58" s="18"/>
      <c r="W58" s="18"/>
      <c r="Y58" s="271"/>
      <c r="Z58" s="235"/>
      <c r="AB58" s="146"/>
      <c r="AC58" s="117"/>
      <c r="AD58" s="151"/>
      <c r="AF58" s="154"/>
      <c r="AH58" s="154"/>
      <c r="AJ58" s="154"/>
      <c r="AL58" s="153"/>
      <c r="AN58" s="154"/>
      <c r="AP58" s="154"/>
      <c r="AR58" s="154"/>
      <c r="AS58" s="154"/>
      <c r="AT58" s="153"/>
      <c r="AV58" s="153"/>
      <c r="AW58" s="273"/>
      <c r="AX58" s="155"/>
      <c r="AZ58" s="146"/>
      <c r="BA58" s="117"/>
      <c r="BB58" s="154"/>
      <c r="BD58" s="154"/>
      <c r="BF58" s="153"/>
      <c r="BH58" s="235"/>
    </row>
    <row r="59" spans="1:60" ht="12">
      <c r="A59" s="235"/>
      <c r="C59" s="4" t="str">
        <f>G14&amp;"-year Nominal Levelized at "&amp;TEXT($G$18,"#.00%")</f>
        <v>30-year Nominal Levelized at 8.70%</v>
      </c>
      <c r="E59" s="169"/>
      <c r="G59" s="285">
        <f>+-PMT($G$18,$G$14,NPV($G$18,G28:G57))</f>
        <v>2255.0000000000005</v>
      </c>
      <c r="I59" s="28">
        <f>+-PMT($G$18,$G$14,NPV($G$18,I54:I57))</f>
        <v>25.775415459022575</v>
      </c>
      <c r="J59" s="28"/>
      <c r="K59" s="28">
        <f>+-PMT($G$18,$G$14,NPV($G$18,K54:K57))</f>
        <v>0</v>
      </c>
      <c r="M59" s="28">
        <f>+-PMT($G$18,$G$14,NPV($G$18,M54:M57))</f>
        <v>0</v>
      </c>
      <c r="O59" s="28">
        <f>+-PMT($G$18,$G$14,NPV($G$18,O54:O57))</f>
        <v>0</v>
      </c>
      <c r="Q59" s="28">
        <f>+-PMT($G$18,$G$14,NPV($G$18,Q54:Q57))</f>
        <v>0</v>
      </c>
      <c r="S59" s="285">
        <f>+-PMT($G$18,$G$14,NPV($G$18,S28:S57))</f>
        <v>61.588085716151504</v>
      </c>
      <c r="U59" s="285">
        <f>+-PMT($G$18,$G$14,NPV($G$18,U28:U57))</f>
        <v>105.19606522217667</v>
      </c>
      <c r="W59" s="285">
        <f>+-PMT($G$18,$G$14,NPV($G$18,W28:W57))</f>
        <v>-43.60797950602516</v>
      </c>
      <c r="Y59" s="285">
        <f>+-PMT($G$18,$G$14,NPV($G$18,Y28:Y57))</f>
        <v>-19.338350113536656</v>
      </c>
      <c r="Z59" s="235"/>
      <c r="AB59" s="2"/>
      <c r="AD59" s="412">
        <f>+-PMT($G$18,$G$14,NPV($G$18,AD28:AD57))</f>
        <v>2255.0000000000005</v>
      </c>
      <c r="AF59" s="285">
        <f>+-PMT($G$18,$G$14,NPV($G$18,AF28:AF57))</f>
        <v>69.82401002648038</v>
      </c>
      <c r="AH59" s="285">
        <f>+-PMT($G$18,$G$14,NPV($G$18,AH28:AH57))</f>
        <v>8.5683338016479276</v>
      </c>
      <c r="AJ59" s="154">
        <f>+-PMT($G$18,$G$14,NPV($G$18,AJ54:AJ57))</f>
        <v>0.96146018691674062</v>
      </c>
      <c r="AL59" s="285">
        <f>+-PMT($G$18,$G$14,NPV($G$18,AL28:AL57))</f>
        <v>30.667562332415592</v>
      </c>
      <c r="AN59" s="285">
        <f>+-PMT($G$18,$G$14,NPV($G$18,AN28:AN57))</f>
        <v>4.3876240658975956</v>
      </c>
      <c r="AP59" s="285">
        <f>+-PMT($G$18,$G$14,NPV($G$18,AP28:AP57))</f>
        <v>31.43180149762307</v>
      </c>
      <c r="AR59" s="285">
        <f>+-PMT($G$18,$G$14,NPV($G$18,AR28:AR57))</f>
        <v>4.0861593804089846</v>
      </c>
      <c r="AS59" s="154"/>
      <c r="AT59" s="285">
        <f>+-PMT($G$18,$G$14,NPV($G$18,AT28:AT57))</f>
        <v>25.103063442214342</v>
      </c>
      <c r="AV59" s="285">
        <f>+-PMT($G$18,$G$14,NPV($G$18,AV28:AV57))</f>
        <v>80.093001779962322</v>
      </c>
      <c r="AW59" s="273"/>
      <c r="AX59" s="285">
        <f>+-PMT($G$18,$G$14,NPV($G$18,AX28:AX57))</f>
        <v>105.19606522217667</v>
      </c>
      <c r="AZ59" s="2"/>
      <c r="BB59" s="285">
        <f>+-PMT($G$18,$G$14,NPV($G$18,BB28:BB57))</f>
        <v>59.977348658063157</v>
      </c>
      <c r="BC59" s="285"/>
      <c r="BD59" s="285">
        <f>+-PMT($G$18,$G$14,NPV($G$18,BD28:BD57))</f>
        <v>13.040302917837453</v>
      </c>
      <c r="BE59" s="285"/>
      <c r="BF59" s="285">
        <f>+-PMT($G$18,$G$14,NPV($G$18,BF28:BF57))</f>
        <v>5.5644988902012358</v>
      </c>
      <c r="BH59" s="235"/>
    </row>
    <row r="60" spans="1:60">
      <c r="A60" s="235"/>
      <c r="E60" s="169"/>
      <c r="Z60" s="235"/>
      <c r="AA60" s="311"/>
      <c r="AX60" s="235"/>
      <c r="AY60" s="311"/>
      <c r="BH60" s="235"/>
    </row>
    <row r="61" spans="1:60">
      <c r="A61" s="235"/>
      <c r="E61" s="169"/>
      <c r="Z61" s="235"/>
      <c r="AA61" s="311"/>
      <c r="AX61" s="235"/>
      <c r="AY61" s="311"/>
      <c r="BH61" s="235"/>
    </row>
    <row r="62" spans="1:60">
      <c r="A62" s="235"/>
      <c r="B62" s="238"/>
      <c r="C62" s="277"/>
      <c r="D62" s="277"/>
      <c r="E62" s="278"/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/>
      <c r="Q62" s="277"/>
      <c r="R62" s="277"/>
      <c r="S62" s="277"/>
      <c r="T62" s="277"/>
      <c r="U62" s="277"/>
      <c r="V62" s="277"/>
      <c r="W62" s="277"/>
      <c r="X62" s="277"/>
      <c r="Y62" s="277"/>
      <c r="Z62" s="239"/>
      <c r="AA62" s="311"/>
      <c r="AB62" s="238"/>
      <c r="AC62" s="277"/>
      <c r="AD62" s="277"/>
      <c r="AE62" s="277"/>
      <c r="AF62" s="277"/>
      <c r="AG62" s="277"/>
      <c r="AH62" s="277"/>
      <c r="AI62" s="277"/>
      <c r="AJ62" s="277"/>
      <c r="AK62" s="277"/>
      <c r="AL62" s="277"/>
      <c r="AM62" s="277"/>
      <c r="AN62" s="277"/>
      <c r="AO62" s="277"/>
      <c r="AP62" s="277"/>
      <c r="AQ62" s="277"/>
      <c r="AR62" s="277"/>
      <c r="AS62" s="277"/>
      <c r="AT62" s="277"/>
      <c r="AU62" s="277"/>
      <c r="AV62" s="277"/>
      <c r="AW62" s="277"/>
      <c r="AX62" s="239"/>
      <c r="AY62" s="311"/>
      <c r="AZ62" s="238"/>
      <c r="BA62" s="277"/>
      <c r="BB62" s="277"/>
      <c r="BC62" s="277"/>
      <c r="BD62" s="277"/>
      <c r="BE62" s="277"/>
      <c r="BF62" s="277"/>
      <c r="BG62" s="277"/>
      <c r="BH62" s="239"/>
    </row>
    <row r="63" spans="1:60">
      <c r="E63" s="169"/>
    </row>
    <row r="64" spans="1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</sheetData>
  <pageMargins left="0.25" right="0.25" top="0.25" bottom="0.75" header="0.3" footer="0.3"/>
  <pageSetup paperSize="5" scale="4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4DE89-098C-46E6-BCA6-ABDDB396B720}">
  <sheetPr codeName="Sheet45">
    <tabColor theme="0" tint="-0.249977111117893"/>
    <pageSetUpPr fitToPage="1"/>
  </sheetPr>
  <dimension ref="A1:BH90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315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274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12</v>
      </c>
      <c r="H11" s="252"/>
      <c r="AB11" s="122" t="s">
        <v>99</v>
      </c>
      <c r="AC11" s="123"/>
      <c r="AD11" s="123"/>
      <c r="AE11" s="123"/>
      <c r="AF11" s="281">
        <f>+G11*(G12/AJ16)</f>
        <v>17.684200317916051</v>
      </c>
      <c r="AG11" s="127"/>
      <c r="AH11" s="123" t="s">
        <v>100</v>
      </c>
      <c r="AI11" s="124"/>
      <c r="AJ11" s="166">
        <f>'(2.1)_Proxy Resources'!N94</f>
        <v>7.5808934397681389</v>
      </c>
      <c r="AK11" s="235"/>
      <c r="AZ11" s="122" t="s">
        <v>99</v>
      </c>
      <c r="BA11" s="123"/>
      <c r="BB11" s="123"/>
      <c r="BC11" s="123"/>
      <c r="BD11" s="134">
        <f>(AF11*AF13-G11*G19)</f>
        <v>17.12380031791605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0.71755160536926277</v>
      </c>
      <c r="H12" s="252"/>
      <c r="AB12" s="122" t="s">
        <v>32</v>
      </c>
      <c r="AC12" s="123"/>
      <c r="AD12" s="123"/>
      <c r="AE12" s="123"/>
      <c r="AF12" s="131">
        <f>+AD64/8760/AF11</f>
        <v>0.60427529573102601</v>
      </c>
      <c r="AG12" s="127"/>
      <c r="AH12" s="117" t="s">
        <v>101</v>
      </c>
      <c r="AI12" s="118"/>
      <c r="AJ12" s="117">
        <v>2008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2007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Resources'!$O$94</f>
        <v>2.8538881199911357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26</v>
      </c>
      <c r="H14" s="252"/>
      <c r="AB14" s="122" t="s">
        <v>104</v>
      </c>
      <c r="AC14" s="123"/>
      <c r="AD14" s="123"/>
      <c r="AE14" s="123"/>
      <c r="AF14" s="134">
        <f>'(2.1)_Proxy Resources'!H94*(1+E28)</f>
        <v>7334.6650809422044</v>
      </c>
      <c r="AG14" s="127"/>
      <c r="AH14" s="117"/>
      <c r="AI14" s="118"/>
      <c r="AJ14" s="166"/>
      <c r="AK14" s="235"/>
      <c r="AZ14" s="122" t="s">
        <v>192</v>
      </c>
      <c r="BA14" s="123"/>
      <c r="BB14" s="123"/>
      <c r="BC14" s="123"/>
      <c r="BD14" s="167">
        <f>'(2.1)_Proxy Resources'!J95</f>
        <v>747</v>
      </c>
      <c r="BE14" s="132"/>
    </row>
    <row r="15" spans="1:57" ht="12">
      <c r="A15" t="s">
        <v>138</v>
      </c>
      <c r="B15" s="250"/>
      <c r="C15" s="231" t="s">
        <v>107</v>
      </c>
      <c r="D15" s="231"/>
      <c r="E15" s="231"/>
      <c r="F15" s="231"/>
      <c r="G15" s="283">
        <v>155.28087535603333</v>
      </c>
      <c r="H15" s="252"/>
      <c r="AB15" s="122" t="s">
        <v>192</v>
      </c>
      <c r="AC15" s="123"/>
      <c r="AD15" s="123"/>
      <c r="AE15" s="123"/>
      <c r="AF15" s="167">
        <f>'(2.1)_Proxy Resources'!J94</f>
        <v>1174.8198494434653</v>
      </c>
      <c r="AG15" s="127"/>
      <c r="AH15" s="117" t="s">
        <v>145</v>
      </c>
      <c r="AI15" s="118"/>
      <c r="AJ15" s="166">
        <f>'(2.1)_Proxy Resources'!$P$81</f>
        <v>2.302423580786026</v>
      </c>
      <c r="AK15" s="235"/>
      <c r="AZ15" s="122" t="s">
        <v>108</v>
      </c>
      <c r="BA15" s="123"/>
      <c r="BB15" s="123"/>
      <c r="BC15" s="123"/>
      <c r="BD15" s="136">
        <f>'(2.1)_Proxy Resources'!K95</f>
        <v>8.6199999999999999E-2</v>
      </c>
      <c r="BE15" s="132"/>
    </row>
    <row r="16" spans="1:57" ht="12">
      <c r="A16" t="s">
        <v>138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Resources'!K92</f>
        <v>8.5860000000000006E-2</v>
      </c>
      <c r="AG16" s="127"/>
      <c r="AH16" s="117" t="s">
        <v>110</v>
      </c>
      <c r="AI16" s="124"/>
      <c r="AJ16" s="137">
        <f>'(2.1)_Proxy Resources'!$D$81</f>
        <v>0.48691029900332239</v>
      </c>
      <c r="AK16" s="235"/>
      <c r="AZ16" s="122" t="s">
        <v>100</v>
      </c>
      <c r="BA16" s="124"/>
      <c r="BB16" s="166">
        <f>'(2.1)_Proxy Resources'!N95</f>
        <v>4.24</v>
      </c>
      <c r="BE16" s="130"/>
    </row>
    <row r="17" spans="1:60" ht="12">
      <c r="A17" t="s">
        <v>138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'(2.2)_Forward_Price_Curve'!AA5</f>
        <v>7.3164524549999999E-2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'(2.2)_Forward_Price_Curve'!I103</f>
        <v>4.6699999999999998E-2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2007</v>
      </c>
      <c r="E28" s="169">
        <f>'(2.2)_Forward_Price_Curve'!S34</f>
        <v>2.5999999999999999E-2</v>
      </c>
      <c r="G28" s="18">
        <v>76566</v>
      </c>
      <c r="I28" s="268">
        <f>$G$15*(1+E28)</f>
        <v>159.31817811529021</v>
      </c>
      <c r="J28" s="268"/>
      <c r="K28" s="268">
        <v>0</v>
      </c>
      <c r="L28" s="269"/>
      <c r="M28" s="268">
        <f>$G$17</f>
        <v>0</v>
      </c>
      <c r="O28" s="270">
        <v>0</v>
      </c>
      <c r="Q28" s="28">
        <v>-32.232590372125259</v>
      </c>
      <c r="S28" s="18">
        <f>(I28*$G$11*1000+(K28+M28+O28+Q28)*G28)/1000</f>
        <v>-556.10237704866006</v>
      </c>
      <c r="U28" s="18">
        <f t="shared" ref="U28:U53" si="0">AX28</f>
        <v>1167.0089948699012</v>
      </c>
      <c r="W28" s="18">
        <f t="shared" ref="W28:W53" si="1">S28-U28</f>
        <v>-1723.1113719185614</v>
      </c>
      <c r="Y28" s="271">
        <f>+W28*1000/G28</f>
        <v>-22.504915653404403</v>
      </c>
      <c r="Z28" s="235"/>
      <c r="AB28" s="146">
        <f>$C$28</f>
        <v>2007</v>
      </c>
      <c r="AC28" s="117"/>
      <c r="AD28" s="151">
        <f t="shared" ref="AD28:AD47" si="2">G28</f>
        <v>76566</v>
      </c>
      <c r="AF28" s="152">
        <f>$AF$15*$AF$16*(1+E28)</f>
        <v>103.49265311231956</v>
      </c>
      <c r="AG28" s="272"/>
      <c r="AH28" s="152">
        <f>$AJ$11*(1+E28)</f>
        <v>7.7779966692021105</v>
      </c>
      <c r="AI28" s="272"/>
      <c r="AJ28" s="152">
        <f>$AJ$13*(1+E28)</f>
        <v>2.9280892111109051</v>
      </c>
      <c r="AK28" s="272"/>
      <c r="AL28" s="153">
        <f>((AF28+AH28)*$AF$11*1000+AJ28*AD28)/1000</f>
        <v>2191.9245387790288</v>
      </c>
      <c r="AN28" s="154">
        <f>INDEX('(2.2)_Forward_Price_Curve'!$J:$J,MATCH($AB28,'(2.2)_Forward_Price_Curve'!$C:$C,0),1)</f>
        <v>0</v>
      </c>
      <c r="AO28" s="279"/>
      <c r="AP28" s="154">
        <f>AN28*$AF$14/1000+$AJ$14/(1+E29)</f>
        <v>0</v>
      </c>
      <c r="AQ28" s="272"/>
      <c r="AR28" s="152">
        <f>$AJ$15*(1+E28)</f>
        <v>2.3622865938864628</v>
      </c>
      <c r="AS28" s="152"/>
      <c r="AT28" s="153">
        <f>AL28-BF28</f>
        <v>986.13815952239042</v>
      </c>
      <c r="AU28" s="272"/>
      <c r="AV28" s="153">
        <f t="shared" ref="AV28:AV47" si="3">(AP28+AR28)*AD28/1000</f>
        <v>180.8708353475109</v>
      </c>
      <c r="AW28" s="273"/>
      <c r="AX28" s="155">
        <f>AT28+AV28</f>
        <v>1167.0089948699012</v>
      </c>
      <c r="AZ28" s="146">
        <f>$C$28</f>
        <v>2007</v>
      </c>
      <c r="BA28" s="117"/>
      <c r="BB28" s="152">
        <f>$BD$14*$BD$15*(1+E28)</f>
        <v>66.065576400000012</v>
      </c>
      <c r="BD28" s="152">
        <f>$BB$16*(1+E28)</f>
        <v>4.3502400000000003</v>
      </c>
      <c r="BE28" s="272"/>
      <c r="BF28" s="153">
        <f>(BB28+BD28)*$BD$11</f>
        <v>1205.7863792566384</v>
      </c>
      <c r="BG28" s="272"/>
      <c r="BH28" s="156"/>
    </row>
    <row r="29" spans="1:60" ht="12">
      <c r="B29" s="2"/>
      <c r="C29">
        <f>+IF(C28&gt;$G$13+$G$14,XX,C28+1)</f>
        <v>2008</v>
      </c>
      <c r="E29" s="169">
        <f>'(2.2)_Forward_Price_Curve'!S35</f>
        <v>2.4E-2</v>
      </c>
      <c r="G29" s="18">
        <v>95300.383561643845</v>
      </c>
      <c r="I29" s="28">
        <f>I28*(1+$E29)</f>
        <v>163.14181439005716</v>
      </c>
      <c r="K29" s="28">
        <v>34.674577104304142</v>
      </c>
      <c r="M29" s="268">
        <f t="shared" ref="M29:M53" si="4">$G$17</f>
        <v>0</v>
      </c>
      <c r="O29" s="270">
        <v>0</v>
      </c>
      <c r="Q29" s="28">
        <v>-33.844219890731516</v>
      </c>
      <c r="S29" s="18">
        <f t="shared" ref="S29:S53" si="5">(I29*$G$11*1000+(K29+M29+O29+Q29)*G29)/1000</f>
        <v>2036.8351336273349</v>
      </c>
      <c r="U29" s="18">
        <f t="shared" si="0"/>
        <v>10065.8253561414</v>
      </c>
      <c r="W29" s="18">
        <f t="shared" si="1"/>
        <v>-8028.990222514065</v>
      </c>
      <c r="Y29" s="271">
        <f t="shared" ref="Y29:Y53" si="6">+W29*1000/G29</f>
        <v>-84.249295988621228</v>
      </c>
      <c r="Z29" s="235"/>
      <c r="AB29" s="146">
        <f>+IF(AB28&gt;$G$13+$G$14,XX,AB28+1)</f>
        <v>2008</v>
      </c>
      <c r="AC29" s="117"/>
      <c r="AD29" s="151">
        <f t="shared" si="2"/>
        <v>95300.383561643845</v>
      </c>
      <c r="AF29" s="154">
        <f>AF28*(1+$E29)</f>
        <v>105.97647678701523</v>
      </c>
      <c r="AH29" s="154">
        <f>AH28*(1+$E29)</f>
        <v>7.9646685892629616</v>
      </c>
      <c r="AJ29" s="154">
        <f>AJ28*(1+$E29)</f>
        <v>2.998363352177567</v>
      </c>
      <c r="AL29" s="153">
        <f t="shared" ref="AL29:AL47" si="7">((AF29+AH29)*$AF$11*1000+AJ29*AD29)/1000</f>
        <v>2300.7032168065962</v>
      </c>
      <c r="AN29" s="154">
        <f>INDEX('(2.2)_Forward_Price_Curve'!$J:$J,MATCH($AB29,'(2.2)_Forward_Price_Curve'!$C:$C,0),1)</f>
        <v>12.545583333333333</v>
      </c>
      <c r="AP29" s="154">
        <f>AN29*$AF$14/1000+$AJ$14</f>
        <v>92.0176519950505</v>
      </c>
      <c r="AR29" s="154">
        <f>AR28*(1+$E29)</f>
        <v>2.418981472139738</v>
      </c>
      <c r="AS29" s="154"/>
      <c r="AT29" s="153">
        <f t="shared" ref="AT29:AT47" si="8">AL29-BF29</f>
        <v>1065.9779644477983</v>
      </c>
      <c r="AV29" s="153">
        <f t="shared" si="3"/>
        <v>8999.8473916936018</v>
      </c>
      <c r="AW29" s="273"/>
      <c r="AX29" s="155">
        <f t="shared" ref="AX29:AX47" si="9">AT29+AV29</f>
        <v>10065.8253561414</v>
      </c>
      <c r="AZ29" s="146">
        <f>+IF(AZ28&gt;$G$13+$G$14,XX,AZ28+1)</f>
        <v>2008</v>
      </c>
      <c r="BA29" s="117"/>
      <c r="BB29" s="154">
        <f>BB28*(1+$E29)</f>
        <v>67.651150233600021</v>
      </c>
      <c r="BD29" s="154">
        <f>BD28*(1+$E29)</f>
        <v>4.45464576</v>
      </c>
      <c r="BF29" s="153">
        <f t="shared" ref="BF29:BF47" si="10">(BB29+BD29)*$BD$11</f>
        <v>1234.7252523587979</v>
      </c>
      <c r="BH29" s="157"/>
    </row>
    <row r="30" spans="1:60" ht="12">
      <c r="B30" s="2"/>
      <c r="C30">
        <f>+IF(C29&gt;$G$13+$G$14,XX,C29+1)</f>
        <v>2009</v>
      </c>
      <c r="E30" s="169">
        <f>'(2.2)_Forward_Price_Curve'!S36</f>
        <v>2.3E-2</v>
      </c>
      <c r="G30" s="18">
        <v>95040</v>
      </c>
      <c r="I30" s="28">
        <f t="shared" ref="I30:I53" si="11">I29*(1+$E30)</f>
        <v>166.89407612102846</v>
      </c>
      <c r="K30" s="28">
        <v>26.475282526803827</v>
      </c>
      <c r="M30" s="268">
        <f t="shared" si="4"/>
        <v>0</v>
      </c>
      <c r="O30" s="270">
        <v>0</v>
      </c>
      <c r="Q30" s="28">
        <v>-33.844219890731516</v>
      </c>
      <c r="S30" s="18">
        <f t="shared" si="5"/>
        <v>1302.3851063846541</v>
      </c>
      <c r="U30" s="18">
        <f t="shared" si="0"/>
        <v>9584.4744407995131</v>
      </c>
      <c r="W30" s="18">
        <f t="shared" si="1"/>
        <v>-8282.089334414859</v>
      </c>
      <c r="Y30" s="271">
        <f t="shared" si="6"/>
        <v>-87.143195858742203</v>
      </c>
      <c r="Z30" s="235"/>
      <c r="AB30" s="146">
        <f>+IF(AB29&gt;$G$13+$G$14,XX,AB29+1)</f>
        <v>2009</v>
      </c>
      <c r="AC30" s="117"/>
      <c r="AD30" s="151">
        <f t="shared" si="2"/>
        <v>95040</v>
      </c>
      <c r="AF30" s="154">
        <f t="shared" ref="AF30:AF53" si="12">AF29*(1+$E30)</f>
        <v>108.41393575311658</v>
      </c>
      <c r="AH30" s="154">
        <f t="shared" ref="AH30:AH53" si="13">AH29*(1+$E30)</f>
        <v>8.1478559668160084</v>
      </c>
      <c r="AJ30" s="154">
        <f t="shared" ref="AJ30:AJ53" si="14">AJ29*(1+$E30)</f>
        <v>3.0673257092776507</v>
      </c>
      <c r="AL30" s="153">
        <f t="shared" si="7"/>
        <v>2352.8207096002448</v>
      </c>
      <c r="AN30" s="154">
        <f>INDEX('(2.2)_Forward_Price_Curve'!$J:$J,MATCH($AB30,'(2.2)_Forward_Price_Curve'!$C:$C,0),1)</f>
        <v>11.848729166666667</v>
      </c>
      <c r="AP30" s="154">
        <f>AN30*$AF$14/1000+$AJ$14*(1+E30)</f>
        <v>86.906460072291438</v>
      </c>
      <c r="AR30" s="154">
        <f t="shared" ref="AR30:AR53" si="15">AR29*(1+$E30)</f>
        <v>2.4746180459989517</v>
      </c>
      <c r="AS30" s="154"/>
      <c r="AT30" s="153">
        <f t="shared" si="8"/>
        <v>1089.6967764371946</v>
      </c>
      <c r="AV30" s="153">
        <f t="shared" si="3"/>
        <v>8494.7776643623183</v>
      </c>
      <c r="AW30" s="273"/>
      <c r="AX30" s="155">
        <f t="shared" si="9"/>
        <v>9584.4744407995131</v>
      </c>
      <c r="AZ30" s="146">
        <f>+IF(AZ29&gt;$G$13+$G$14,XX,AZ29+1)</f>
        <v>2009</v>
      </c>
      <c r="BA30" s="117"/>
      <c r="BB30" s="154">
        <f t="shared" ref="BB30:BB53" si="16">BB29*(1+$E30)</f>
        <v>69.207126688972821</v>
      </c>
      <c r="BD30" s="154">
        <f t="shared" ref="BD30:BD53" si="17">BD29*(1+$E30)</f>
        <v>4.5571026124799996</v>
      </c>
      <c r="BF30" s="153">
        <f t="shared" si="10"/>
        <v>1263.1239331630502</v>
      </c>
      <c r="BH30" s="157"/>
    </row>
    <row r="31" spans="1:60" ht="12">
      <c r="B31" s="2"/>
      <c r="C31">
        <f>+IF(C30&gt;$G$13+$G$14,XX,C30+1)</f>
        <v>2010</v>
      </c>
      <c r="E31" s="169">
        <f>'(2.2)_Forward_Price_Curve'!S37</f>
        <v>2.3E-2</v>
      </c>
      <c r="G31" s="18">
        <v>95040</v>
      </c>
      <c r="I31" s="28">
        <f t="shared" si="11"/>
        <v>170.7326398718121</v>
      </c>
      <c r="K31" s="28">
        <v>31.043301465037967</v>
      </c>
      <c r="M31" s="268">
        <f t="shared" si="4"/>
        <v>0</v>
      </c>
      <c r="O31" s="270">
        <v>0</v>
      </c>
      <c r="Q31" s="28">
        <v>-35.45584940933778</v>
      </c>
      <c r="S31" s="18">
        <f t="shared" si="5"/>
        <v>1629.423121835491</v>
      </c>
      <c r="U31" s="18">
        <f t="shared" si="0"/>
        <v>8909.5968340704385</v>
      </c>
      <c r="W31" s="18">
        <f t="shared" si="1"/>
        <v>-7280.1737122349477</v>
      </c>
      <c r="Y31" s="271">
        <f t="shared" si="6"/>
        <v>-76.601154379576471</v>
      </c>
      <c r="Z31" s="235"/>
      <c r="AB31" s="146">
        <f>+IF(AB30&gt;$G$13+$G$14,XX,AB30+1)</f>
        <v>2010</v>
      </c>
      <c r="AC31" s="117"/>
      <c r="AD31" s="151">
        <f t="shared" si="2"/>
        <v>95040</v>
      </c>
      <c r="AF31" s="154">
        <f t="shared" si="12"/>
        <v>110.90745627543825</v>
      </c>
      <c r="AH31" s="154">
        <f t="shared" si="13"/>
        <v>8.3352566540527757</v>
      </c>
      <c r="AJ31" s="154">
        <f t="shared" si="14"/>
        <v>3.1378742005910363</v>
      </c>
      <c r="AL31" s="153">
        <f t="shared" si="7"/>
        <v>2406.9355859210496</v>
      </c>
      <c r="AN31" s="154">
        <f>INDEX('(2.2)_Forward_Price_Curve'!$J:$J,MATCH($AB31,'(2.2)_Forward_Price_Curve'!$C:$C,0),1)</f>
        <v>10.836874999999999</v>
      </c>
      <c r="AP31" s="154">
        <f>AN31*$AF$14/1000+$AJ$14*(1+E31)</f>
        <v>79.484848649035541</v>
      </c>
      <c r="AR31" s="154">
        <f t="shared" si="15"/>
        <v>2.5315342610569274</v>
      </c>
      <c r="AS31" s="154"/>
      <c r="AT31" s="153">
        <f t="shared" si="8"/>
        <v>1114.7598022952493</v>
      </c>
      <c r="AV31" s="153">
        <f t="shared" si="3"/>
        <v>7794.8370317751887</v>
      </c>
      <c r="AW31" s="273"/>
      <c r="AX31" s="155">
        <f t="shared" si="9"/>
        <v>8909.5968340704385</v>
      </c>
      <c r="AZ31" s="146">
        <f>+IF(AZ30&gt;$G$13+$G$14,XX,AZ30+1)</f>
        <v>2010</v>
      </c>
      <c r="BA31" s="117"/>
      <c r="BB31" s="154">
        <f t="shared" si="16"/>
        <v>70.798890602819185</v>
      </c>
      <c r="BD31" s="154">
        <f t="shared" si="17"/>
        <v>4.6619159725670389</v>
      </c>
      <c r="BF31" s="153">
        <f t="shared" si="10"/>
        <v>1292.1757836258002</v>
      </c>
      <c r="BH31" s="157"/>
    </row>
    <row r="32" spans="1:60" ht="12">
      <c r="B32" s="2"/>
      <c r="C32">
        <f>+IF(C31&gt;$G$13+$G$14,XX,C31+1)</f>
        <v>2011</v>
      </c>
      <c r="E32" s="169">
        <f>'(2.2)_Forward_Price_Curve'!S38</f>
        <v>2.3E-2</v>
      </c>
      <c r="G32" s="18">
        <v>95040</v>
      </c>
      <c r="I32" s="28">
        <f t="shared" si="11"/>
        <v>174.65949058886375</v>
      </c>
      <c r="K32" s="28">
        <v>29.25107168803434</v>
      </c>
      <c r="M32" s="268">
        <f t="shared" si="4"/>
        <v>0</v>
      </c>
      <c r="O32" s="270">
        <v>0</v>
      </c>
      <c r="Q32" s="28">
        <v>-35.45584940933778</v>
      </c>
      <c r="S32" s="18">
        <f t="shared" si="5"/>
        <v>1506.2118124336862</v>
      </c>
      <c r="U32" s="18">
        <f t="shared" si="0"/>
        <v>8649.8090113997405</v>
      </c>
      <c r="W32" s="18">
        <f t="shared" si="1"/>
        <v>-7143.5971989660538</v>
      </c>
      <c r="Y32" s="271">
        <f t="shared" si="6"/>
        <v>-75.164111941982895</v>
      </c>
      <c r="Z32" s="235"/>
      <c r="AB32" s="146">
        <f>+IF(AB31&gt;$G$13+$G$14,XX,AB31+1)</f>
        <v>2011</v>
      </c>
      <c r="AC32" s="117"/>
      <c r="AD32" s="151">
        <f t="shared" si="2"/>
        <v>95040</v>
      </c>
      <c r="AF32" s="154">
        <f t="shared" si="12"/>
        <v>113.45832776977332</v>
      </c>
      <c r="AH32" s="154">
        <f t="shared" si="13"/>
        <v>8.526967557095988</v>
      </c>
      <c r="AJ32" s="154">
        <f t="shared" si="14"/>
        <v>3.2100453072046298</v>
      </c>
      <c r="AL32" s="153">
        <f t="shared" si="7"/>
        <v>2462.2951043972334</v>
      </c>
      <c r="AN32" s="154">
        <f>INDEX('(2.2)_Forward_Price_Curve'!$J:$J,MATCH($AB32,'(2.2)_Forward_Price_Curve'!$C:$C,0),1)</f>
        <v>10.419479166666667</v>
      </c>
      <c r="AP32" s="154">
        <f t="shared" ref="AP32:AP47" si="18">AN32*$AF$14/1000+$AJ$14*(1+E32)</f>
        <v>76.42339000535479</v>
      </c>
      <c r="AR32" s="154">
        <f t="shared" si="15"/>
        <v>2.5897595490612364</v>
      </c>
      <c r="AS32" s="154"/>
      <c r="AT32" s="153">
        <f t="shared" si="8"/>
        <v>1140.39927774804</v>
      </c>
      <c r="AV32" s="153">
        <f t="shared" si="3"/>
        <v>7509.4097336516998</v>
      </c>
      <c r="AW32" s="273"/>
      <c r="AX32" s="155">
        <f t="shared" si="9"/>
        <v>8649.8090113997405</v>
      </c>
      <c r="AZ32" s="146">
        <f>+IF(AZ31&gt;$G$13+$G$14,XX,AZ31+1)</f>
        <v>2011</v>
      </c>
      <c r="BA32" s="117"/>
      <c r="BB32" s="154">
        <f t="shared" si="16"/>
        <v>72.427265086684017</v>
      </c>
      <c r="BD32" s="154">
        <f t="shared" si="17"/>
        <v>4.7691400399360804</v>
      </c>
      <c r="BF32" s="153">
        <f t="shared" si="10"/>
        <v>1321.8958266491934</v>
      </c>
      <c r="BH32" s="157"/>
    </row>
    <row r="33" spans="2:60" ht="12">
      <c r="B33" s="2"/>
      <c r="C33">
        <f>+IF(C32&gt;$G$13+$G$14,XX,C32+1)</f>
        <v>2012</v>
      </c>
      <c r="E33" s="169">
        <f>'(2.2)_Forward_Price_Curve'!S39</f>
        <v>2.3E-2</v>
      </c>
      <c r="G33" s="18">
        <v>95300.383561643845</v>
      </c>
      <c r="I33" s="28">
        <f t="shared" si="11"/>
        <v>178.67665887240759</v>
      </c>
      <c r="K33" s="28">
        <v>30.146254233266468</v>
      </c>
      <c r="M33" s="268">
        <f t="shared" si="4"/>
        <v>0</v>
      </c>
      <c r="O33" s="270">
        <v>0</v>
      </c>
      <c r="Q33" s="28">
        <v>-35.45584940933778</v>
      </c>
      <c r="S33" s="18">
        <f t="shared" si="5"/>
        <v>1638.1134496322406</v>
      </c>
      <c r="U33" s="18">
        <f t="shared" si="0"/>
        <v>8709.5760920319753</v>
      </c>
      <c r="W33" s="18">
        <f t="shared" si="1"/>
        <v>-7071.4626423997342</v>
      </c>
      <c r="Y33" s="271">
        <f t="shared" si="6"/>
        <v>-74.201827716943527</v>
      </c>
      <c r="Z33" s="235"/>
      <c r="AB33" s="146">
        <f>+IF(AB32&gt;$G$13+$G$14,XX,AB32+1)</f>
        <v>2012</v>
      </c>
      <c r="AC33" s="117"/>
      <c r="AD33" s="151">
        <f t="shared" si="2"/>
        <v>95300.383561643845</v>
      </c>
      <c r="AF33" s="154">
        <f t="shared" si="12"/>
        <v>116.06786930847809</v>
      </c>
      <c r="AH33" s="154">
        <f t="shared" si="13"/>
        <v>8.7230878109091954</v>
      </c>
      <c r="AJ33" s="154">
        <f t="shared" si="14"/>
        <v>3.283876349270336</v>
      </c>
      <c r="AL33" s="153">
        <f t="shared" si="7"/>
        <v>2519.7829592181906</v>
      </c>
      <c r="AN33" s="154">
        <f>INDEX('(2.2)_Forward_Price_Curve'!$J:$J,MATCH($AB33,'(2.2)_Forward_Price_Curve'!$C:$C,0),1)</f>
        <v>10.428681771666666</v>
      </c>
      <c r="AP33" s="154">
        <f>AN33*$AF$14/1000+$AJ$14*(1+E33)</f>
        <v>76.490888030901971</v>
      </c>
      <c r="AR33" s="154">
        <f t="shared" si="15"/>
        <v>2.6493240186896445</v>
      </c>
      <c r="AS33" s="154"/>
      <c r="AT33" s="153">
        <f t="shared" si="8"/>
        <v>1167.4835285560659</v>
      </c>
      <c r="AV33" s="153">
        <f t="shared" si="3"/>
        <v>7542.0925634759087</v>
      </c>
      <c r="AW33" s="273"/>
      <c r="AX33" s="155">
        <f t="shared" si="9"/>
        <v>8709.5760920319753</v>
      </c>
      <c r="AZ33" s="146">
        <f>+IF(AZ32&gt;$G$13+$G$14,XX,AZ32+1)</f>
        <v>2012</v>
      </c>
      <c r="BA33" s="117"/>
      <c r="BB33" s="154">
        <f t="shared" si="16"/>
        <v>74.09309218367774</v>
      </c>
      <c r="BD33" s="154">
        <f t="shared" si="17"/>
        <v>4.8788302608546097</v>
      </c>
      <c r="BF33" s="153">
        <f t="shared" si="10"/>
        <v>1352.2994306621247</v>
      </c>
      <c r="BH33" s="157"/>
    </row>
    <row r="34" spans="2:60" ht="12">
      <c r="B34" s="2"/>
      <c r="C34">
        <f>+IF(C33&gt;$G$13+$G$14,XX,C33+1)</f>
        <v>2013</v>
      </c>
      <c r="E34" s="169">
        <f>'(2.2)_Forward_Price_Curve'!S40</f>
        <v>2.1999999999999999E-2</v>
      </c>
      <c r="G34" s="18">
        <v>95040</v>
      </c>
      <c r="I34" s="28">
        <f t="shared" si="11"/>
        <v>182.60754536760055</v>
      </c>
      <c r="K34" s="28">
        <v>40.367320069412095</v>
      </c>
      <c r="M34" s="268">
        <f t="shared" si="4"/>
        <v>0</v>
      </c>
      <c r="O34" s="270">
        <v>0</v>
      </c>
      <c r="Q34" s="28">
        <v>-37.067478927944045</v>
      </c>
      <c r="S34" s="18">
        <f t="shared" si="5"/>
        <v>2504.9074464963301</v>
      </c>
      <c r="U34" s="18">
        <f t="shared" si="0"/>
        <v>8861.6413003092312</v>
      </c>
      <c r="W34" s="18">
        <f t="shared" si="1"/>
        <v>-6356.7338538129006</v>
      </c>
      <c r="Y34" s="271">
        <f t="shared" si="6"/>
        <v>-66.884825902913519</v>
      </c>
      <c r="Z34" s="235"/>
      <c r="AB34" s="146">
        <f>+IF(AB33&gt;$G$13+$G$14,XX,AB33+1)</f>
        <v>2013</v>
      </c>
      <c r="AC34" s="117"/>
      <c r="AD34" s="151">
        <f t="shared" si="2"/>
        <v>95040</v>
      </c>
      <c r="AF34" s="154">
        <f t="shared" si="12"/>
        <v>118.62136243326462</v>
      </c>
      <c r="AH34" s="154">
        <f t="shared" si="13"/>
        <v>8.9149957427491984</v>
      </c>
      <c r="AJ34" s="154">
        <f t="shared" si="14"/>
        <v>3.3561216289542837</v>
      </c>
      <c r="AL34" s="153">
        <f t="shared" si="7"/>
        <v>2574.3443054179343</v>
      </c>
      <c r="AN34" s="154">
        <f>INDEX('(2.2)_Forward_Price_Curve'!$J:$J,MATCH($AB34,'(2.2)_Forward_Price_Curve'!$C:$C,0),1)</f>
        <v>10.632848438333333</v>
      </c>
      <c r="AP34" s="154">
        <f t="shared" si="18"/>
        <v>77.988382151594351</v>
      </c>
      <c r="AR34" s="154">
        <f t="shared" si="15"/>
        <v>2.7076091471008166</v>
      </c>
      <c r="AS34" s="154"/>
      <c r="AT34" s="153">
        <f t="shared" si="8"/>
        <v>1192.2942872812428</v>
      </c>
      <c r="AV34" s="153">
        <f t="shared" si="3"/>
        <v>7669.3470130279884</v>
      </c>
      <c r="AW34" s="273"/>
      <c r="AX34" s="155">
        <f t="shared" si="9"/>
        <v>8861.6413003092312</v>
      </c>
      <c r="AZ34" s="146">
        <f>+IF(AZ33&gt;$G$13+$G$14,XX,AZ33+1)</f>
        <v>2013</v>
      </c>
      <c r="BA34" s="117"/>
      <c r="BB34" s="154">
        <f t="shared" si="16"/>
        <v>75.723140211718658</v>
      </c>
      <c r="BD34" s="154">
        <f t="shared" si="17"/>
        <v>4.9861645265934111</v>
      </c>
      <c r="BF34" s="153">
        <f t="shared" si="10"/>
        <v>1382.0500181366915</v>
      </c>
      <c r="BH34" s="157"/>
    </row>
    <row r="35" spans="2:60" ht="12">
      <c r="B35" s="2"/>
      <c r="C35">
        <f>+IF(C34&gt;$G$13+$G$14,XX,C34+1)</f>
        <v>2014</v>
      </c>
      <c r="E35" s="169">
        <f>'(2.2)_Forward_Price_Curve'!S41</f>
        <v>2.1999999999999999E-2</v>
      </c>
      <c r="G35" s="18">
        <v>95040</v>
      </c>
      <c r="I35" s="28">
        <f t="shared" si="11"/>
        <v>186.62491136568778</v>
      </c>
      <c r="K35" s="28">
        <v>31.174907679620706</v>
      </c>
      <c r="M35" s="268">
        <f t="shared" si="4"/>
        <v>0</v>
      </c>
      <c r="O35" s="270">
        <v>0</v>
      </c>
      <c r="Q35" s="28">
        <v>-37.067478927944045</v>
      </c>
      <c r="S35" s="18">
        <f t="shared" si="5"/>
        <v>1679.4689649476031</v>
      </c>
      <c r="U35" s="18">
        <f t="shared" si="0"/>
        <v>8694.2405422161719</v>
      </c>
      <c r="W35" s="18">
        <f t="shared" si="1"/>
        <v>-7014.7715772685688</v>
      </c>
      <c r="Y35" s="271">
        <f t="shared" si="6"/>
        <v>-73.808623498196226</v>
      </c>
      <c r="Z35" s="235"/>
      <c r="AB35" s="146">
        <f>+IF(AB34&gt;$G$13+$G$14,XX,AB34+1)</f>
        <v>2014</v>
      </c>
      <c r="AC35" s="117"/>
      <c r="AD35" s="151">
        <f t="shared" si="2"/>
        <v>95040</v>
      </c>
      <c r="AF35" s="154">
        <f t="shared" si="12"/>
        <v>121.23103240679644</v>
      </c>
      <c r="AH35" s="154">
        <f t="shared" si="13"/>
        <v>9.111125649089681</v>
      </c>
      <c r="AJ35" s="154">
        <f t="shared" si="14"/>
        <v>3.4299563047912778</v>
      </c>
      <c r="AL35" s="153">
        <f t="shared" si="7"/>
        <v>2630.9798801371289</v>
      </c>
      <c r="AN35" s="154">
        <f>INDEX('(2.2)_Forward_Price_Curve'!$J:$J,MATCH($AB35,'(2.2)_Forward_Price_Curve'!$C:$C,0),1)</f>
        <v>10.346954939583332</v>
      </c>
      <c r="AP35" s="154">
        <f t="shared" si="18"/>
        <v>75.891449089444336</v>
      </c>
      <c r="AR35" s="154">
        <f t="shared" si="15"/>
        <v>2.7671765483370345</v>
      </c>
      <c r="AS35" s="154"/>
      <c r="AT35" s="153">
        <f t="shared" si="8"/>
        <v>1218.5247616014301</v>
      </c>
      <c r="AV35" s="153">
        <f t="shared" si="3"/>
        <v>7475.7157806147416</v>
      </c>
      <c r="AW35" s="273"/>
      <c r="AX35" s="155">
        <f t="shared" si="9"/>
        <v>8694.2405422161719</v>
      </c>
      <c r="AZ35" s="146">
        <f>+IF(AZ34&gt;$G$13+$G$14,XX,AZ34+1)</f>
        <v>2014</v>
      </c>
      <c r="BA35" s="117"/>
      <c r="BB35" s="154">
        <f t="shared" si="16"/>
        <v>77.38904929637647</v>
      </c>
      <c r="BD35" s="154">
        <f t="shared" si="17"/>
        <v>5.0958601461784667</v>
      </c>
      <c r="BF35" s="153">
        <f t="shared" si="10"/>
        <v>1412.4551185356988</v>
      </c>
      <c r="BH35" s="157"/>
    </row>
    <row r="36" spans="2:60" ht="12">
      <c r="B36" s="2"/>
      <c r="C36">
        <f>+IF(C35&gt;$G$13+$G$14,XX,C35+1)</f>
        <v>2015</v>
      </c>
      <c r="E36" s="169">
        <f>'(2.2)_Forward_Price_Curve'!S42</f>
        <v>2.1999999999999999E-2</v>
      </c>
      <c r="G36" s="18">
        <v>95040</v>
      </c>
      <c r="I36" s="28">
        <f t="shared" si="11"/>
        <v>190.7306594157329</v>
      </c>
      <c r="K36" s="28">
        <v>42.860392558148874</v>
      </c>
      <c r="M36" s="268">
        <f t="shared" si="4"/>
        <v>0</v>
      </c>
      <c r="O36" s="270">
        <v>0</v>
      </c>
      <c r="Q36" s="28">
        <v>-37.067478927944045</v>
      </c>
      <c r="S36" s="18">
        <f t="shared" si="5"/>
        <v>2839.3264244034617</v>
      </c>
      <c r="U36" s="18">
        <f t="shared" si="0"/>
        <v>8020.0321242297487</v>
      </c>
      <c r="W36" s="18">
        <f t="shared" si="1"/>
        <v>-5180.7056998262869</v>
      </c>
      <c r="Y36" s="271">
        <f t="shared" si="6"/>
        <v>-54.510792296152012</v>
      </c>
      <c r="Z36" s="235"/>
      <c r="AB36" s="146">
        <f>+IF(AB35&gt;$G$13+$G$14,XX,AB35+1)</f>
        <v>2015</v>
      </c>
      <c r="AC36" s="117"/>
      <c r="AD36" s="151">
        <f t="shared" si="2"/>
        <v>95040</v>
      </c>
      <c r="AF36" s="154">
        <f t="shared" si="12"/>
        <v>123.89811511974597</v>
      </c>
      <c r="AH36" s="154">
        <f t="shared" si="13"/>
        <v>9.3115704133696546</v>
      </c>
      <c r="AJ36" s="154">
        <f t="shared" si="14"/>
        <v>3.5054153434966859</v>
      </c>
      <c r="AL36" s="153">
        <f t="shared" si="7"/>
        <v>2688.8614375001453</v>
      </c>
      <c r="AN36" s="154">
        <f>INDEX('(2.2)_Forward_Price_Curve'!$J:$J,MATCH($AB36,'(2.2)_Forward_Price_Curve'!$C:$C,0),1)</f>
        <v>9.3330180370833329</v>
      </c>
      <c r="AP36" s="154">
        <f t="shared" si="18"/>
        <v>68.454561496398881</v>
      </c>
      <c r="AR36" s="154">
        <f t="shared" si="15"/>
        <v>2.8280544324004495</v>
      </c>
      <c r="AS36" s="154"/>
      <c r="AT36" s="153">
        <f t="shared" si="8"/>
        <v>1245.3323063566609</v>
      </c>
      <c r="AV36" s="153">
        <f t="shared" si="3"/>
        <v>6774.6998178730883</v>
      </c>
      <c r="AW36" s="273"/>
      <c r="AX36" s="155">
        <f t="shared" si="9"/>
        <v>8020.0321242297487</v>
      </c>
      <c r="AZ36" s="146">
        <f>+IF(AZ35&gt;$G$13+$G$14,XX,AZ35+1)</f>
        <v>2015</v>
      </c>
      <c r="BA36" s="117"/>
      <c r="BB36" s="154">
        <f t="shared" si="16"/>
        <v>79.091608380896758</v>
      </c>
      <c r="BD36" s="154">
        <f t="shared" si="17"/>
        <v>5.2079690693943927</v>
      </c>
      <c r="BF36" s="153">
        <f t="shared" si="10"/>
        <v>1443.5291311434844</v>
      </c>
      <c r="BH36" s="157"/>
    </row>
    <row r="37" spans="2:60" ht="12">
      <c r="B37" s="2"/>
      <c r="C37">
        <f>+IF(C36&gt;$G$13+$G$14,XX,C36+1)</f>
        <v>2016</v>
      </c>
      <c r="E37" s="169">
        <f>'(2.2)_Forward_Price_Curve'!S43</f>
        <v>2.1999999999999999E-2</v>
      </c>
      <c r="G37" s="18">
        <v>95300.383561643845</v>
      </c>
      <c r="I37" s="28">
        <f t="shared" si="11"/>
        <v>194.92673392287904</v>
      </c>
      <c r="K37" s="28">
        <v>44.173594380124619</v>
      </c>
      <c r="M37" s="268">
        <f t="shared" si="4"/>
        <v>0</v>
      </c>
      <c r="O37" s="270">
        <v>0</v>
      </c>
      <c r="Q37" s="28">
        <v>-37.067478927944045</v>
      </c>
      <c r="S37" s="18">
        <f t="shared" si="5"/>
        <v>3016.3363353006812</v>
      </c>
      <c r="U37" s="18">
        <f t="shared" si="0"/>
        <v>7808.0366699081478</v>
      </c>
      <c r="W37" s="18">
        <f t="shared" si="1"/>
        <v>-4791.7003346074671</v>
      </c>
      <c r="Y37" s="271">
        <f t="shared" si="6"/>
        <v>-50.279969036095395</v>
      </c>
      <c r="Z37" s="235"/>
      <c r="AB37" s="146">
        <f>+IF(AB36&gt;$G$13+$G$14,XX,AB36+1)</f>
        <v>2016</v>
      </c>
      <c r="AC37" s="117"/>
      <c r="AD37" s="151">
        <f t="shared" si="2"/>
        <v>95300.383561643845</v>
      </c>
      <c r="AF37" s="154">
        <f t="shared" si="12"/>
        <v>126.62387365238038</v>
      </c>
      <c r="AH37" s="154">
        <f t="shared" si="13"/>
        <v>9.5164249624637876</v>
      </c>
      <c r="AJ37" s="154">
        <f t="shared" si="14"/>
        <v>3.5825344810536133</v>
      </c>
      <c r="AL37" s="153">
        <f t="shared" si="7"/>
        <v>2748.9492222130375</v>
      </c>
      <c r="AN37" s="154">
        <f>INDEX('(2.2)_Forward_Price_Curve'!$J:$J,MATCH($AB37,'(2.2)_Forward_Price_Curve'!$C:$C,0),1)</f>
        <v>8.9541666666666657</v>
      </c>
      <c r="AP37" s="154">
        <f t="shared" si="18"/>
        <v>65.675813578936655</v>
      </c>
      <c r="AR37" s="154">
        <f t="shared" si="15"/>
        <v>2.8902716299132596</v>
      </c>
      <c r="AS37" s="154"/>
      <c r="AT37" s="153">
        <f t="shared" si="8"/>
        <v>1273.6624501843964</v>
      </c>
      <c r="AV37" s="153">
        <f t="shared" si="3"/>
        <v>6534.3742197237516</v>
      </c>
      <c r="AW37" s="273"/>
      <c r="AX37" s="155">
        <f t="shared" si="9"/>
        <v>7808.0366699081478</v>
      </c>
      <c r="AZ37" s="146">
        <f>+IF(AZ36&gt;$G$13+$G$14,XX,AZ36+1)</f>
        <v>2016</v>
      </c>
      <c r="BA37" s="117"/>
      <c r="BB37" s="154">
        <f t="shared" si="16"/>
        <v>80.83162376527649</v>
      </c>
      <c r="BD37" s="154">
        <f t="shared" si="17"/>
        <v>5.3225443889210693</v>
      </c>
      <c r="BF37" s="153">
        <f t="shared" si="10"/>
        <v>1475.2867720286411</v>
      </c>
      <c r="BH37" s="157"/>
    </row>
    <row r="38" spans="2:60" ht="12">
      <c r="B38" s="2"/>
      <c r="C38">
        <f>+IF(C37&gt;$G$13+$G$14,XX,C37+1)</f>
        <v>2017</v>
      </c>
      <c r="E38" s="169">
        <f>'(2.2)_Forward_Price_Curve'!S44</f>
        <v>2.1999999999999999E-2</v>
      </c>
      <c r="G38" s="18">
        <v>95040</v>
      </c>
      <c r="I38" s="28">
        <f t="shared" si="11"/>
        <v>199.21512206918237</v>
      </c>
      <c r="K38" s="28">
        <v>33.207652309631541</v>
      </c>
      <c r="M38" s="268">
        <f t="shared" si="4"/>
        <v>0</v>
      </c>
      <c r="O38" s="270">
        <v>0</v>
      </c>
      <c r="Q38" s="28"/>
      <c r="S38" s="18">
        <f t="shared" si="5"/>
        <v>5546.6367403375698</v>
      </c>
      <c r="U38" s="18">
        <f t="shared" si="0"/>
        <v>8302.8310871932499</v>
      </c>
      <c r="W38" s="18">
        <f t="shared" si="1"/>
        <v>-2756.1943468556801</v>
      </c>
      <c r="Y38" s="271">
        <f t="shared" si="6"/>
        <v>-29.000361393683502</v>
      </c>
      <c r="Z38" s="235"/>
      <c r="AB38" s="146">
        <f>+IF(AB37&gt;$G$13+$G$14,XX,AB37+1)</f>
        <v>2017</v>
      </c>
      <c r="AC38" s="117"/>
      <c r="AD38" s="151">
        <f t="shared" si="2"/>
        <v>95040</v>
      </c>
      <c r="AF38" s="154">
        <f t="shared" si="12"/>
        <v>129.40959887273274</v>
      </c>
      <c r="AH38" s="154">
        <f t="shared" si="13"/>
        <v>9.7257863116379912</v>
      </c>
      <c r="AJ38" s="154">
        <f t="shared" si="14"/>
        <v>3.6613502396367927</v>
      </c>
      <c r="AL38" s="153">
        <f t="shared" si="7"/>
        <v>2808.4727496859018</v>
      </c>
      <c r="AN38" s="154">
        <f>INDEX('(2.2)_Forward_Price_Curve'!$J:$J,MATCH($AB38,'(2.2)_Forward_Price_Curve'!$C:$C,0),1)</f>
        <v>9.6420833333333338</v>
      </c>
      <c r="AP38" s="154">
        <f t="shared" si="18"/>
        <v>70.721451932534819</v>
      </c>
      <c r="AR38" s="154">
        <f t="shared" si="15"/>
        <v>2.9538576057713515</v>
      </c>
      <c r="AS38" s="154"/>
      <c r="AT38" s="153">
        <f t="shared" si="8"/>
        <v>1300.7296686726306</v>
      </c>
      <c r="AV38" s="153">
        <f t="shared" si="3"/>
        <v>7002.1014185206186</v>
      </c>
      <c r="AW38" s="273"/>
      <c r="AX38" s="155">
        <f t="shared" si="9"/>
        <v>8302.8310871932499</v>
      </c>
      <c r="AZ38" s="146">
        <f>+IF(AZ37&gt;$G$13+$G$14,XX,AZ37+1)</f>
        <v>2017</v>
      </c>
      <c r="BA38" s="117"/>
      <c r="BB38" s="154">
        <f t="shared" si="16"/>
        <v>82.609919488112581</v>
      </c>
      <c r="BD38" s="154">
        <f t="shared" si="17"/>
        <v>5.4396403654773327</v>
      </c>
      <c r="BF38" s="153">
        <f t="shared" si="10"/>
        <v>1507.7430810132712</v>
      </c>
      <c r="BH38" s="157"/>
    </row>
    <row r="39" spans="2:60" ht="12">
      <c r="B39" s="2"/>
      <c r="C39">
        <f>+IF(C38&gt;$G$13+$G$14,XX,C38+1)</f>
        <v>2018</v>
      </c>
      <c r="E39" s="169">
        <f>'(2.2)_Forward_Price_Curve'!S45</f>
        <v>2.1999999999999999E-2</v>
      </c>
      <c r="G39" s="18">
        <v>95040</v>
      </c>
      <c r="I39" s="28">
        <f t="shared" si="11"/>
        <v>203.5978547547044</v>
      </c>
      <c r="K39" s="28">
        <v>16.144218240362672</v>
      </c>
      <c r="M39" s="268">
        <f t="shared" si="4"/>
        <v>0</v>
      </c>
      <c r="O39" s="270">
        <v>0</v>
      </c>
      <c r="Q39" s="28"/>
      <c r="S39" s="18">
        <f t="shared" si="5"/>
        <v>3977.5207586205211</v>
      </c>
      <c r="U39" s="18">
        <f t="shared" si="0"/>
        <v>9497.6915340928153</v>
      </c>
      <c r="W39" s="18">
        <f t="shared" si="1"/>
        <v>-5520.1707754722938</v>
      </c>
      <c r="Y39" s="271">
        <f t="shared" si="6"/>
        <v>-58.082604960777502</v>
      </c>
      <c r="Z39" s="235"/>
      <c r="AB39" s="146">
        <f>+IF(AB38&gt;$G$13+$G$14,XX,AB38+1)</f>
        <v>2018</v>
      </c>
      <c r="AC39" s="117"/>
      <c r="AD39" s="151">
        <f t="shared" si="2"/>
        <v>95040</v>
      </c>
      <c r="AF39" s="154">
        <f t="shared" si="12"/>
        <v>132.25661004793287</v>
      </c>
      <c r="AH39" s="154">
        <f t="shared" si="13"/>
        <v>9.9397536104940265</v>
      </c>
      <c r="AJ39" s="154">
        <f t="shared" si="14"/>
        <v>3.7418999449088024</v>
      </c>
      <c r="AL39" s="153">
        <f t="shared" si="7"/>
        <v>2870.2591501789916</v>
      </c>
      <c r="AN39" s="154">
        <f>INDEX('(2.2)_Forward_Price_Curve'!$J:$J,MATCH($AB39,'(2.2)_Forward_Price_Curve'!$C:$C,0),1)</f>
        <v>11.30625</v>
      </c>
      <c r="AP39" s="154">
        <f t="shared" si="18"/>
        <v>82.927557071402802</v>
      </c>
      <c r="AR39" s="154">
        <f t="shared" si="15"/>
        <v>3.0188424730983212</v>
      </c>
      <c r="AS39" s="154"/>
      <c r="AT39" s="153">
        <f t="shared" si="8"/>
        <v>1329.3457213834283</v>
      </c>
      <c r="AV39" s="153">
        <f t="shared" si="3"/>
        <v>8168.3458127093863</v>
      </c>
      <c r="AW39" s="273"/>
      <c r="AX39" s="155">
        <f t="shared" si="9"/>
        <v>9497.6915340928153</v>
      </c>
      <c r="AZ39" s="146">
        <f>+IF(AZ38&gt;$G$13+$G$14,XX,AZ38+1)</f>
        <v>2018</v>
      </c>
      <c r="BA39" s="117"/>
      <c r="BB39" s="154">
        <f t="shared" si="16"/>
        <v>84.427337716851056</v>
      </c>
      <c r="BD39" s="154">
        <f t="shared" si="17"/>
        <v>5.5593124535178342</v>
      </c>
      <c r="BF39" s="153">
        <f t="shared" si="10"/>
        <v>1540.9134287955633</v>
      </c>
      <c r="BH39" s="157"/>
    </row>
    <row r="40" spans="2:60" ht="12">
      <c r="B40" s="2"/>
      <c r="C40">
        <f>+IF(C39&gt;$G$13+$G$14,XX,C39+1)</f>
        <v>2019</v>
      </c>
      <c r="E40" s="169">
        <f>'(2.2)_Forward_Price_Curve'!S46</f>
        <v>2.1999999999999999E-2</v>
      </c>
      <c r="G40" s="18">
        <v>95040</v>
      </c>
      <c r="I40" s="28">
        <f t="shared" si="11"/>
        <v>208.0770075593079</v>
      </c>
      <c r="K40" s="28">
        <v>15.735794299659918</v>
      </c>
      <c r="M40" s="268">
        <f t="shared" si="4"/>
        <v>0</v>
      </c>
      <c r="O40" s="270">
        <v>0</v>
      </c>
      <c r="Q40" s="28"/>
      <c r="S40" s="18">
        <f t="shared" si="5"/>
        <v>3992.4539809513735</v>
      </c>
      <c r="U40" s="18">
        <f t="shared" si="0"/>
        <v>9844.0336061230846</v>
      </c>
      <c r="W40" s="18">
        <f t="shared" si="1"/>
        <v>-5851.5796251717111</v>
      </c>
      <c r="Y40" s="271">
        <f t="shared" si="6"/>
        <v>-61.569650938254533</v>
      </c>
      <c r="Z40" s="235"/>
      <c r="AB40" s="146">
        <f>+IF(AB39&gt;$G$13+$G$14,XX,AB39+1)</f>
        <v>2019</v>
      </c>
      <c r="AC40" s="117"/>
      <c r="AD40" s="151">
        <f t="shared" si="2"/>
        <v>95040</v>
      </c>
      <c r="AF40" s="154">
        <f t="shared" si="12"/>
        <v>135.1662554689874</v>
      </c>
      <c r="AH40" s="154">
        <f t="shared" si="13"/>
        <v>10.158428189924896</v>
      </c>
      <c r="AJ40" s="154">
        <f t="shared" si="14"/>
        <v>3.8242217436967962</v>
      </c>
      <c r="AL40" s="153">
        <f t="shared" si="7"/>
        <v>2933.4048514829301</v>
      </c>
      <c r="AN40" s="154">
        <f>INDEX('(2.2)_Forward_Price_Curve'!$J:$J,MATCH($AB40,'(2.2)_Forward_Price_Curve'!$C:$C,0),1)</f>
        <v>11.752083333333331</v>
      </c>
      <c r="AP40" s="154">
        <f t="shared" si="18"/>
        <v>86.197595253322859</v>
      </c>
      <c r="AR40" s="154">
        <f t="shared" si="15"/>
        <v>3.0852570075064842</v>
      </c>
      <c r="AS40" s="154"/>
      <c r="AT40" s="153">
        <f t="shared" si="8"/>
        <v>1358.5913272538646</v>
      </c>
      <c r="AV40" s="153">
        <f t="shared" si="3"/>
        <v>8485.4422788692209</v>
      </c>
      <c r="AW40" s="273"/>
      <c r="AX40" s="155">
        <f t="shared" si="9"/>
        <v>9844.0336061230846</v>
      </c>
      <c r="AZ40" s="146">
        <f>+IF(AZ39&gt;$G$13+$G$14,XX,AZ39+1)</f>
        <v>2019</v>
      </c>
      <c r="BA40" s="117"/>
      <c r="BB40" s="154">
        <f t="shared" si="16"/>
        <v>86.284739146621774</v>
      </c>
      <c r="BD40" s="154">
        <f t="shared" si="17"/>
        <v>5.6816173274952266</v>
      </c>
      <c r="BF40" s="153">
        <f t="shared" si="10"/>
        <v>1574.8135242290655</v>
      </c>
      <c r="BH40" s="157"/>
    </row>
    <row r="41" spans="2:60" ht="12">
      <c r="B41" s="2"/>
      <c r="C41">
        <f>+IF(C40&gt;$G$13+$G$14,XX,C40+1)</f>
        <v>2020</v>
      </c>
      <c r="E41" s="169">
        <f>'(2.2)_Forward_Price_Curve'!S47</f>
        <v>2.1999999999999999E-2</v>
      </c>
      <c r="G41" s="18">
        <v>95300.383561643845</v>
      </c>
      <c r="I41" s="28">
        <f t="shared" si="11"/>
        <v>212.65470172561268</v>
      </c>
      <c r="K41" s="28">
        <v>21.202258064950652</v>
      </c>
      <c r="M41" s="268">
        <f t="shared" si="4"/>
        <v>0</v>
      </c>
      <c r="O41" s="270">
        <v>0</v>
      </c>
      <c r="Q41" s="28"/>
      <c r="S41" s="18">
        <f t="shared" si="5"/>
        <v>4572.4397466701066</v>
      </c>
      <c r="U41" s="18">
        <f t="shared" si="0"/>
        <v>9710.1026528108814</v>
      </c>
      <c r="W41" s="18">
        <f t="shared" si="1"/>
        <v>-5137.6629061407748</v>
      </c>
      <c r="Y41" s="271">
        <f t="shared" si="6"/>
        <v>-53.910201765531639</v>
      </c>
      <c r="Z41" s="235"/>
      <c r="AB41" s="146">
        <f>+IF(AB40&gt;$G$13+$G$14,XX,AB40+1)</f>
        <v>2020</v>
      </c>
      <c r="AC41" s="117"/>
      <c r="AD41" s="151">
        <f t="shared" si="2"/>
        <v>95300.383561643845</v>
      </c>
      <c r="AF41" s="154">
        <f t="shared" si="12"/>
        <v>138.13991308930514</v>
      </c>
      <c r="AH41" s="154">
        <f t="shared" si="13"/>
        <v>10.381913610103243</v>
      </c>
      <c r="AJ41" s="154">
        <f t="shared" si="14"/>
        <v>3.908354622058126</v>
      </c>
      <c r="AL41" s="153">
        <f t="shared" si="7"/>
        <v>2998.9574295122134</v>
      </c>
      <c r="AN41" s="154">
        <f>INDEX('(2.2)_Forward_Price_Curve'!$J:$J,MATCH($AB41,'(2.2)_Forward_Price_Curve'!$C:$C,0),1)</f>
        <v>11.473750000000003</v>
      </c>
      <c r="AP41" s="154">
        <f t="shared" si="18"/>
        <v>84.156113472460632</v>
      </c>
      <c r="AR41" s="154">
        <f t="shared" si="15"/>
        <v>3.1531326616716271</v>
      </c>
      <c r="AS41" s="154"/>
      <c r="AT41" s="153">
        <f t="shared" si="8"/>
        <v>1389.4980077501086</v>
      </c>
      <c r="AV41" s="153">
        <f t="shared" si="3"/>
        <v>8320.6046450607737</v>
      </c>
      <c r="AW41" s="273"/>
      <c r="AX41" s="155">
        <f t="shared" si="9"/>
        <v>9710.1026528108814</v>
      </c>
      <c r="AZ41" s="146">
        <f>+IF(AZ40&gt;$G$13+$G$14,XX,AZ40+1)</f>
        <v>2020</v>
      </c>
      <c r="BA41" s="117"/>
      <c r="BB41" s="154">
        <f t="shared" si="16"/>
        <v>88.183003407847451</v>
      </c>
      <c r="BD41" s="154">
        <f t="shared" si="17"/>
        <v>5.8066129087001217</v>
      </c>
      <c r="BF41" s="153">
        <f t="shared" si="10"/>
        <v>1609.4594217621047</v>
      </c>
      <c r="BH41" s="157"/>
    </row>
    <row r="42" spans="2:60" ht="12">
      <c r="B42" s="2"/>
      <c r="C42">
        <f>+IF(C41&gt;$G$13+$G$14,XX,C41+1)</f>
        <v>2021</v>
      </c>
      <c r="E42" s="169">
        <f>'(2.2)_Forward_Price_Curve'!S48</f>
        <v>2.1999999999999999E-2</v>
      </c>
      <c r="G42" s="18">
        <v>95040</v>
      </c>
      <c r="I42" s="28">
        <f t="shared" si="11"/>
        <v>217.33310516357616</v>
      </c>
      <c r="K42" s="28">
        <v>19.483434084281367</v>
      </c>
      <c r="M42" s="268">
        <f t="shared" si="4"/>
        <v>0</v>
      </c>
      <c r="O42" s="270">
        <v>0</v>
      </c>
      <c r="Q42" s="28"/>
      <c r="S42" s="18">
        <f t="shared" si="5"/>
        <v>4459.7028373330149</v>
      </c>
      <c r="U42" s="18">
        <f t="shared" si="0"/>
        <v>9875.687712758574</v>
      </c>
      <c r="W42" s="18">
        <f t="shared" si="1"/>
        <v>-5415.984875425559</v>
      </c>
      <c r="Y42" s="271">
        <f t="shared" si="6"/>
        <v>-56.986372847491154</v>
      </c>
      <c r="Z42" s="235"/>
      <c r="AB42" s="146">
        <f>+IF(AB41&gt;$G$13+$G$14,XX,AB41+1)</f>
        <v>2021</v>
      </c>
      <c r="AC42" s="117"/>
      <c r="AD42" s="151">
        <f t="shared" si="2"/>
        <v>95040</v>
      </c>
      <c r="AF42" s="154">
        <f t="shared" si="12"/>
        <v>141.17899117726986</v>
      </c>
      <c r="AH42" s="154">
        <f t="shared" si="13"/>
        <v>10.610315709525516</v>
      </c>
      <c r="AJ42" s="154">
        <f t="shared" si="14"/>
        <v>3.9943384237434048</v>
      </c>
      <c r="AL42" s="153">
        <f t="shared" si="7"/>
        <v>3063.8944328962971</v>
      </c>
      <c r="AN42" s="154">
        <f>INDEX('(2.2)_Forward_Price_Curve'!$J:$J,MATCH($AB42,'(2.2)_Forward_Price_Curve'!$C:$C,0),1)</f>
        <v>11.692083333333334</v>
      </c>
      <c r="AP42" s="154">
        <f t="shared" si="18"/>
        <v>85.757515348466342</v>
      </c>
      <c r="AR42" s="154">
        <f t="shared" si="15"/>
        <v>3.2225015802284029</v>
      </c>
      <c r="AS42" s="154"/>
      <c r="AT42" s="153">
        <f t="shared" si="8"/>
        <v>1419.0269038554259</v>
      </c>
      <c r="AV42" s="153">
        <f t="shared" si="3"/>
        <v>8456.6608089031488</v>
      </c>
      <c r="AW42" s="273"/>
      <c r="AX42" s="155">
        <f t="shared" si="9"/>
        <v>9875.687712758574</v>
      </c>
      <c r="AZ42" s="146">
        <f>+IF(AZ41&gt;$G$13+$G$14,XX,AZ41+1)</f>
        <v>2021</v>
      </c>
      <c r="BA42" s="117"/>
      <c r="BB42" s="154">
        <f t="shared" si="16"/>
        <v>90.123029482820101</v>
      </c>
      <c r="BD42" s="154">
        <f t="shared" si="17"/>
        <v>5.9343583926915242</v>
      </c>
      <c r="BF42" s="153">
        <f t="shared" si="10"/>
        <v>1644.8675290408712</v>
      </c>
      <c r="BH42" s="157"/>
    </row>
    <row r="43" spans="2:60" ht="12">
      <c r="B43" s="2"/>
      <c r="C43">
        <f>+IF(C42&gt;$G$13+$G$14,XX,C42+1)</f>
        <v>2022</v>
      </c>
      <c r="E43" s="169">
        <f>'(2.2)_Forward_Price_Curve'!S49</f>
        <v>2.1999999999999999E-2</v>
      </c>
      <c r="G43" s="18">
        <v>95040</v>
      </c>
      <c r="I43" s="28">
        <f t="shared" si="11"/>
        <v>222.11443347717486</v>
      </c>
      <c r="K43" s="28">
        <v>15.882643356991245</v>
      </c>
      <c r="M43" s="268">
        <f t="shared" si="4"/>
        <v>0</v>
      </c>
      <c r="O43" s="270">
        <v>0</v>
      </c>
      <c r="Q43" s="28"/>
      <c r="S43" s="18">
        <f t="shared" si="5"/>
        <v>4174.8596263745458</v>
      </c>
      <c r="U43" s="18">
        <f t="shared" si="0"/>
        <v>10067.584119466275</v>
      </c>
      <c r="W43" s="18">
        <f t="shared" si="1"/>
        <v>-5892.7244930917295</v>
      </c>
      <c r="Y43" s="271">
        <f t="shared" si="6"/>
        <v>-62.002572528322069</v>
      </c>
      <c r="Z43" s="235"/>
      <c r="AB43" s="146">
        <f>+IF(AB42&gt;$G$13+$G$14,XX,AB42+1)</f>
        <v>2022</v>
      </c>
      <c r="AC43" s="117"/>
      <c r="AD43" s="151">
        <f t="shared" si="2"/>
        <v>95040</v>
      </c>
      <c r="AF43" s="154">
        <f t="shared" si="12"/>
        <v>144.28492898316981</v>
      </c>
      <c r="AH43" s="154">
        <f t="shared" si="13"/>
        <v>10.843742655135078</v>
      </c>
      <c r="AJ43" s="154">
        <f t="shared" si="14"/>
        <v>4.0822138690657601</v>
      </c>
      <c r="AL43" s="153">
        <f t="shared" si="7"/>
        <v>3131.3001104200157</v>
      </c>
      <c r="AN43" s="154">
        <f>INDEX('(2.2)_Forward_Price_Curve'!$J:$J,MATCH($AB43,'(2.2)_Forward_Price_Curve'!$C:$C,0),1)</f>
        <v>11.912916666666668</v>
      </c>
      <c r="AP43" s="154">
        <f t="shared" si="18"/>
        <v>87.377253887174405</v>
      </c>
      <c r="AR43" s="154">
        <f t="shared" si="15"/>
        <v>3.2933966149934277</v>
      </c>
      <c r="AS43" s="154"/>
      <c r="AT43" s="153">
        <f t="shared" si="8"/>
        <v>1450.2454957402451</v>
      </c>
      <c r="AV43" s="153">
        <f t="shared" si="3"/>
        <v>8617.3386237260311</v>
      </c>
      <c r="AW43" s="273"/>
      <c r="AX43" s="155">
        <f t="shared" si="9"/>
        <v>10067.584119466275</v>
      </c>
      <c r="AZ43" s="146">
        <f>+IF(AZ42&gt;$G$13+$G$14,XX,AZ42+1)</f>
        <v>2022</v>
      </c>
      <c r="BA43" s="117"/>
      <c r="BB43" s="154">
        <f t="shared" si="16"/>
        <v>92.105736131442143</v>
      </c>
      <c r="BD43" s="154">
        <f t="shared" si="17"/>
        <v>6.0649142773307378</v>
      </c>
      <c r="BF43" s="153">
        <f t="shared" si="10"/>
        <v>1681.0546146797706</v>
      </c>
      <c r="BH43" s="157"/>
    </row>
    <row r="44" spans="2:60" ht="12">
      <c r="B44" s="2"/>
      <c r="C44">
        <f>+IF(C43&gt;$G$13+$G$14,XX,C43+1)</f>
        <v>2023</v>
      </c>
      <c r="E44" s="169">
        <f>'(2.2)_Forward_Price_Curve'!S50</f>
        <v>2.1999999999999999E-2</v>
      </c>
      <c r="G44" s="18">
        <v>95040</v>
      </c>
      <c r="I44" s="28">
        <f t="shared" si="11"/>
        <v>227.0009510136727</v>
      </c>
      <c r="K44" s="28">
        <v>15.501753614538119</v>
      </c>
      <c r="M44" s="268">
        <f t="shared" si="4"/>
        <v>0</v>
      </c>
      <c r="O44" s="270">
        <v>0</v>
      </c>
      <c r="Q44" s="28"/>
      <c r="S44" s="18">
        <f t="shared" si="5"/>
        <v>4197.2980756897759</v>
      </c>
      <c r="U44" s="18">
        <f t="shared" si="0"/>
        <v>10264.091453789402</v>
      </c>
      <c r="W44" s="18">
        <f t="shared" si="1"/>
        <v>-6066.7933780996264</v>
      </c>
      <c r="Y44" s="271">
        <f t="shared" si="6"/>
        <v>-63.834105409297408</v>
      </c>
      <c r="Z44" s="235"/>
      <c r="AB44" s="146">
        <f>+IF(AB43&gt;$G$13+$G$14,XX,AB43+1)</f>
        <v>2023</v>
      </c>
      <c r="AC44" s="117"/>
      <c r="AD44" s="151">
        <f t="shared" si="2"/>
        <v>95040</v>
      </c>
      <c r="AF44" s="154">
        <f t="shared" si="12"/>
        <v>147.45919742079954</v>
      </c>
      <c r="AH44" s="154">
        <f t="shared" si="13"/>
        <v>11.08230499354805</v>
      </c>
      <c r="AJ44" s="154">
        <f t="shared" si="14"/>
        <v>4.1720225741852071</v>
      </c>
      <c r="AL44" s="153">
        <f t="shared" si="7"/>
        <v>3200.1887128492558</v>
      </c>
      <c r="AN44" s="154">
        <f>INDEX('(2.2)_Forward_Price_Curve'!$J:$J,MATCH($AB44,'(2.2)_Forward_Price_Curve'!$C:$C,0),1)</f>
        <v>12.139166666666668</v>
      </c>
      <c r="AP44" s="154">
        <f t="shared" si="18"/>
        <v>89.03672186173759</v>
      </c>
      <c r="AR44" s="154">
        <f t="shared" si="15"/>
        <v>3.3658513405232831</v>
      </c>
      <c r="AS44" s="154"/>
      <c r="AT44" s="153">
        <f t="shared" si="8"/>
        <v>1482.1508966465306</v>
      </c>
      <c r="AV44" s="153">
        <f t="shared" si="3"/>
        <v>8781.9405571428724</v>
      </c>
      <c r="AW44" s="273"/>
      <c r="AX44" s="155">
        <f t="shared" si="9"/>
        <v>10264.091453789402</v>
      </c>
      <c r="AZ44" s="146">
        <f>+IF(AZ43&gt;$G$13+$G$14,XX,AZ43+1)</f>
        <v>2023</v>
      </c>
      <c r="BA44" s="117"/>
      <c r="BB44" s="154">
        <f t="shared" si="16"/>
        <v>94.132062326333866</v>
      </c>
      <c r="BD44" s="154">
        <f t="shared" si="17"/>
        <v>6.1983423914320142</v>
      </c>
      <c r="BF44" s="153">
        <f t="shared" si="10"/>
        <v>1718.0378162027253</v>
      </c>
      <c r="BH44" s="157"/>
    </row>
    <row r="45" spans="2:60" ht="12">
      <c r="B45" s="2"/>
      <c r="C45">
        <f>+IF(C44&gt;$G$13+$G$14,XX,C44+1)</f>
        <v>2024</v>
      </c>
      <c r="E45" s="169">
        <f>'(2.2)_Forward_Price_Curve'!S51</f>
        <v>2.1999999999999999E-2</v>
      </c>
      <c r="G45" s="18">
        <v>95300.383561643845</v>
      </c>
      <c r="I45" s="28">
        <f t="shared" si="11"/>
        <v>231.9949719359735</v>
      </c>
      <c r="K45" s="28">
        <v>15.8113105146567</v>
      </c>
      <c r="M45" s="268">
        <f t="shared" si="4"/>
        <v>0</v>
      </c>
      <c r="O45" s="270">
        <v>0</v>
      </c>
      <c r="Q45" s="28"/>
      <c r="S45" s="18">
        <f t="shared" si="5"/>
        <v>4290.7636198907176</v>
      </c>
      <c r="U45" s="18">
        <f t="shared" si="0"/>
        <v>10491.151395683086</v>
      </c>
      <c r="W45" s="18">
        <f t="shared" si="1"/>
        <v>-6200.3877757923683</v>
      </c>
      <c r="Y45" s="271">
        <f t="shared" si="6"/>
        <v>-65.061519629474802</v>
      </c>
      <c r="Z45" s="235"/>
      <c r="AB45" s="146">
        <f>+IF(AB44&gt;$G$13+$G$14,XX,AB44+1)</f>
        <v>2024</v>
      </c>
      <c r="AC45" s="117"/>
      <c r="AD45" s="151">
        <f t="shared" si="2"/>
        <v>95300.383561643845</v>
      </c>
      <c r="AF45" s="154">
        <f t="shared" si="12"/>
        <v>150.70329976405714</v>
      </c>
      <c r="AH45" s="154">
        <f t="shared" si="13"/>
        <v>11.326115703406106</v>
      </c>
      <c r="AJ45" s="154">
        <f t="shared" si="14"/>
        <v>4.2638070708172817</v>
      </c>
      <c r="AL45" s="153">
        <f t="shared" si="7"/>
        <v>3271.7030898032012</v>
      </c>
      <c r="AN45" s="154">
        <f>INDEX('(2.2)_Forward_Price_Curve'!$J:$J,MATCH($AB45,'(2.2)_Forward_Price_Curve'!$C:$C,0),1)</f>
        <v>12.371250000000002</v>
      </c>
      <c r="AP45" s="154">
        <f t="shared" si="18"/>
        <v>90.738975382606256</v>
      </c>
      <c r="AR45" s="154">
        <f t="shared" si="15"/>
        <v>3.4399000700147955</v>
      </c>
      <c r="AS45" s="154"/>
      <c r="AT45" s="153">
        <f t="shared" si="8"/>
        <v>1515.8684416440158</v>
      </c>
      <c r="AV45" s="153">
        <f t="shared" si="3"/>
        <v>8975.2829540390703</v>
      </c>
      <c r="AW45" s="273"/>
      <c r="AX45" s="155">
        <f t="shared" si="9"/>
        <v>10491.151395683086</v>
      </c>
      <c r="AZ45" s="146">
        <f>+IF(AZ44&gt;$G$13+$G$14,XX,AZ44+1)</f>
        <v>2024</v>
      </c>
      <c r="BA45" s="117"/>
      <c r="BB45" s="154">
        <f t="shared" si="16"/>
        <v>96.202967697513216</v>
      </c>
      <c r="BD45" s="154">
        <f t="shared" si="17"/>
        <v>6.3347059240435186</v>
      </c>
      <c r="BF45" s="153">
        <f t="shared" si="10"/>
        <v>1755.8346481591855</v>
      </c>
      <c r="BH45" s="157"/>
    </row>
    <row r="46" spans="2:60" ht="12">
      <c r="B46" s="2"/>
      <c r="C46">
        <f>+IF(C45&gt;$G$13+$G$14,XX,C45+1)</f>
        <v>2025</v>
      </c>
      <c r="E46" s="169">
        <f>'(2.2)_Forward_Price_Curve'!S52</f>
        <v>2.1999999999999999E-2</v>
      </c>
      <c r="G46" s="18">
        <v>95040</v>
      </c>
      <c r="I46" s="28">
        <f t="shared" si="11"/>
        <v>237.09886131856493</v>
      </c>
      <c r="K46" s="28">
        <v>15.487986515413308</v>
      </c>
      <c r="M46" s="268">
        <f t="shared" si="4"/>
        <v>0</v>
      </c>
      <c r="O46" s="270">
        <v>0</v>
      </c>
      <c r="Q46" s="28"/>
      <c r="S46" s="18">
        <f t="shared" si="5"/>
        <v>4317.1645742476603</v>
      </c>
      <c r="U46" s="18">
        <f t="shared" si="0"/>
        <v>10660.556494601678</v>
      </c>
      <c r="W46" s="18">
        <f t="shared" si="1"/>
        <v>-6343.3919203540181</v>
      </c>
      <c r="Y46" s="271">
        <f t="shared" si="6"/>
        <v>-66.744443606418542</v>
      </c>
      <c r="Z46" s="235"/>
      <c r="AB46" s="146">
        <f>+IF(AB45&gt;$G$13+$G$14,XX,AB45+1)</f>
        <v>2025</v>
      </c>
      <c r="AC46" s="117"/>
      <c r="AD46" s="151">
        <f t="shared" si="2"/>
        <v>95040</v>
      </c>
      <c r="AF46" s="154">
        <f t="shared" si="12"/>
        <v>154.01877235886639</v>
      </c>
      <c r="AH46" s="154">
        <f t="shared" si="13"/>
        <v>11.575290248881041</v>
      </c>
      <c r="AJ46" s="154">
        <f t="shared" si="14"/>
        <v>4.3576108263752618</v>
      </c>
      <c r="AL46" s="153">
        <f t="shared" si="7"/>
        <v>3342.5459075516424</v>
      </c>
      <c r="AN46" s="154">
        <f>INDEX('(2.2)_Forward_Price_Curve'!$J:$J,MATCH($AB46,'(2.2)_Forward_Price_Curve'!$C:$C,0),1)</f>
        <v>12.592916666666667</v>
      </c>
      <c r="AP46" s="154">
        <f t="shared" si="18"/>
        <v>92.364826142215108</v>
      </c>
      <c r="AR46" s="154">
        <f t="shared" si="15"/>
        <v>3.5155778715551209</v>
      </c>
      <c r="AS46" s="154"/>
      <c r="AT46" s="153">
        <f t="shared" si="8"/>
        <v>1548.0828971329547</v>
      </c>
      <c r="AV46" s="153">
        <f t="shared" si="3"/>
        <v>9112.4735974687228</v>
      </c>
      <c r="AW46" s="273"/>
      <c r="AX46" s="155">
        <f t="shared" si="9"/>
        <v>10660.556494601678</v>
      </c>
      <c r="AZ46" s="146">
        <f>+IF(AZ45&gt;$G$13+$G$14,XX,AZ45+1)</f>
        <v>2025</v>
      </c>
      <c r="BA46" s="117"/>
      <c r="BB46" s="154">
        <f t="shared" si="16"/>
        <v>98.319432986858516</v>
      </c>
      <c r="BD46" s="154">
        <f t="shared" si="17"/>
        <v>6.4740694543724757</v>
      </c>
      <c r="BF46" s="153">
        <f t="shared" si="10"/>
        <v>1794.4630104186876</v>
      </c>
      <c r="BH46" s="157"/>
    </row>
    <row r="47" spans="2:60" ht="12">
      <c r="B47" s="2"/>
      <c r="C47">
        <f>+IF(C46&gt;$G$13+$G$14,XX,C46+1)</f>
        <v>2026</v>
      </c>
      <c r="E47" s="169">
        <f>'(2.2)_Forward_Price_Curve'!S53</f>
        <v>2.1999999999999999E-2</v>
      </c>
      <c r="G47" s="18">
        <v>95040</v>
      </c>
      <c r="I47" s="28">
        <f t="shared" si="11"/>
        <v>242.31503626757336</v>
      </c>
      <c r="K47" s="28">
        <v>19.668595616314498</v>
      </c>
      <c r="M47" s="268">
        <f t="shared" si="4"/>
        <v>0</v>
      </c>
      <c r="O47" s="270">
        <v>0</v>
      </c>
      <c r="Q47" s="28"/>
      <c r="S47" s="18">
        <f t="shared" si="5"/>
        <v>4777.0837625854101</v>
      </c>
      <c r="U47" s="18">
        <f t="shared" si="0"/>
        <v>10859.680806101163</v>
      </c>
      <c r="W47" s="18">
        <f t="shared" si="1"/>
        <v>-6082.5970435157533</v>
      </c>
      <c r="Y47" s="271">
        <f t="shared" si="6"/>
        <v>-64.000389767632086</v>
      </c>
      <c r="Z47" s="235"/>
      <c r="AB47" s="146">
        <f>+IF(AB46&gt;$G$13+$G$14,XX,AB46+1)</f>
        <v>2026</v>
      </c>
      <c r="AC47" s="117"/>
      <c r="AD47" s="151">
        <f t="shared" si="2"/>
        <v>95040</v>
      </c>
      <c r="AF47" s="154">
        <f t="shared" si="12"/>
        <v>157.40718535076144</v>
      </c>
      <c r="AH47" s="154">
        <f t="shared" si="13"/>
        <v>11.829946634356425</v>
      </c>
      <c r="AJ47" s="154">
        <f t="shared" si="14"/>
        <v>4.4534782645555175</v>
      </c>
      <c r="AL47" s="153">
        <f t="shared" si="7"/>
        <v>3416.0819175177785</v>
      </c>
      <c r="AN47" s="154">
        <f>INDEX('(2.2)_Forward_Price_Curve'!$J:$J,MATCH($AB47,'(2.2)_Forward_Price_Curve'!$C:$C,0),1)</f>
        <v>12.819166666666668</v>
      </c>
      <c r="AP47" s="154">
        <f t="shared" si="18"/>
        <v>94.024294116778279</v>
      </c>
      <c r="AR47" s="154">
        <f t="shared" si="15"/>
        <v>3.5929205847293337</v>
      </c>
      <c r="AS47" s="154"/>
      <c r="AT47" s="153">
        <f t="shared" si="8"/>
        <v>1582.1407208698797</v>
      </c>
      <c r="AV47" s="153">
        <f t="shared" si="3"/>
        <v>9277.5400852312832</v>
      </c>
      <c r="AW47" s="273"/>
      <c r="AX47" s="155">
        <f t="shared" si="9"/>
        <v>10859.680806101163</v>
      </c>
      <c r="AZ47" s="146">
        <f>+IF(AZ46&gt;$G$13+$G$14,XX,AZ46+1)</f>
        <v>2026</v>
      </c>
      <c r="BA47" s="117"/>
      <c r="BB47" s="154">
        <f t="shared" si="16"/>
        <v>100.4824605125694</v>
      </c>
      <c r="BD47" s="154">
        <f t="shared" si="17"/>
        <v>6.61649898236867</v>
      </c>
      <c r="BF47" s="153">
        <f t="shared" si="10"/>
        <v>1833.9411966478988</v>
      </c>
      <c r="BH47" s="157"/>
    </row>
    <row r="48" spans="2:60" ht="12">
      <c r="B48" s="2"/>
      <c r="C48">
        <f>+IF(C47&gt;$G$13+$G$14,XX,C47+1)</f>
        <v>2027</v>
      </c>
      <c r="E48" s="169">
        <f>'(2.2)_Forward_Price_Curve'!S54</f>
        <v>2.1999999999999999E-2</v>
      </c>
      <c r="G48" s="18">
        <v>95040</v>
      </c>
      <c r="I48" s="28">
        <f t="shared" si="11"/>
        <v>247.64596706545998</v>
      </c>
      <c r="K48" s="28">
        <v>21.270168147834276</v>
      </c>
      <c r="M48" s="268">
        <f t="shared" si="4"/>
        <v>0</v>
      </c>
      <c r="O48" s="270">
        <v>0</v>
      </c>
      <c r="Q48" s="28"/>
      <c r="S48" s="18">
        <f t="shared" si="5"/>
        <v>4993.2683855556888</v>
      </c>
      <c r="U48" s="18">
        <f t="shared" si="0"/>
        <v>11072.496024492015</v>
      </c>
      <c r="W48" s="18">
        <f t="shared" si="1"/>
        <v>-6079.227638936326</v>
      </c>
      <c r="Y48" s="271">
        <f t="shared" si="6"/>
        <v>-63.964937278370435</v>
      </c>
      <c r="Z48" s="235"/>
      <c r="AB48" s="146">
        <f>+IF(AB47&gt;$G$13+$G$14,XX,AB47+1)</f>
        <v>2027</v>
      </c>
      <c r="AC48" s="117"/>
      <c r="AD48" s="151">
        <f t="shared" ref="AD48:AD53" si="19">G48</f>
        <v>95040</v>
      </c>
      <c r="AF48" s="154">
        <f t="shared" si="12"/>
        <v>160.8701434284782</v>
      </c>
      <c r="AH48" s="154">
        <f t="shared" si="13"/>
        <v>12.090205460312266</v>
      </c>
      <c r="AJ48" s="154">
        <f t="shared" si="14"/>
        <v>4.5514547863757393</v>
      </c>
      <c r="AL48" s="153">
        <f t="shared" ref="AL48:AL53" si="20">((AF48+AH48)*$AF$11*1000+AJ48*AD48)/1000</f>
        <v>3491.2357197031697</v>
      </c>
      <c r="AN48" s="154">
        <f>INDEX('(2.2)_Forward_Price_Curve'!$J:$J,MATCH($AB48,'(2.2)_Forward_Price_Curve'!$C:$C,0),1)</f>
        <v>13.063749999999999</v>
      </c>
      <c r="AP48" s="154">
        <f t="shared" ref="AP48:AP53" si="21">AN48*$AF$14/1000+$AJ$14*(1+E48)</f>
        <v>95.818230951158711</v>
      </c>
      <c r="AR48" s="154">
        <f t="shared" si="15"/>
        <v>3.6719648375933791</v>
      </c>
      <c r="AS48" s="154"/>
      <c r="AT48" s="153">
        <f t="shared" ref="AT48:AT53" si="22">AL48-BF48</f>
        <v>1616.9478167290172</v>
      </c>
      <c r="AV48" s="153">
        <f t="shared" ref="AV48:AV53" si="23">(AP48+AR48)*AD48/1000</f>
        <v>9455.5482077629986</v>
      </c>
      <c r="AW48" s="273"/>
      <c r="AX48" s="155">
        <f t="shared" ref="AX48:AX53" si="24">AT48+AV48</f>
        <v>11072.496024492015</v>
      </c>
      <c r="AZ48" s="146">
        <f>+IF(AZ47&gt;$G$13+$G$14,XX,AZ47+1)</f>
        <v>2027</v>
      </c>
      <c r="BA48" s="117"/>
      <c r="BB48" s="154">
        <f t="shared" si="16"/>
        <v>102.69307464384593</v>
      </c>
      <c r="BD48" s="154">
        <f t="shared" si="17"/>
        <v>6.7620619599807812</v>
      </c>
      <c r="BF48" s="153">
        <f t="shared" ref="BF48:BF53" si="25">(BB48+BD48)*$BD$11</f>
        <v>1874.2879029741525</v>
      </c>
      <c r="BH48" s="157"/>
    </row>
    <row r="49" spans="2:60" ht="12">
      <c r="B49" s="2"/>
      <c r="C49">
        <f>+IF(C48&gt;$G$13+$G$14,XX,C48+1)</f>
        <v>2028</v>
      </c>
      <c r="E49" s="169">
        <f>'(2.2)_Forward_Price_Curve'!S55</f>
        <v>2.1999999999999999E-2</v>
      </c>
      <c r="G49" s="18">
        <v>95300.383561643845</v>
      </c>
      <c r="I49" s="28">
        <f t="shared" si="11"/>
        <v>253.0941783409001</v>
      </c>
      <c r="K49" s="28">
        <v>21.678061814359875</v>
      </c>
      <c r="M49" s="268">
        <f t="shared" si="4"/>
        <v>0</v>
      </c>
      <c r="O49" s="270">
        <v>0</v>
      </c>
      <c r="Q49" s="28"/>
      <c r="S49" s="18">
        <f t="shared" ref="S49:S52" si="26">(I49*$G$11*1000+(K49+M49+O49+Q49)*G49)/1000</f>
        <v>5103.0577458723228</v>
      </c>
      <c r="U49" s="18">
        <f t="shared" ref="U49:U52" si="27">AX49</f>
        <v>11316.177213574983</v>
      </c>
      <c r="W49" s="18">
        <f t="shared" ref="W49:W52" si="28">S49-U49</f>
        <v>-6213.1194677026606</v>
      </c>
      <c r="Y49" s="271">
        <f t="shared" ref="Y49:Y52" si="29">+W49*1000/G49</f>
        <v>-65.195115019487645</v>
      </c>
      <c r="Z49" s="235"/>
      <c r="AB49" s="146">
        <f>+IF(AB48&gt;$G$13+$G$14,XX,AB48+1)</f>
        <v>2028</v>
      </c>
      <c r="AC49" s="117"/>
      <c r="AD49" s="151">
        <f t="shared" si="19"/>
        <v>95300.383561643845</v>
      </c>
      <c r="AF49" s="154">
        <f t="shared" si="12"/>
        <v>164.40928658390473</v>
      </c>
      <c r="AH49" s="154">
        <f t="shared" si="13"/>
        <v>12.356189980439137</v>
      </c>
      <c r="AJ49" s="154">
        <f t="shared" si="14"/>
        <v>4.6515867916760056</v>
      </c>
      <c r="AL49" s="153">
        <f t="shared" si="20"/>
        <v>3569.2541022727519</v>
      </c>
      <c r="AN49" s="154">
        <f>INDEX('(2.2)_Forward_Price_Curve'!$J:$J,MATCH($AB49,'(2.2)_Forward_Price_Curve'!$C:$C,0),1)</f>
        <v>13.311666666666667</v>
      </c>
      <c r="AP49" s="154">
        <f t="shared" si="21"/>
        <v>97.636616669142313</v>
      </c>
      <c r="AR49" s="154">
        <f t="shared" si="15"/>
        <v>3.7527480640204334</v>
      </c>
      <c r="AS49" s="154"/>
      <c r="AT49" s="153">
        <f t="shared" si="22"/>
        <v>1653.731865433168</v>
      </c>
      <c r="AV49" s="153">
        <f t="shared" si="23"/>
        <v>9662.445348141815</v>
      </c>
      <c r="AW49" s="273"/>
      <c r="AX49" s="155">
        <f t="shared" si="24"/>
        <v>11316.177213574983</v>
      </c>
      <c r="AZ49" s="146">
        <f>+IF(AZ48&gt;$G$13+$G$14,XX,AZ48+1)</f>
        <v>2028</v>
      </c>
      <c r="BA49" s="117"/>
      <c r="BB49" s="154">
        <f t="shared" si="16"/>
        <v>104.95232228601054</v>
      </c>
      <c r="BD49" s="154">
        <f t="shared" si="17"/>
        <v>6.9108273231003583</v>
      </c>
      <c r="BF49" s="153">
        <f t="shared" si="25"/>
        <v>1915.5222368395839</v>
      </c>
      <c r="BH49" s="157"/>
    </row>
    <row r="50" spans="2:60" ht="12">
      <c r="B50" s="2"/>
      <c r="C50">
        <f>+IF(C49&gt;$G$13+$G$14,XX,C49+1)</f>
        <v>2029</v>
      </c>
      <c r="E50" s="169">
        <f>'(2.2)_Forward_Price_Curve'!S56</f>
        <v>2.1999999999999999E-2</v>
      </c>
      <c r="G50" s="18">
        <v>95040</v>
      </c>
      <c r="I50" s="28">
        <f t="shared" si="11"/>
        <v>258.66225026439992</v>
      </c>
      <c r="K50" s="28">
        <v>22.216350307722539</v>
      </c>
      <c r="M50" s="268">
        <f t="shared" si="4"/>
        <v>0</v>
      </c>
      <c r="O50" s="270">
        <v>0</v>
      </c>
      <c r="Q50" s="28"/>
      <c r="S50" s="18">
        <f t="shared" si="26"/>
        <v>5215.388936418748</v>
      </c>
      <c r="U50" s="18">
        <f t="shared" si="27"/>
        <v>11509.94406321552</v>
      </c>
      <c r="W50" s="18">
        <f t="shared" si="28"/>
        <v>-6294.5551267967721</v>
      </c>
      <c r="Y50" s="271">
        <f t="shared" si="29"/>
        <v>-66.230588455353242</v>
      </c>
      <c r="Z50" s="235"/>
      <c r="AB50" s="146">
        <f>+IF(AB49&gt;$G$13+$G$14,XX,AB49+1)</f>
        <v>2029</v>
      </c>
      <c r="AC50" s="117"/>
      <c r="AD50" s="151">
        <f t="shared" si="19"/>
        <v>95040</v>
      </c>
      <c r="AF50" s="154">
        <f t="shared" si="12"/>
        <v>168.02629088875065</v>
      </c>
      <c r="AH50" s="154">
        <f t="shared" si="13"/>
        <v>12.628026160008798</v>
      </c>
      <c r="AJ50" s="154">
        <f t="shared" si="14"/>
        <v>4.753921701092878</v>
      </c>
      <c r="AL50" s="153">
        <f t="shared" si="20"/>
        <v>3646.539849458446</v>
      </c>
      <c r="AN50" s="154">
        <f>INDEX('(2.2)_Forward_Price_Curve'!$J:$J,MATCH($AB50,'(2.2)_Forward_Price_Curve'!$C:$C,0),1)</f>
        <v>13.565833333333336</v>
      </c>
      <c r="AP50" s="154">
        <f t="shared" si="21"/>
        <v>99.500844043881813</v>
      </c>
      <c r="AR50" s="154">
        <f t="shared" si="15"/>
        <v>3.8353085214288831</v>
      </c>
      <c r="AS50" s="154"/>
      <c r="AT50" s="153">
        <f t="shared" si="22"/>
        <v>1688.8761234083913</v>
      </c>
      <c r="AV50" s="153">
        <f t="shared" si="23"/>
        <v>9821.0679398071279</v>
      </c>
      <c r="AW50" s="273"/>
      <c r="AX50" s="155">
        <f t="shared" si="24"/>
        <v>11509.94406321552</v>
      </c>
      <c r="AZ50" s="146">
        <f>+IF(AZ49&gt;$G$13+$G$14,XX,AZ49+1)</f>
        <v>2029</v>
      </c>
      <c r="BA50" s="117"/>
      <c r="BB50" s="154">
        <f t="shared" si="16"/>
        <v>107.26127337630278</v>
      </c>
      <c r="BD50" s="154">
        <f t="shared" si="17"/>
        <v>7.0628655242085667</v>
      </c>
      <c r="BF50" s="153">
        <f t="shared" si="25"/>
        <v>1957.6637260500547</v>
      </c>
      <c r="BH50" s="157"/>
    </row>
    <row r="51" spans="2:60" ht="12">
      <c r="B51" s="2"/>
      <c r="C51">
        <f>+IF(C50&gt;$G$13+$G$14,XX,C50+1)</f>
        <v>2030</v>
      </c>
      <c r="E51" s="169">
        <f>'(2.2)_Forward_Price_Curve'!S57</f>
        <v>2.3E-2</v>
      </c>
      <c r="G51" s="18">
        <v>95040</v>
      </c>
      <c r="I51" s="28">
        <f t="shared" si="11"/>
        <v>264.61148202048111</v>
      </c>
      <c r="K51" s="28">
        <v>22.705110014492437</v>
      </c>
      <c r="M51" s="268">
        <f t="shared" si="4"/>
        <v>0</v>
      </c>
      <c r="O51" s="270">
        <v>0</v>
      </c>
      <c r="Q51" s="28"/>
      <c r="S51" s="18">
        <f t="shared" si="26"/>
        <v>5333.2314400231344</v>
      </c>
      <c r="U51" s="18">
        <f t="shared" si="27"/>
        <v>11735.800325038337</v>
      </c>
      <c r="W51" s="18">
        <f t="shared" si="28"/>
        <v>-6402.5688850152028</v>
      </c>
      <c r="Y51" s="271">
        <f t="shared" si="29"/>
        <v>-67.367096854116184</v>
      </c>
      <c r="Z51" s="235"/>
      <c r="AB51" s="146">
        <f>+IF(AB50&gt;$G$13+$G$14,XX,AB50+1)</f>
        <v>2030</v>
      </c>
      <c r="AC51" s="117"/>
      <c r="AD51" s="151">
        <f t="shared" si="19"/>
        <v>95040</v>
      </c>
      <c r="AF51" s="154">
        <f t="shared" si="12"/>
        <v>171.89089557919189</v>
      </c>
      <c r="AH51" s="154">
        <f t="shared" si="13"/>
        <v>12.918470761688999</v>
      </c>
      <c r="AJ51" s="154">
        <f t="shared" si="14"/>
        <v>4.8632619002180135</v>
      </c>
      <c r="AL51" s="153">
        <f t="shared" si="20"/>
        <v>3730.4102659959899</v>
      </c>
      <c r="AN51" s="154">
        <f>INDEX('(2.2)_Forward_Price_Curve'!$J:$J,MATCH($AB51,'(2.2)_Forward_Price_Curve'!$C:$C,0),1)</f>
        <v>13.822083333333332</v>
      </c>
      <c r="AP51" s="154">
        <f t="shared" si="21"/>
        <v>101.38035197087322</v>
      </c>
      <c r="AR51" s="154">
        <f t="shared" si="15"/>
        <v>3.923520617421747</v>
      </c>
      <c r="AS51" s="154"/>
      <c r="AT51" s="153">
        <f t="shared" si="22"/>
        <v>1727.7202742467837</v>
      </c>
      <c r="AV51" s="153">
        <f t="shared" si="23"/>
        <v>10008.080050791554</v>
      </c>
      <c r="AW51" s="273"/>
      <c r="AX51" s="155">
        <f t="shared" si="24"/>
        <v>11735.800325038337</v>
      </c>
      <c r="AZ51" s="146">
        <f>+IF(AZ50&gt;$G$13+$G$14,XX,AZ50+1)</f>
        <v>2030</v>
      </c>
      <c r="BA51" s="117"/>
      <c r="BB51" s="154">
        <f t="shared" si="16"/>
        <v>109.72828266395774</v>
      </c>
      <c r="BD51" s="154">
        <f t="shared" si="17"/>
        <v>7.2253114312653635</v>
      </c>
      <c r="BF51" s="153">
        <f t="shared" si="25"/>
        <v>2002.6899917492062</v>
      </c>
      <c r="BH51" s="157"/>
    </row>
    <row r="52" spans="2:60" ht="12">
      <c r="B52" s="2"/>
      <c r="C52">
        <f>+IF(C51&gt;$G$13+$G$14,XX,C51+1)</f>
        <v>2031</v>
      </c>
      <c r="E52" s="169">
        <f>'(2.2)_Forward_Price_Curve'!S58</f>
        <v>2.3E-2</v>
      </c>
      <c r="G52" s="18">
        <v>95040</v>
      </c>
      <c r="I52" s="28">
        <f t="shared" si="11"/>
        <v>270.69754610695213</v>
      </c>
      <c r="K52" s="28">
        <v>23.204622434811274</v>
      </c>
      <c r="M52" s="268">
        <f t="shared" si="4"/>
        <v>0</v>
      </c>
      <c r="O52" s="270">
        <v>0</v>
      </c>
      <c r="Q52" s="28"/>
      <c r="S52" s="18">
        <f t="shared" si="26"/>
        <v>5453.7378694878889</v>
      </c>
      <c r="U52" s="18">
        <f t="shared" si="27"/>
        <v>11967.390070710599</v>
      </c>
      <c r="W52" s="18">
        <f t="shared" si="28"/>
        <v>-6513.6522012227097</v>
      </c>
      <c r="Y52" s="271">
        <f t="shared" si="29"/>
        <v>-68.535902790642993</v>
      </c>
      <c r="Z52" s="235"/>
      <c r="AB52" s="146">
        <f>+IF(AB51&gt;$G$13+$G$14,XX,AB51+1)</f>
        <v>2031</v>
      </c>
      <c r="AC52" s="117"/>
      <c r="AD52" s="151">
        <f t="shared" si="19"/>
        <v>95040</v>
      </c>
      <c r="AF52" s="154">
        <f t="shared" si="12"/>
        <v>175.84438617751329</v>
      </c>
      <c r="AH52" s="154">
        <f t="shared" si="13"/>
        <v>13.215595589207846</v>
      </c>
      <c r="AJ52" s="154">
        <f t="shared" si="14"/>
        <v>4.9751169239230277</v>
      </c>
      <c r="AL52" s="153">
        <f t="shared" si="20"/>
        <v>3816.209702113897</v>
      </c>
      <c r="AN52" s="154">
        <f>INDEX('(2.2)_Forward_Price_Curve'!$J:$J,MATCH($AB52,'(2.2)_Forward_Price_Curve'!$C:$C,0),1)</f>
        <v>14.084999999999999</v>
      </c>
      <c r="AP52" s="154">
        <f t="shared" si="21"/>
        <v>103.30875766507094</v>
      </c>
      <c r="AR52" s="154">
        <f t="shared" si="15"/>
        <v>4.0137615916224467</v>
      </c>
      <c r="AS52" s="154"/>
      <c r="AT52" s="153">
        <f t="shared" si="22"/>
        <v>1767.4578405544594</v>
      </c>
      <c r="AV52" s="153">
        <f t="shared" si="23"/>
        <v>10199.932230156139</v>
      </c>
      <c r="AW52" s="273"/>
      <c r="AX52" s="155">
        <f t="shared" si="24"/>
        <v>11967.390070710599</v>
      </c>
      <c r="AZ52" s="146">
        <f>+IF(AZ51&gt;$G$13+$G$14,XX,AZ51+1)</f>
        <v>2031</v>
      </c>
      <c r="BA52" s="117"/>
      <c r="BB52" s="154">
        <f t="shared" si="16"/>
        <v>112.25203316522877</v>
      </c>
      <c r="BD52" s="154">
        <f t="shared" si="17"/>
        <v>7.3914935941844657</v>
      </c>
      <c r="BF52" s="153">
        <f t="shared" si="25"/>
        <v>2048.7518615594377</v>
      </c>
      <c r="BH52" s="157"/>
    </row>
    <row r="53" spans="2:60" ht="12">
      <c r="B53" s="2"/>
      <c r="C53">
        <f>+IF(C52&gt;$G$13+$G$14,XX,C52+1)</f>
        <v>2032</v>
      </c>
      <c r="E53" s="169">
        <f>'(2.2)_Forward_Price_Curve'!S59</f>
        <v>2.3E-2</v>
      </c>
      <c r="G53" s="18">
        <v>95300.383561643845</v>
      </c>
      <c r="I53" s="28">
        <f t="shared" si="11"/>
        <v>276.92358966741199</v>
      </c>
      <c r="K53" s="28">
        <v>23.649612735757295</v>
      </c>
      <c r="M53" s="268">
        <f t="shared" si="4"/>
        <v>0</v>
      </c>
      <c r="O53" s="270">
        <v>0</v>
      </c>
      <c r="Q53" s="28"/>
      <c r="S53" s="18">
        <f t="shared" si="5"/>
        <v>5576.9002408109509</v>
      </c>
      <c r="U53" s="18">
        <f t="shared" si="0"/>
        <v>12232.50869284994</v>
      </c>
      <c r="W53" s="18">
        <f t="shared" si="1"/>
        <v>-6655.6084520389895</v>
      </c>
      <c r="Y53" s="271">
        <f t="shared" si="6"/>
        <v>-69.838212641965853</v>
      </c>
      <c r="Z53" s="235"/>
      <c r="AB53" s="146">
        <f>+IF(AB52&gt;$G$13+$G$14,XX,AB52+1)</f>
        <v>2032</v>
      </c>
      <c r="AC53" s="117"/>
      <c r="AD53" s="151">
        <f t="shared" si="19"/>
        <v>95300.383561643845</v>
      </c>
      <c r="AF53" s="154">
        <f t="shared" si="12"/>
        <v>179.88880705959608</v>
      </c>
      <c r="AH53" s="154">
        <f t="shared" si="13"/>
        <v>13.519554287759625</v>
      </c>
      <c r="AJ53" s="154">
        <f t="shared" si="14"/>
        <v>5.0895446131732571</v>
      </c>
      <c r="AL53" s="153">
        <f t="shared" si="20"/>
        <v>3905.3077590160397</v>
      </c>
      <c r="AN53" s="154">
        <f>INDEX('(2.2)_Forward_Price_Curve'!$J:$J,MATCH($AB53,'(2.2)_Forward_Price_Curve'!$C:$C,0),1)</f>
        <v>14.351666666666667</v>
      </c>
      <c r="AP53" s="154">
        <f t="shared" si="21"/>
        <v>105.26466835332221</v>
      </c>
      <c r="AR53" s="154">
        <f t="shared" si="15"/>
        <v>4.106078108229763</v>
      </c>
      <c r="AS53" s="154"/>
      <c r="AT53" s="153">
        <f t="shared" si="22"/>
        <v>1809.434604640735</v>
      </c>
      <c r="AV53" s="153">
        <f t="shared" si="23"/>
        <v>10423.074088209205</v>
      </c>
      <c r="AW53" s="273"/>
      <c r="AX53" s="155">
        <f t="shared" si="24"/>
        <v>12232.50869284994</v>
      </c>
      <c r="AZ53" s="146">
        <f>+IF(AZ52&gt;$G$13+$G$14,XX,AZ52+1)</f>
        <v>2032</v>
      </c>
      <c r="BA53" s="117"/>
      <c r="BB53" s="154">
        <f t="shared" si="16"/>
        <v>114.83382992802902</v>
      </c>
      <c r="BD53" s="154">
        <f t="shared" si="17"/>
        <v>7.5614979468507082</v>
      </c>
      <c r="BF53" s="153">
        <f t="shared" si="25"/>
        <v>2095.8731543753047</v>
      </c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 ht="12">
      <c r="B57" s="2"/>
      <c r="E57" s="169"/>
      <c r="G57" s="18"/>
      <c r="I57" s="28"/>
      <c r="K57" s="28"/>
      <c r="M57" s="28"/>
      <c r="O57" s="270"/>
      <c r="Q57" s="28"/>
      <c r="S57" s="18"/>
      <c r="U57" s="18"/>
      <c r="W57" s="18"/>
      <c r="Y57" s="271"/>
      <c r="Z57" s="235"/>
      <c r="AB57" s="146"/>
      <c r="AC57" s="117"/>
      <c r="AD57" s="151"/>
      <c r="AF57" s="154"/>
      <c r="AH57" s="154"/>
      <c r="AJ57" s="154"/>
      <c r="AL57" s="153"/>
      <c r="AN57" s="154"/>
      <c r="AP57" s="154"/>
      <c r="AR57" s="154"/>
      <c r="AS57" s="154"/>
      <c r="AT57" s="153"/>
      <c r="AV57" s="153"/>
      <c r="AW57" s="273"/>
      <c r="AX57" s="155"/>
      <c r="AZ57" s="146"/>
      <c r="BA57" s="117"/>
      <c r="BB57" s="154"/>
      <c r="BD57" s="154"/>
      <c r="BF57" s="153"/>
      <c r="BH57" s="157"/>
    </row>
    <row r="58" spans="2:60" ht="12">
      <c r="B58" s="2"/>
      <c r="E58" s="169"/>
      <c r="G58" s="18"/>
      <c r="I58" s="28"/>
      <c r="K58" s="28"/>
      <c r="M58" s="28"/>
      <c r="O58" s="270"/>
      <c r="Q58" s="28"/>
      <c r="S58" s="18"/>
      <c r="U58" s="18"/>
      <c r="W58" s="18"/>
      <c r="Y58" s="271"/>
      <c r="Z58" s="235"/>
      <c r="AB58" s="146"/>
      <c r="AC58" s="117"/>
      <c r="AD58" s="151"/>
      <c r="AF58" s="154"/>
      <c r="AH58" s="154"/>
      <c r="AJ58" s="154"/>
      <c r="AL58" s="153"/>
      <c r="AN58" s="154"/>
      <c r="AP58" s="154"/>
      <c r="AR58" s="154"/>
      <c r="AS58" s="154"/>
      <c r="AT58" s="153"/>
      <c r="AV58" s="153"/>
      <c r="AW58" s="273"/>
      <c r="AX58" s="155"/>
      <c r="AZ58" s="146"/>
      <c r="BA58" s="117"/>
      <c r="BB58" s="154"/>
      <c r="BD58" s="154"/>
      <c r="BF58" s="153"/>
      <c r="BH58" s="157"/>
    </row>
    <row r="59" spans="2:60" ht="12">
      <c r="B59" s="2"/>
      <c r="E59" s="169"/>
      <c r="G59" s="18"/>
      <c r="I59" s="28"/>
      <c r="K59" s="28"/>
      <c r="M59" s="28"/>
      <c r="O59" s="270"/>
      <c r="Q59" s="28"/>
      <c r="S59" s="18"/>
      <c r="U59" s="18"/>
      <c r="W59" s="18"/>
      <c r="Y59" s="271"/>
      <c r="Z59" s="235"/>
      <c r="AB59" s="146"/>
      <c r="AC59" s="117"/>
      <c r="AD59" s="151"/>
      <c r="AF59" s="154"/>
      <c r="AH59" s="154"/>
      <c r="AJ59" s="154"/>
      <c r="AL59" s="153"/>
      <c r="AN59" s="154"/>
      <c r="AP59" s="154"/>
      <c r="AR59" s="154"/>
      <c r="AS59" s="154"/>
      <c r="AT59" s="153"/>
      <c r="AV59" s="153"/>
      <c r="AW59" s="273"/>
      <c r="AX59" s="155"/>
      <c r="AZ59" s="146"/>
      <c r="BA59" s="117"/>
      <c r="BB59" s="154"/>
      <c r="BD59" s="154"/>
      <c r="BF59" s="153"/>
      <c r="BH59" s="157"/>
    </row>
    <row r="60" spans="2:60" ht="12">
      <c r="B60" s="2"/>
      <c r="E60" s="169"/>
      <c r="G60" s="18"/>
      <c r="I60" s="28"/>
      <c r="K60" s="28"/>
      <c r="M60" s="28"/>
      <c r="O60" s="270"/>
      <c r="Q60" s="28"/>
      <c r="S60" s="18"/>
      <c r="U60" s="18"/>
      <c r="W60" s="18"/>
      <c r="Y60" s="271"/>
      <c r="Z60" s="235"/>
      <c r="AB60" s="146"/>
      <c r="AC60" s="117"/>
      <c r="AD60" s="151"/>
      <c r="AF60" s="154"/>
      <c r="AH60" s="154"/>
      <c r="AJ60" s="154"/>
      <c r="AL60" s="153"/>
      <c r="AN60" s="154"/>
      <c r="AP60" s="154"/>
      <c r="AR60" s="154"/>
      <c r="AS60" s="154"/>
      <c r="AT60" s="153"/>
      <c r="AV60" s="153"/>
      <c r="AW60" s="273"/>
      <c r="AX60" s="155"/>
      <c r="AZ60" s="146"/>
      <c r="BA60" s="117"/>
      <c r="BB60" s="154"/>
      <c r="BD60" s="154"/>
      <c r="BF60" s="153"/>
      <c r="BH60" s="157"/>
    </row>
    <row r="61" spans="2:60" ht="12">
      <c r="B61" s="2"/>
      <c r="E61" s="169"/>
      <c r="G61" s="18"/>
      <c r="I61" s="28"/>
      <c r="K61" s="28"/>
      <c r="M61" s="28"/>
      <c r="O61" s="270"/>
      <c r="Q61" s="28"/>
      <c r="S61" s="18"/>
      <c r="U61" s="18"/>
      <c r="W61" s="18"/>
      <c r="Y61" s="271"/>
      <c r="Z61" s="235"/>
      <c r="AB61" s="146"/>
      <c r="AC61" s="117"/>
      <c r="AD61" s="151"/>
      <c r="AF61" s="154"/>
      <c r="AH61" s="154"/>
      <c r="AJ61" s="154"/>
      <c r="AL61" s="153"/>
      <c r="AN61" s="154"/>
      <c r="AP61" s="154"/>
      <c r="AR61" s="154"/>
      <c r="AS61" s="154"/>
      <c r="AT61" s="153"/>
      <c r="AV61" s="153"/>
      <c r="AW61" s="273"/>
      <c r="AX61" s="155"/>
      <c r="AZ61" s="146"/>
      <c r="BA61" s="117"/>
      <c r="BB61" s="154"/>
      <c r="BD61" s="154"/>
      <c r="BF61" s="153"/>
      <c r="BH61" s="157"/>
    </row>
    <row r="62" spans="2:60" ht="12">
      <c r="B62" s="2"/>
      <c r="E62" s="169"/>
      <c r="G62" s="18"/>
      <c r="I62" s="28"/>
      <c r="K62" s="28"/>
      <c r="M62" s="28"/>
      <c r="O62" s="270"/>
      <c r="Q62" s="28"/>
      <c r="S62" s="18"/>
      <c r="U62" s="18"/>
      <c r="W62" s="18"/>
      <c r="Y62" s="271"/>
      <c r="Z62" s="235"/>
      <c r="AB62" s="146"/>
      <c r="AC62" s="117"/>
      <c r="AD62" s="151"/>
      <c r="AF62" s="154"/>
      <c r="AH62" s="154"/>
      <c r="AJ62" s="154"/>
      <c r="AL62" s="153"/>
      <c r="AN62" s="154"/>
      <c r="AP62" s="154"/>
      <c r="AR62" s="154"/>
      <c r="AS62" s="154"/>
      <c r="AT62" s="153"/>
      <c r="AV62" s="153"/>
      <c r="AW62" s="273"/>
      <c r="AX62" s="155"/>
      <c r="AZ62" s="146"/>
      <c r="BA62" s="117"/>
      <c r="BB62" s="154"/>
      <c r="BD62" s="154"/>
      <c r="BF62" s="153"/>
      <c r="BH62" s="157"/>
    </row>
    <row r="63" spans="2:60">
      <c r="B63" s="2"/>
      <c r="E63" s="169"/>
      <c r="G63" s="267"/>
      <c r="I63" s="267"/>
      <c r="K63" s="267"/>
      <c r="M63" s="267"/>
      <c r="O63" s="267"/>
      <c r="Q63" s="267"/>
      <c r="S63" s="267"/>
      <c r="U63" s="267"/>
      <c r="W63" s="267"/>
      <c r="Y63" s="267"/>
      <c r="Z63" s="235"/>
      <c r="AB63" s="2"/>
      <c r="AF63" s="274"/>
      <c r="AH63" s="274"/>
      <c r="AJ63" s="274"/>
      <c r="AL63" s="273"/>
      <c r="AN63" s="274"/>
      <c r="AP63" s="274"/>
      <c r="AR63" s="274"/>
      <c r="AS63" s="274"/>
      <c r="AT63" s="274"/>
      <c r="AV63" s="273"/>
      <c r="AW63" s="273"/>
      <c r="AX63" s="275"/>
      <c r="AZ63" s="2"/>
      <c r="BB63" s="274"/>
      <c r="BF63" s="273"/>
      <c r="BH63" s="235"/>
    </row>
    <row r="64" spans="2:60" ht="12">
      <c r="B64" s="2"/>
      <c r="C64" s="276" t="str">
        <f>G14&amp;"-year Nominal Levelized at "&amp;TEXT($G$18,"#.00%")</f>
        <v>26-year Nominal Levelized at 7.32%</v>
      </c>
      <c r="E64" s="169"/>
      <c r="G64" s="18">
        <f>+-PMT($G$18,$G$14,NPV($G$18,G28:G62))</f>
        <v>93610.458301428735</v>
      </c>
      <c r="I64" s="28">
        <f>+-PMT($G$18,$G$14,NPV($G$18,I28:I62))</f>
        <v>195.91500411726048</v>
      </c>
      <c r="J64" s="28"/>
      <c r="K64" s="28">
        <f>+-PMT($G$18,$G$14,NPV($G$18,K28:K62))</f>
        <v>25.588514350957322</v>
      </c>
      <c r="M64" s="28">
        <f>+-PMT($G$18,$G$14,NPV($G$18,M28:M62))</f>
        <v>0</v>
      </c>
      <c r="O64" s="28">
        <f>+-PMT($G$18,$G$14,NPV($G$18,O28:O62))</f>
        <v>0</v>
      </c>
      <c r="Q64" s="28">
        <f>+-PMT($G$18,$G$14,NPV($G$18,Q28:Q62))</f>
        <v>-21.17524254782824</v>
      </c>
      <c r="S64" s="18">
        <f>+-PMT($G$18,$G$14,NPV($G$18,S28:S62))</f>
        <v>2819.202047347113</v>
      </c>
      <c r="U64" s="18">
        <f>+-PMT($G$18,$G$14,NPV($G$18,U28:U62))</f>
        <v>8829.2935321472123</v>
      </c>
      <c r="W64" s="18">
        <f>+-PMT($G$18,$G$14,NPV($G$18,W28:W62))</f>
        <v>-6010.0914848000994</v>
      </c>
      <c r="Y64" s="271">
        <f>+-PMT($G$18,$G$14,NPV($G$18,Y28:Y62))</f>
        <v>-63.542288348681581</v>
      </c>
      <c r="Z64" s="235"/>
      <c r="AB64" s="2"/>
      <c r="AD64" s="151">
        <f>+-PMT($G$18,$G$14,NPV($G$18,AD28:AD62))</f>
        <v>93610.458301428735</v>
      </c>
      <c r="AF64" s="154">
        <f>+-PMT($G$18,$G$14,NPV($G$18,AF28:AF62))</f>
        <v>127.26585126986444</v>
      </c>
      <c r="AH64" s="154">
        <f>+-PMT($G$18,$G$14,NPV($G$18,AH28:AH62))</f>
        <v>9.5646728295377379</v>
      </c>
      <c r="AJ64" s="154">
        <f>+-PMT($G$18,$G$14,NPV($G$18,AJ28:AJ62))</f>
        <v>3.6006977774712814</v>
      </c>
      <c r="AL64" s="153">
        <f>+-PMT($G$18,$G$14,NPV($G$18,AL28:AL62))</f>
        <v>2757.8097077534921</v>
      </c>
      <c r="AN64" s="154">
        <f>+-PMT($G$18,$G$14,NPV($G$18,AN28:AN62))</f>
        <v>10.437282608914646</v>
      </c>
      <c r="AP64" s="154">
        <f>+-PMT($G$18,$G$14,NPV($G$18,AP28:AP62))</f>
        <v>76.553972291531593</v>
      </c>
      <c r="AR64" s="154">
        <f>+-PMT($G$18,$G$14,NPV($G$18,AR28:AR62))</f>
        <v>2.9049251833177898</v>
      </c>
      <c r="AS64" s="154"/>
      <c r="AT64" s="153">
        <f>+-PMT($G$18,$G$14,NPV($G$18,AT28:AT62))</f>
        <v>1275.0432949612712</v>
      </c>
      <c r="AV64" s="153">
        <f>+-PMT($G$18,$G$14,NPV($G$18,AV28:AV62))</f>
        <v>7554.25023718594</v>
      </c>
      <c r="AW64" s="273"/>
      <c r="AX64" s="155">
        <f>+-PMT($G$18,$G$14,NPV($G$18,AX28:AX62))</f>
        <v>8829.2935321472123</v>
      </c>
      <c r="AZ64" s="2"/>
      <c r="BB64" s="154">
        <f>+-PMT($G$18,$G$14,NPV($G$18,BB28:BB62))</f>
        <v>81.241436636620648</v>
      </c>
      <c r="BD64" s="154">
        <f>+-PMT($G$18,$G$14,NPV($G$18,BD28:BD62))</f>
        <v>5.3495294610657842</v>
      </c>
      <c r="BF64" s="153">
        <f>+-PMT($G$18,$G$14,NPV($G$18,BF28:BF62))</f>
        <v>1482.7664127922212</v>
      </c>
      <c r="BH64" s="157"/>
    </row>
    <row r="65" spans="2:60">
      <c r="B65" s="2"/>
      <c r="E65" s="169"/>
      <c r="W65" s="18"/>
      <c r="Y65" s="271"/>
      <c r="Z65" s="235"/>
      <c r="AB65" s="2"/>
      <c r="AT65" s="273"/>
      <c r="AX65" s="235"/>
      <c r="AZ65" s="2"/>
      <c r="BH65" s="235"/>
    </row>
    <row r="66" spans="2:60">
      <c r="B66" s="238"/>
      <c r="C66" s="277"/>
      <c r="D66" s="277"/>
      <c r="E66" s="278"/>
      <c r="F66" s="277"/>
      <c r="G66" s="277"/>
      <c r="H66" s="277"/>
      <c r="I66" s="277"/>
      <c r="J66" s="277"/>
      <c r="K66" s="277"/>
      <c r="L66" s="277"/>
      <c r="M66" s="277"/>
      <c r="N66" s="277"/>
      <c r="O66" s="277"/>
      <c r="P66" s="277"/>
      <c r="Q66" s="277"/>
      <c r="R66" s="277"/>
      <c r="S66" s="277"/>
      <c r="T66" s="277"/>
      <c r="U66" s="277"/>
      <c r="V66" s="277"/>
      <c r="W66" s="277"/>
      <c r="X66" s="277"/>
      <c r="Y66" s="277"/>
      <c r="Z66" s="239"/>
      <c r="AB66" s="238"/>
      <c r="AC66" s="277"/>
      <c r="AD66" s="277"/>
      <c r="AE66" s="277"/>
      <c r="AF66" s="277"/>
      <c r="AG66" s="277"/>
      <c r="AH66" s="277"/>
      <c r="AI66" s="277"/>
      <c r="AJ66" s="277"/>
      <c r="AK66" s="277"/>
      <c r="AL66" s="277"/>
      <c r="AM66" s="277"/>
      <c r="AN66" s="277"/>
      <c r="AO66" s="277"/>
      <c r="AP66" s="277"/>
      <c r="AQ66" s="277"/>
      <c r="AR66" s="277"/>
      <c r="AS66" s="277"/>
      <c r="AT66" s="277"/>
      <c r="AU66" s="277"/>
      <c r="AV66" s="277"/>
      <c r="AW66" s="277"/>
      <c r="AX66" s="239"/>
      <c r="AZ66" s="238"/>
      <c r="BA66" s="277"/>
      <c r="BB66" s="277"/>
      <c r="BC66" s="277"/>
      <c r="BD66" s="277"/>
      <c r="BE66" s="277"/>
      <c r="BF66" s="277"/>
      <c r="BG66" s="277"/>
      <c r="BH66" s="239"/>
    </row>
    <row r="67" spans="2:60">
      <c r="E67" s="169"/>
    </row>
    <row r="68" spans="2:60">
      <c r="E68" s="169"/>
      <c r="G68" s="18"/>
      <c r="I68" s="18"/>
      <c r="K68" s="18"/>
      <c r="O68" s="18"/>
      <c r="Q68" s="18"/>
      <c r="S68" s="18"/>
      <c r="U68" s="18"/>
      <c r="W68" s="18"/>
    </row>
    <row r="69" spans="2:60">
      <c r="E69" s="169"/>
    </row>
    <row r="70" spans="2:60">
      <c r="E70" s="169"/>
    </row>
    <row r="71" spans="2:60">
      <c r="E71" s="169"/>
    </row>
    <row r="72" spans="2:60">
      <c r="E72" s="169"/>
    </row>
    <row r="73" spans="2:60">
      <c r="E73" s="169"/>
    </row>
    <row r="74" spans="2:60">
      <c r="E74" s="169"/>
    </row>
    <row r="75" spans="2:60">
      <c r="E75" s="169"/>
    </row>
    <row r="76" spans="2:60">
      <c r="E76" s="169"/>
    </row>
    <row r="77" spans="2:60">
      <c r="E77" s="169"/>
    </row>
    <row r="78" spans="2:60">
      <c r="E78" s="169"/>
    </row>
    <row r="79" spans="2:60">
      <c r="E79" s="169"/>
    </row>
    <row r="80" spans="2:60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  <row r="85" spans="5:5">
      <c r="E85" s="169"/>
    </row>
    <row r="86" spans="5:5">
      <c r="E86" s="169"/>
    </row>
    <row r="87" spans="5:5">
      <c r="E87" s="169"/>
    </row>
    <row r="88" spans="5:5">
      <c r="E88" s="169"/>
    </row>
    <row r="89" spans="5:5">
      <c r="E89" s="169"/>
    </row>
    <row r="90" spans="5:5">
      <c r="E90" s="169"/>
    </row>
  </sheetData>
  <pageMargins left="0.25" right="0.25" top="0.25" bottom="0.75" header="0.3" footer="0.3"/>
  <pageSetup paperSize="5" scale="4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46CC-F793-434F-A881-1B0E567278FC}">
  <sheetPr codeName="Sheet7">
    <tabColor theme="0" tint="-0.249977111117893"/>
    <pageSetUpPr fitToPage="1"/>
  </sheetPr>
  <dimension ref="A1:BH84"/>
  <sheetViews>
    <sheetView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3.164062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315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223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99</v>
      </c>
      <c r="H11" s="252"/>
      <c r="AB11" s="122" t="s">
        <v>99</v>
      </c>
      <c r="AC11" s="123"/>
      <c r="AD11" s="123"/>
      <c r="AE11" s="123"/>
      <c r="AF11" s="281">
        <f>+G11*(G12/AJ16)</f>
        <v>76.042753820960684</v>
      </c>
      <c r="AG11" s="127"/>
      <c r="AH11" s="123" t="s">
        <v>100</v>
      </c>
      <c r="AI11" s="124"/>
      <c r="AJ11" s="166">
        <f>'(2.1)_Proxy Resources'!N94</f>
        <v>7.5808934397681389</v>
      </c>
      <c r="AK11" s="235"/>
      <c r="AZ11" s="122" t="s">
        <v>99</v>
      </c>
      <c r="BA11" s="123"/>
      <c r="BB11" s="123"/>
      <c r="BC11" s="123"/>
      <c r="BD11" s="134">
        <f>(AF11*AF13-G11*G19)</f>
        <v>71.419453820960683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0.374</v>
      </c>
      <c r="H12" s="252"/>
      <c r="AB12" s="122" t="s">
        <v>32</v>
      </c>
      <c r="AC12" s="123"/>
      <c r="AD12" s="123"/>
      <c r="AE12" s="123"/>
      <c r="AF12" s="131">
        <f>+AD58/8760/AF11</f>
        <v>0.44220914574100206</v>
      </c>
      <c r="AG12" s="127"/>
      <c r="AH12" s="117" t="s">
        <v>101</v>
      </c>
      <c r="AI12" s="118"/>
      <c r="AJ12" s="117">
        <v>2008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2009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Resources'!$O$94</f>
        <v>2.8538881199911357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20</v>
      </c>
      <c r="H14" s="252"/>
      <c r="AB14" s="122" t="s">
        <v>104</v>
      </c>
      <c r="AC14" s="123"/>
      <c r="AD14" s="123"/>
      <c r="AE14" s="123"/>
      <c r="AF14" s="134">
        <f>'(2.1)_Proxy Resources'!H94*(1+E28)</f>
        <v>7277.4747099407059</v>
      </c>
      <c r="AG14" s="127"/>
      <c r="AH14" s="117"/>
      <c r="AI14" s="118"/>
      <c r="AJ14" s="166"/>
      <c r="AK14" s="235"/>
      <c r="AZ14" s="122" t="s">
        <v>192</v>
      </c>
      <c r="BA14" s="123"/>
      <c r="BB14" s="123"/>
      <c r="BC14" s="123"/>
      <c r="BD14" s="167">
        <f>'(2.1)_Proxy Resources'!J95</f>
        <v>747</v>
      </c>
      <c r="BE14" s="132"/>
    </row>
    <row r="15" spans="1:57" ht="12">
      <c r="A15" t="s">
        <v>138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192</v>
      </c>
      <c r="AC15" s="123"/>
      <c r="AD15" s="123"/>
      <c r="AE15" s="123"/>
      <c r="AF15" s="167">
        <f>'(2.1)_Proxy Resources'!J94</f>
        <v>1174.8198494434653</v>
      </c>
      <c r="AG15" s="127"/>
      <c r="AH15" s="117" t="s">
        <v>145</v>
      </c>
      <c r="AI15" s="118"/>
      <c r="AJ15" s="166">
        <f>'(2.1)_Proxy Resources'!$P$81</f>
        <v>2.302423580786026</v>
      </c>
      <c r="AK15" s="235"/>
      <c r="AZ15" s="122" t="s">
        <v>108</v>
      </c>
      <c r="BA15" s="123"/>
      <c r="BB15" s="123"/>
      <c r="BC15" s="123"/>
      <c r="BD15" s="136">
        <f>'(2.1)_Proxy Resources'!K95</f>
        <v>8.6199999999999999E-2</v>
      </c>
      <c r="BE15" s="132"/>
    </row>
    <row r="16" spans="1:57" ht="12">
      <c r="A16" t="s">
        <v>138</v>
      </c>
      <c r="B16" s="250"/>
      <c r="C16" s="231" t="s">
        <v>109</v>
      </c>
      <c r="D16" s="231"/>
      <c r="E16" s="231"/>
      <c r="F16" s="231"/>
      <c r="G16" s="283">
        <v>0</v>
      </c>
      <c r="H16" s="252"/>
      <c r="AB16" s="122" t="s">
        <v>108</v>
      </c>
      <c r="AC16" s="123"/>
      <c r="AD16" s="123"/>
      <c r="AE16" s="123"/>
      <c r="AF16" s="136">
        <f>'(2.1)_Proxy Resources'!K92</f>
        <v>8.5860000000000006E-2</v>
      </c>
      <c r="AG16" s="127"/>
      <c r="AH16" s="117" t="s">
        <v>110</v>
      </c>
      <c r="AI16" s="124"/>
      <c r="AJ16" s="137">
        <f>'(2.1)_Proxy Resources'!$D$81</f>
        <v>0.48691029900332239</v>
      </c>
      <c r="AK16" s="235"/>
      <c r="AZ16" s="122" t="s">
        <v>100</v>
      </c>
      <c r="BA16" s="124"/>
      <c r="BB16" s="166">
        <f>'(2.1)_Proxy Resources'!N95</f>
        <v>4.24</v>
      </c>
      <c r="BE16" s="130"/>
    </row>
    <row r="17" spans="1:60" ht="12">
      <c r="A17" t="s">
        <v>138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2008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'(2.2)_Forward_Price_Curve'!AA5</f>
        <v>7.3164524549999999E-2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'(2.2)_Forward_Price_Curve'!I103</f>
        <v>4.6699999999999998E-2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2009</v>
      </c>
      <c r="E28" s="169">
        <f>+INDEX('(2.2)_Forward_Price_Curve'!$U:$U,MATCH($C28,'(2.2)_Forward_Price_Curve'!C:C,0))</f>
        <v>1.7999999999999999E-2</v>
      </c>
      <c r="G28" s="18">
        <v>39974.699999999997</v>
      </c>
      <c r="I28" s="268">
        <f>$G$15*(1+E28)</f>
        <v>0</v>
      </c>
      <c r="J28" s="268"/>
      <c r="K28" s="268">
        <v>63.8</v>
      </c>
      <c r="L28" s="269"/>
      <c r="M28" s="268">
        <f>$G$17</f>
        <v>0</v>
      </c>
      <c r="O28" s="270">
        <f>'(2.2)_Forward_Price_Curve'!Y23</f>
        <v>5.2748738999999985</v>
      </c>
      <c r="Q28" s="28"/>
      <c r="S28" s="18">
        <f>(I28*$G$11*1000+(K28+M28+O28+Q28)*G28)/1000</f>
        <v>2761.2473616903299</v>
      </c>
      <c r="U28" s="18">
        <f t="shared" ref="U28:U46" si="0">AX28</f>
        <v>7062.3088561280674</v>
      </c>
      <c r="W28" s="18">
        <f t="shared" ref="W28:W46" si="1">S28-U28</f>
        <v>-4301.0614944377376</v>
      </c>
      <c r="Y28" s="271">
        <f>+W28*1000/G28</f>
        <v>-107.59459093971282</v>
      </c>
      <c r="Z28" s="235"/>
      <c r="AB28" s="146">
        <f>$C$28</f>
        <v>2009</v>
      </c>
      <c r="AC28" s="117"/>
      <c r="AD28" s="151">
        <f t="shared" ref="AD28:AD46" si="2">G28</f>
        <v>39974.699999999997</v>
      </c>
      <c r="AF28" s="152">
        <f>$AF$15*$AF$16*(1+E28)</f>
        <v>102.68569285413383</v>
      </c>
      <c r="AG28" s="272"/>
      <c r="AH28" s="152">
        <f>$AJ$11*(1+E28)</f>
        <v>7.7173495216839658</v>
      </c>
      <c r="AI28" s="272"/>
      <c r="AJ28" s="152">
        <f>$AJ$13*(1+E28)</f>
        <v>2.9052581061509763</v>
      </c>
      <c r="AK28" s="272"/>
      <c r="AL28" s="153">
        <f>((AF28+AH28)*$AF$11*1000+AJ28*AD28)/1000</f>
        <v>8511.4881936853581</v>
      </c>
      <c r="AN28" s="154">
        <f>INDEX('(2.2)_Forward_Price_Curve'!$J:$J,MATCH($AB28,'(2.2)_Forward_Price_Curve'!$C:$C,0),1)</f>
        <v>11.848729166666667</v>
      </c>
      <c r="AO28" s="279"/>
      <c r="AP28" s="154">
        <f>AN28*$AF$14/1000+$AJ$14/(1+E29)</f>
        <v>86.228826855353489</v>
      </c>
      <c r="AQ28" s="272"/>
      <c r="AR28" s="152">
        <f>$AJ$15*(1+E28)</f>
        <v>2.3438672052401746</v>
      </c>
      <c r="AS28" s="152"/>
      <c r="AT28" s="153">
        <f>AL28-BF28</f>
        <v>3521.6419828640546</v>
      </c>
      <c r="AU28" s="272"/>
      <c r="AV28" s="153">
        <f t="shared" ref="AV28:AV46" si="3">(AP28+AR28)*AD28/1000</f>
        <v>3540.6668732640132</v>
      </c>
      <c r="AW28" s="273"/>
      <c r="AX28" s="155">
        <f>AT28+AV28</f>
        <v>7062.3088561280674</v>
      </c>
      <c r="AZ28" s="146">
        <f>$C$28</f>
        <v>2009</v>
      </c>
      <c r="BA28" s="117"/>
      <c r="BB28" s="152">
        <f>$BD$14*$BD$15*(1+E28)</f>
        <v>65.550445199999999</v>
      </c>
      <c r="BD28" s="152">
        <f>$BB$16*(1+E28)</f>
        <v>4.3163200000000002</v>
      </c>
      <c r="BE28" s="272"/>
      <c r="BF28" s="153">
        <f>(BB28+BD28)*$BD$11</f>
        <v>4989.8462108213034</v>
      </c>
      <c r="BG28" s="272"/>
      <c r="BH28" s="156"/>
    </row>
    <row r="29" spans="1:60" ht="12">
      <c r="B29" s="2"/>
      <c r="C29">
        <f>+IF(C28&gt;$G$13+$G$14,XX,C28+1)</f>
        <v>2010</v>
      </c>
      <c r="E29" s="169">
        <f>+INDEX('(2.2)_Forward_Price_Curve'!$U:$U,MATCH($C29,'(2.2)_Forward_Price_Curve'!C:C,0))</f>
        <v>1.7999999999999999E-2</v>
      </c>
      <c r="G29" s="18">
        <v>299989.49999999994</v>
      </c>
      <c r="I29" s="28">
        <f>I28*(1+$E29)</f>
        <v>0</v>
      </c>
      <c r="K29" s="28">
        <v>63.8</v>
      </c>
      <c r="M29" s="28">
        <f>M28*(1+$E29)</f>
        <v>0</v>
      </c>
      <c r="O29" s="270">
        <f>'(2.2)_Forward_Price_Curve'!Y24</f>
        <v>5.3750965040999983</v>
      </c>
      <c r="Q29" s="28"/>
      <c r="S29" s="18">
        <f t="shared" ref="S29:S46" si="4">(I29*$G$11*1000+(K29+M29+O29+Q29)*G29)/1000</f>
        <v>20751.8026127167</v>
      </c>
      <c r="U29" s="18">
        <f t="shared" si="0"/>
        <v>28728.528057563424</v>
      </c>
      <c r="W29" s="18">
        <f t="shared" si="1"/>
        <v>-7976.7254448467247</v>
      </c>
      <c r="Y29" s="271">
        <f t="shared" ref="Y29:Y46" si="5">+W29*1000/G29</f>
        <v>-26.590015466697089</v>
      </c>
      <c r="Z29" s="235"/>
      <c r="AB29" s="146">
        <f>+IF(AB28&gt;$G$13+$G$14,XX,AB28+1)</f>
        <v>2010</v>
      </c>
      <c r="AC29" s="117"/>
      <c r="AD29" s="151">
        <f t="shared" si="2"/>
        <v>299989.49999999994</v>
      </c>
      <c r="AF29" s="154">
        <f>AF28*(1+$E29)</f>
        <v>104.53403532550824</v>
      </c>
      <c r="AH29" s="154">
        <f>AH28*(1+$E29)</f>
        <v>7.8562618130742772</v>
      </c>
      <c r="AJ29" s="154">
        <f>AJ28*(1+$E29)</f>
        <v>2.957552752061694</v>
      </c>
      <c r="AL29" s="153">
        <f t="shared" ref="AL29:AL46" si="6">((AF29+AH29)*$AF$11*1000+AJ29*AD29)/1000</f>
        <v>9433.7024684884655</v>
      </c>
      <c r="AN29" s="154">
        <f>INDEX('(2.2)_Forward_Price_Curve'!$J:$J,MATCH($AB29,'(2.2)_Forward_Price_Curve'!$C:$C,0),1)</f>
        <v>10.836874999999999</v>
      </c>
      <c r="AP29" s="154">
        <f>AN29*$AF$14/1000+$AJ$14</f>
        <v>78.865083747288679</v>
      </c>
      <c r="AR29" s="154">
        <f>AR28*(1+$E29)</f>
        <v>2.3860568149344976</v>
      </c>
      <c r="AS29" s="154"/>
      <c r="AT29" s="153">
        <f t="shared" ref="AT29:AT46" si="7">AL29-BF29</f>
        <v>4354.0390258723801</v>
      </c>
      <c r="AV29" s="153">
        <f t="shared" si="3"/>
        <v>24374.489031691046</v>
      </c>
      <c r="AW29" s="273"/>
      <c r="AX29" s="155">
        <f t="shared" ref="AX29:AX46" si="8">AT29+AV29</f>
        <v>28728.528057563424</v>
      </c>
      <c r="AZ29" s="146">
        <f>+IF(AZ28&gt;$G$13+$G$14,XX,AZ28+1)</f>
        <v>2010</v>
      </c>
      <c r="BA29" s="117"/>
      <c r="BB29" s="154">
        <f>BB28*(1+$E29)</f>
        <v>66.730353213599997</v>
      </c>
      <c r="BD29" s="154">
        <f>BD28*(1+$E29)</f>
        <v>4.39401376</v>
      </c>
      <c r="BF29" s="153">
        <f t="shared" ref="BF29:BF46" si="9">(BB29+BD29)*$BD$11</f>
        <v>5079.6634426160854</v>
      </c>
      <c r="BH29" s="157"/>
    </row>
    <row r="30" spans="1:60" ht="12">
      <c r="B30" s="2"/>
      <c r="C30">
        <f>+IF(C29&gt;$G$13+$G$14,XX,C29+1)</f>
        <v>2011</v>
      </c>
      <c r="E30" s="169">
        <f>+INDEX('(2.2)_Forward_Price_Curve'!$U:$U,MATCH($C30,'(2.2)_Forward_Price_Curve'!C:C,0))</f>
        <v>1.9E-2</v>
      </c>
      <c r="G30" s="18">
        <v>299989.49999999994</v>
      </c>
      <c r="I30" s="28">
        <f t="shared" ref="I30:I47" si="10">I29*(1+$E30)</f>
        <v>0</v>
      </c>
      <c r="K30" s="28">
        <v>63.8</v>
      </c>
      <c r="M30" s="28">
        <f t="shared" ref="M30:M46" si="11">M29*(1+$E30)</f>
        <v>0</v>
      </c>
      <c r="O30" s="270">
        <f>'(2.2)_Forward_Price_Curve'!Y25</f>
        <v>5.4772233376778976</v>
      </c>
      <c r="Q30" s="28"/>
      <c r="S30" s="18">
        <f t="shared" si="4"/>
        <v>20782.439590458318</v>
      </c>
      <c r="U30" s="18">
        <f t="shared" si="0"/>
        <v>27913.610455216432</v>
      </c>
      <c r="W30" s="18">
        <f t="shared" si="1"/>
        <v>-7131.1708647581145</v>
      </c>
      <c r="Y30" s="271">
        <f t="shared" si="5"/>
        <v>-23.771401548247908</v>
      </c>
      <c r="Z30" s="235"/>
      <c r="AB30" s="146">
        <f>+IF(AB29&gt;$G$13+$G$14,XX,AB29+1)</f>
        <v>2011</v>
      </c>
      <c r="AC30" s="117"/>
      <c r="AD30" s="151">
        <f t="shared" si="2"/>
        <v>299989.49999999994</v>
      </c>
      <c r="AF30" s="154">
        <f t="shared" ref="AF30:AF47" si="12">AF29*(1+$E30)</f>
        <v>106.52018199669288</v>
      </c>
      <c r="AH30" s="154">
        <f t="shared" ref="AH30:AH47" si="13">AH29*(1+$E30)</f>
        <v>8.0055307875226873</v>
      </c>
      <c r="AJ30" s="154">
        <f t="shared" ref="AJ30:AJ47" si="14">AJ29*(1+$E30)</f>
        <v>3.013746254350866</v>
      </c>
      <c r="AL30" s="153">
        <f t="shared" si="6"/>
        <v>9612.9428153897443</v>
      </c>
      <c r="AN30" s="154">
        <f>INDEX('(2.2)_Forward_Price_Curve'!$J:$J,MATCH($AB30,'(2.2)_Forward_Price_Curve'!$C:$C,0),1)</f>
        <v>10.419479166666667</v>
      </c>
      <c r="AP30" s="154">
        <f>AN30*$AF$14/1000+$AJ$14*(1+E30)</f>
        <v>75.827496126170729</v>
      </c>
      <c r="AR30" s="154">
        <f t="shared" ref="AR30:AR47" si="15">AR29*(1+$E30)</f>
        <v>2.4313918944182529</v>
      </c>
      <c r="AS30" s="154"/>
      <c r="AT30" s="153">
        <f t="shared" si="7"/>
        <v>4436.7657673639533</v>
      </c>
      <c r="AV30" s="153">
        <f t="shared" si="3"/>
        <v>23476.844687852477</v>
      </c>
      <c r="AW30" s="273"/>
      <c r="AX30" s="155">
        <f t="shared" si="8"/>
        <v>27913.610455216432</v>
      </c>
      <c r="AZ30" s="146">
        <f>+IF(AZ29&gt;$G$13+$G$14,XX,AZ29+1)</f>
        <v>2011</v>
      </c>
      <c r="BA30" s="117"/>
      <c r="BB30" s="154">
        <f t="shared" ref="BB30:BB47" si="16">BB29*(1+$E30)</f>
        <v>67.998229924658389</v>
      </c>
      <c r="BD30" s="154">
        <f t="shared" ref="BD30:BD47" si="17">BD29*(1+$E30)</f>
        <v>4.4775000214399991</v>
      </c>
      <c r="BF30" s="153">
        <f t="shared" si="9"/>
        <v>5176.177048025791</v>
      </c>
      <c r="BH30" s="157"/>
    </row>
    <row r="31" spans="1:60" ht="12">
      <c r="B31" s="2"/>
      <c r="C31">
        <f>+IF(C30&gt;$G$13+$G$14,XX,C30+1)</f>
        <v>2012</v>
      </c>
      <c r="E31" s="169">
        <f>+INDEX('(2.2)_Forward_Price_Curve'!$U:$U,MATCH($C31,'(2.2)_Forward_Price_Curve'!C:C,0))</f>
        <v>0.02</v>
      </c>
      <c r="G31" s="18">
        <v>327004</v>
      </c>
      <c r="I31" s="28">
        <f t="shared" si="10"/>
        <v>0</v>
      </c>
      <c r="K31" s="28">
        <v>63.8</v>
      </c>
      <c r="M31" s="28">
        <f t="shared" si="11"/>
        <v>0</v>
      </c>
      <c r="O31" s="270">
        <f>'(2.2)_Forward_Price_Curve'!Y26</f>
        <v>5.5867678044314557</v>
      </c>
      <c r="Q31" s="28"/>
      <c r="S31" s="18">
        <f t="shared" si="4"/>
        <v>22689.750619120303</v>
      </c>
      <c r="U31" s="18">
        <f t="shared" si="0"/>
        <v>30237.315165660631</v>
      </c>
      <c r="W31" s="18">
        <f t="shared" si="1"/>
        <v>-7547.5645465403286</v>
      </c>
      <c r="Y31" s="271">
        <f t="shared" si="5"/>
        <v>-23.080954809544618</v>
      </c>
      <c r="Z31" s="235"/>
      <c r="AB31" s="146">
        <f>+IF(AB30&gt;$G$13+$G$14,XX,AB30+1)</f>
        <v>2012</v>
      </c>
      <c r="AC31" s="117"/>
      <c r="AD31" s="151">
        <f t="shared" si="2"/>
        <v>327004</v>
      </c>
      <c r="AF31" s="154">
        <f t="shared" si="12"/>
        <v>108.65058563662674</v>
      </c>
      <c r="AH31" s="154">
        <f t="shared" si="13"/>
        <v>8.1656414032731419</v>
      </c>
      <c r="AJ31" s="154">
        <f t="shared" si="14"/>
        <v>3.0740211794378833</v>
      </c>
      <c r="AL31" s="153">
        <f t="shared" si="6"/>
        <v>9888.2448168494629</v>
      </c>
      <c r="AN31" s="154">
        <f>INDEX('(2.2)_Forward_Price_Curve'!$J:$J,MATCH($AB31,'(2.2)_Forward_Price_Curve'!$C:$C,0),1)</f>
        <v>10.428681771666666</v>
      </c>
      <c r="AP31" s="154">
        <f>AN31*$AF$14/1000+$AJ$14*(1+E31)</f>
        <v>75.894467851323782</v>
      </c>
      <c r="AR31" s="154">
        <f t="shared" si="15"/>
        <v>2.480019732306618</v>
      </c>
      <c r="AS31" s="154"/>
      <c r="AT31" s="153">
        <f t="shared" si="7"/>
        <v>4608.5442278631563</v>
      </c>
      <c r="AV31" s="153">
        <f t="shared" si="3"/>
        <v>25628.770937797475</v>
      </c>
      <c r="AW31" s="273"/>
      <c r="AX31" s="155">
        <f t="shared" si="8"/>
        <v>30237.315165660631</v>
      </c>
      <c r="AZ31" s="146">
        <f>+IF(AZ30&gt;$G$13+$G$14,XX,AZ30+1)</f>
        <v>2012</v>
      </c>
      <c r="BA31" s="117"/>
      <c r="BB31" s="154">
        <f t="shared" si="16"/>
        <v>69.358194523151553</v>
      </c>
      <c r="BD31" s="154">
        <f t="shared" si="17"/>
        <v>4.5670500218687993</v>
      </c>
      <c r="BF31" s="153">
        <f t="shared" si="9"/>
        <v>5279.7005889863067</v>
      </c>
      <c r="BH31" s="157"/>
    </row>
    <row r="32" spans="1:60" ht="12">
      <c r="B32" s="2"/>
      <c r="C32">
        <f>+IF(C31&gt;$G$13+$G$14,XX,C31+1)</f>
        <v>2013</v>
      </c>
      <c r="E32" s="169">
        <f>+INDEX('(2.2)_Forward_Price_Curve'!$U:$U,MATCH($C32,'(2.2)_Forward_Price_Curve'!C:C,0))</f>
        <v>0.02</v>
      </c>
      <c r="G32" s="18">
        <v>325985</v>
      </c>
      <c r="I32" s="28">
        <f t="shared" si="10"/>
        <v>0</v>
      </c>
      <c r="K32" s="28">
        <v>63.8</v>
      </c>
      <c r="M32" s="28">
        <f t="shared" si="11"/>
        <v>0</v>
      </c>
      <c r="O32" s="270">
        <f>'(2.2)_Forward_Price_Curve'!Y27</f>
        <v>5.6929163927156532</v>
      </c>
      <c r="Q32" s="28"/>
      <c r="S32" s="18">
        <f t="shared" si="4"/>
        <v>22653.648350279414</v>
      </c>
      <c r="U32" s="18">
        <f t="shared" si="0"/>
        <v>30746.950656188252</v>
      </c>
      <c r="W32" s="18">
        <f t="shared" si="1"/>
        <v>-8093.3023059088373</v>
      </c>
      <c r="Y32" s="271">
        <f t="shared" si="5"/>
        <v>-24.827223049860692</v>
      </c>
      <c r="Z32" s="235"/>
      <c r="AB32" s="146">
        <f>+IF(AB31&gt;$G$13+$G$14,XX,AB31+1)</f>
        <v>2013</v>
      </c>
      <c r="AC32" s="117"/>
      <c r="AD32" s="151">
        <f t="shared" si="2"/>
        <v>325985</v>
      </c>
      <c r="AF32" s="154">
        <f t="shared" si="12"/>
        <v>110.82359734935928</v>
      </c>
      <c r="AH32" s="154">
        <f t="shared" si="13"/>
        <v>8.3289542313386047</v>
      </c>
      <c r="AJ32" s="154">
        <f t="shared" si="14"/>
        <v>3.1355016030266412</v>
      </c>
      <c r="AL32" s="153">
        <f t="shared" si="6"/>
        <v>10082.814637052967</v>
      </c>
      <c r="AN32" s="154">
        <f>INDEX('(2.2)_Forward_Price_Curve'!$J:$J,MATCH($AB32,'(2.2)_Forward_Price_Curve'!$C:$C,0),1)</f>
        <v>10.632848438333333</v>
      </c>
      <c r="AP32" s="154">
        <f t="shared" ref="AP32:AP46" si="18">AN32*$AF$14/1000+$AJ$14*(1+E32)</f>
        <v>77.380285604603358</v>
      </c>
      <c r="AR32" s="154">
        <f t="shared" si="15"/>
        <v>2.5296201269527505</v>
      </c>
      <c r="AS32" s="154"/>
      <c r="AT32" s="153">
        <f t="shared" si="7"/>
        <v>4697.5200362869336</v>
      </c>
      <c r="AV32" s="153">
        <f t="shared" si="3"/>
        <v>26049.430619901319</v>
      </c>
      <c r="AW32" s="273"/>
      <c r="AX32" s="155">
        <f t="shared" si="8"/>
        <v>30746.950656188252</v>
      </c>
      <c r="AZ32" s="146">
        <f>+IF(AZ31&gt;$G$13+$G$14,XX,AZ31+1)</f>
        <v>2013</v>
      </c>
      <c r="BA32" s="117"/>
      <c r="BB32" s="154">
        <f t="shared" si="16"/>
        <v>70.745358413614582</v>
      </c>
      <c r="BD32" s="154">
        <f t="shared" si="17"/>
        <v>4.6583910223061755</v>
      </c>
      <c r="BF32" s="153">
        <f t="shared" si="9"/>
        <v>5385.294600766033</v>
      </c>
      <c r="BH32" s="157"/>
    </row>
    <row r="33" spans="2:60" ht="12">
      <c r="B33" s="2"/>
      <c r="C33">
        <f>+IF(C32&gt;$G$13+$G$14,XX,C32+1)</f>
        <v>2014</v>
      </c>
      <c r="E33" s="169">
        <f>+INDEX('(2.2)_Forward_Price_Curve'!$U:$U,MATCH($C33,'(2.2)_Forward_Price_Curve'!C:C,0))</f>
        <v>0.02</v>
      </c>
      <c r="G33" s="18">
        <v>299989.49999999994</v>
      </c>
      <c r="I33" s="28">
        <f t="shared" si="10"/>
        <v>0</v>
      </c>
      <c r="K33" s="28">
        <v>63.8</v>
      </c>
      <c r="M33" s="28">
        <f t="shared" si="11"/>
        <v>0</v>
      </c>
      <c r="O33" s="270">
        <f>'(2.2)_Forward_Price_Curve'!Y28</f>
        <v>5.7953888877845348</v>
      </c>
      <c r="Q33" s="28"/>
      <c r="S33" s="18">
        <f t="shared" si="4"/>
        <v>20877.885914752038</v>
      </c>
      <c r="U33" s="18">
        <f t="shared" si="0"/>
        <v>28071.488215502446</v>
      </c>
      <c r="W33" s="18">
        <f t="shared" si="1"/>
        <v>-7193.6023007504082</v>
      </c>
      <c r="Y33" s="271">
        <f t="shared" si="5"/>
        <v>-23.979513618811357</v>
      </c>
      <c r="Z33" s="235"/>
      <c r="AB33" s="146">
        <f>+IF(AB32&gt;$G$13+$G$14,XX,AB32+1)</f>
        <v>2014</v>
      </c>
      <c r="AC33" s="117"/>
      <c r="AD33" s="151">
        <f t="shared" si="2"/>
        <v>299989.49999999994</v>
      </c>
      <c r="AF33" s="154">
        <f t="shared" si="12"/>
        <v>113.04006929634646</v>
      </c>
      <c r="AH33" s="154">
        <f t="shared" si="13"/>
        <v>8.4955333159653765</v>
      </c>
      <c r="AJ33" s="154">
        <f t="shared" si="14"/>
        <v>3.1982116350871741</v>
      </c>
      <c r="AL33" s="153">
        <f t="shared" si="6"/>
        <v>10201.331819234118</v>
      </c>
      <c r="AN33" s="154">
        <f>INDEX('(2.2)_Forward_Price_Curve'!$J:$J,MATCH($AB33,'(2.2)_Forward_Price_Curve'!$C:$C,0),1)</f>
        <v>10.346954939583332</v>
      </c>
      <c r="AP33" s="154">
        <f>AN33*$AF$14/1000+$AJ$14*(1+E33)</f>
        <v>75.299702897713772</v>
      </c>
      <c r="AR33" s="154">
        <f t="shared" si="15"/>
        <v>2.5802125294918055</v>
      </c>
      <c r="AS33" s="154"/>
      <c r="AT33" s="153">
        <f t="shared" si="7"/>
        <v>4708.3313264527642</v>
      </c>
      <c r="AV33" s="153">
        <f t="shared" si="3"/>
        <v>23363.156889049682</v>
      </c>
      <c r="AW33" s="273"/>
      <c r="AX33" s="155">
        <f t="shared" si="8"/>
        <v>28071.488215502446</v>
      </c>
      <c r="AZ33" s="146">
        <f>+IF(AZ32&gt;$G$13+$G$14,XX,AZ32+1)</f>
        <v>2014</v>
      </c>
      <c r="BA33" s="117"/>
      <c r="BB33" s="154">
        <f t="shared" si="16"/>
        <v>72.160265581886875</v>
      </c>
      <c r="BD33" s="154">
        <f t="shared" si="17"/>
        <v>4.7515588427522992</v>
      </c>
      <c r="BF33" s="153">
        <f t="shared" si="9"/>
        <v>5493.0004927813534</v>
      </c>
      <c r="BH33" s="157"/>
    </row>
    <row r="34" spans="2:60" ht="12">
      <c r="B34" s="2"/>
      <c r="C34">
        <f>+IF(C33&gt;$G$13+$G$14,XX,C33+1)</f>
        <v>2015</v>
      </c>
      <c r="E34" s="169">
        <f>+INDEX('(2.2)_Forward_Price_Curve'!$U:$U,MATCH($C34,'(2.2)_Forward_Price_Curve'!C:C,0))</f>
        <v>0.02</v>
      </c>
      <c r="G34" s="18">
        <v>325985</v>
      </c>
      <c r="I34" s="28">
        <f t="shared" si="10"/>
        <v>0</v>
      </c>
      <c r="K34" s="28">
        <v>63.8</v>
      </c>
      <c r="M34" s="28">
        <f t="shared" si="11"/>
        <v>0</v>
      </c>
      <c r="O34" s="270">
        <f>'(2.2)_Forward_Price_Curve'!Y29</f>
        <v>5.8997058877646564</v>
      </c>
      <c r="Q34" s="28"/>
      <c r="S34" s="18">
        <f t="shared" si="4"/>
        <v>22721.058623822963</v>
      </c>
      <c r="U34" s="18">
        <f t="shared" si="0"/>
        <v>27886.395517494831</v>
      </c>
      <c r="W34" s="18">
        <f t="shared" si="1"/>
        <v>-5165.3368936718689</v>
      </c>
      <c r="Y34" s="271">
        <f t="shared" si="5"/>
        <v>-15.845320777556848</v>
      </c>
      <c r="Z34" s="235"/>
      <c r="AB34" s="146">
        <f>+IF(AB33&gt;$G$13+$G$14,XX,AB33+1)</f>
        <v>2015</v>
      </c>
      <c r="AC34" s="117"/>
      <c r="AD34" s="151">
        <f t="shared" si="2"/>
        <v>325985</v>
      </c>
      <c r="AF34" s="154">
        <f t="shared" si="12"/>
        <v>115.30087068227338</v>
      </c>
      <c r="AH34" s="154">
        <f t="shared" si="13"/>
        <v>8.6654439822846836</v>
      </c>
      <c r="AJ34" s="154">
        <f t="shared" si="14"/>
        <v>3.2621758677889177</v>
      </c>
      <c r="AL34" s="153">
        <f t="shared" si="6"/>
        <v>10490.160348389909</v>
      </c>
      <c r="AN34" s="154">
        <f>INDEX('(2.2)_Forward_Price_Curve'!$J:$J,MATCH($AB34,'(2.2)_Forward_Price_Curve'!$C:$C,0),1)</f>
        <v>9.3330180370833329</v>
      </c>
      <c r="AP34" s="154">
        <f t="shared" si="18"/>
        <v>67.920802732294405</v>
      </c>
      <c r="AR34" s="154">
        <f t="shared" si="15"/>
        <v>2.6318167800816417</v>
      </c>
      <c r="AS34" s="154"/>
      <c r="AT34" s="153">
        <f t="shared" si="7"/>
        <v>4887.2998457529284</v>
      </c>
      <c r="AV34" s="153">
        <f t="shared" si="3"/>
        <v>22999.095671741903</v>
      </c>
      <c r="AW34" s="273"/>
      <c r="AX34" s="155">
        <f t="shared" si="8"/>
        <v>27886.395517494831</v>
      </c>
      <c r="AZ34" s="146">
        <f>+IF(AZ33&gt;$G$13+$G$14,XX,AZ33+1)</f>
        <v>2015</v>
      </c>
      <c r="BA34" s="117"/>
      <c r="BB34" s="154">
        <f t="shared" si="16"/>
        <v>73.603470893524616</v>
      </c>
      <c r="BD34" s="154">
        <f t="shared" si="17"/>
        <v>4.846590019607345</v>
      </c>
      <c r="BF34" s="153">
        <f t="shared" si="9"/>
        <v>5602.8605026369805</v>
      </c>
      <c r="BH34" s="157"/>
    </row>
    <row r="35" spans="2:60" ht="12">
      <c r="B35" s="2"/>
      <c r="C35">
        <f>+IF(C34&gt;$G$13+$G$14,XX,C34+1)</f>
        <v>2016</v>
      </c>
      <c r="E35" s="169">
        <f>+INDEX('(2.2)_Forward_Price_Curve'!$U:$U,MATCH($C35,'(2.2)_Forward_Price_Curve'!C:C,0))</f>
        <v>0.02</v>
      </c>
      <c r="G35" s="18">
        <v>327004</v>
      </c>
      <c r="I35" s="28">
        <f t="shared" si="10"/>
        <v>0</v>
      </c>
      <c r="K35" s="28">
        <v>63.8</v>
      </c>
      <c r="M35" s="28">
        <f t="shared" si="11"/>
        <v>0</v>
      </c>
      <c r="O35" s="270">
        <f>'(2.2)_Forward_Price_Curve'!Y30</f>
        <v>6.0059005937444203</v>
      </c>
      <c r="Q35" s="28"/>
      <c r="S35" s="18">
        <f t="shared" si="4"/>
        <v>22826.808717756798</v>
      </c>
      <c r="U35" s="18">
        <f t="shared" si="0"/>
        <v>27175.060963688462</v>
      </c>
      <c r="W35" s="18">
        <f t="shared" si="1"/>
        <v>-4348.2522459316642</v>
      </c>
      <c r="Y35" s="271">
        <f t="shared" si="5"/>
        <v>-13.297244822484325</v>
      </c>
      <c r="Z35" s="235"/>
      <c r="AB35" s="146">
        <f>+IF(AB34&gt;$G$13+$G$14,XX,AB34+1)</f>
        <v>2016</v>
      </c>
      <c r="AC35" s="117"/>
      <c r="AD35" s="151">
        <f t="shared" si="2"/>
        <v>327004</v>
      </c>
      <c r="AF35" s="154">
        <f t="shared" si="12"/>
        <v>117.60688809591885</v>
      </c>
      <c r="AH35" s="154">
        <f t="shared" si="13"/>
        <v>8.8387528619303772</v>
      </c>
      <c r="AJ35" s="154">
        <f t="shared" si="14"/>
        <v>3.327419385144696</v>
      </c>
      <c r="AL35" s="153">
        <f t="shared" si="6"/>
        <v>10703.354195711167</v>
      </c>
      <c r="AN35" s="154">
        <f>INDEX('(2.2)_Forward_Price_Curve'!$J:$J,MATCH($AB35,'(2.2)_Forward_Price_Curve'!$C:$C,0),1)</f>
        <v>8.9541666666666657</v>
      </c>
      <c r="AP35" s="154">
        <f t="shared" si="18"/>
        <v>65.163721465260735</v>
      </c>
      <c r="AR35" s="154">
        <f t="shared" si="15"/>
        <v>2.6844531156832745</v>
      </c>
      <c r="AS35" s="154"/>
      <c r="AT35" s="153">
        <f t="shared" si="7"/>
        <v>4988.4364830214454</v>
      </c>
      <c r="AV35" s="153">
        <f t="shared" si="3"/>
        <v>22186.624480667015</v>
      </c>
      <c r="AW35" s="273"/>
      <c r="AX35" s="155">
        <f t="shared" si="8"/>
        <v>27175.060963688462</v>
      </c>
      <c r="AZ35" s="146">
        <f>+IF(AZ34&gt;$G$13+$G$14,XX,AZ34+1)</f>
        <v>2016</v>
      </c>
      <c r="BA35" s="117"/>
      <c r="BB35" s="154">
        <f t="shared" si="16"/>
        <v>75.075540311395116</v>
      </c>
      <c r="BD35" s="154">
        <f t="shared" si="17"/>
        <v>4.9435218199994919</v>
      </c>
      <c r="BF35" s="153">
        <f t="shared" si="9"/>
        <v>5714.9177126897212</v>
      </c>
      <c r="BH35" s="157"/>
    </row>
    <row r="36" spans="2:60" ht="12">
      <c r="B36" s="2"/>
      <c r="C36">
        <f>+IF(C35&gt;$G$13+$G$14,XX,C35+1)</f>
        <v>2017</v>
      </c>
      <c r="E36" s="169">
        <f>+INDEX('(2.2)_Forward_Price_Curve'!$U:$U,MATCH($C36,'(2.2)_Forward_Price_Curve'!C:C,0))</f>
        <v>1.9E-2</v>
      </c>
      <c r="G36" s="18">
        <v>325985</v>
      </c>
      <c r="I36" s="28">
        <f t="shared" si="10"/>
        <v>0</v>
      </c>
      <c r="K36" s="28">
        <v>63.8</v>
      </c>
      <c r="M36" s="28">
        <f t="shared" si="11"/>
        <v>0</v>
      </c>
      <c r="O36" s="270">
        <f>'(2.2)_Forward_Price_Curve'!Y31</f>
        <v>6.1140068044318197</v>
      </c>
      <c r="Q36" s="28"/>
      <c r="S36" s="18">
        <f t="shared" si="4"/>
        <v>22790.917508142706</v>
      </c>
      <c r="U36" s="18">
        <f t="shared" si="0"/>
        <v>28845.853090548509</v>
      </c>
      <c r="W36" s="18">
        <f t="shared" si="1"/>
        <v>-6054.9355824058039</v>
      </c>
      <c r="Y36" s="271">
        <f t="shared" si="5"/>
        <v>-18.574276676552</v>
      </c>
      <c r="Z36" s="235"/>
      <c r="AB36" s="146">
        <f>+IF(AB35&gt;$G$13+$G$14,XX,AB35+1)</f>
        <v>2017</v>
      </c>
      <c r="AC36" s="117"/>
      <c r="AD36" s="151">
        <f t="shared" si="2"/>
        <v>325985</v>
      </c>
      <c r="AF36" s="154">
        <f t="shared" si="12"/>
        <v>119.8414189697413</v>
      </c>
      <c r="AH36" s="154">
        <f t="shared" si="13"/>
        <v>9.0066891663070532</v>
      </c>
      <c r="AJ36" s="154">
        <f t="shared" si="14"/>
        <v>3.390640353462445</v>
      </c>
      <c r="AL36" s="153">
        <f t="shared" si="6"/>
        <v>10903.262862909502</v>
      </c>
      <c r="AN36" s="154">
        <f>INDEX('(2.2)_Forward_Price_Curve'!$J:$J,MATCH($AB36,'(2.2)_Forward_Price_Curve'!$C:$C,0),1)</f>
        <v>9.6420833333333338</v>
      </c>
      <c r="AP36" s="154">
        <f t="shared" si="18"/>
        <v>70.170017609474115</v>
      </c>
      <c r="AR36" s="154">
        <f t="shared" si="15"/>
        <v>2.7354577248812566</v>
      </c>
      <c r="AS36" s="154"/>
      <c r="AT36" s="153">
        <f t="shared" si="7"/>
        <v>5079.7617136786766</v>
      </c>
      <c r="AV36" s="153">
        <f t="shared" si="3"/>
        <v>23766.091376869834</v>
      </c>
      <c r="AW36" s="273"/>
      <c r="AX36" s="155">
        <f t="shared" si="8"/>
        <v>28845.853090548509</v>
      </c>
      <c r="AZ36" s="146">
        <f>+IF(AZ35&gt;$G$13+$G$14,XX,AZ35+1)</f>
        <v>2017</v>
      </c>
      <c r="BA36" s="117"/>
      <c r="BB36" s="154">
        <f t="shared" si="16"/>
        <v>76.501975577311612</v>
      </c>
      <c r="BD36" s="154">
        <f t="shared" si="17"/>
        <v>5.0374487345794821</v>
      </c>
      <c r="BF36" s="153">
        <f t="shared" si="9"/>
        <v>5823.5011492308249</v>
      </c>
      <c r="BH36" s="157"/>
    </row>
    <row r="37" spans="2:60" ht="12">
      <c r="B37" s="2"/>
      <c r="C37">
        <f>+IF(C36&gt;$G$13+$G$14,XX,C36+1)</f>
        <v>2018</v>
      </c>
      <c r="E37" s="169">
        <f>+INDEX('(2.2)_Forward_Price_Curve'!$U:$U,MATCH($C37,'(2.2)_Forward_Price_Curve'!C:C,0))</f>
        <v>1.9E-2</v>
      </c>
      <c r="G37" s="18">
        <v>325985</v>
      </c>
      <c r="I37" s="28">
        <f t="shared" si="10"/>
        <v>0</v>
      </c>
      <c r="K37" s="28">
        <v>63.8</v>
      </c>
      <c r="M37" s="28">
        <f t="shared" si="11"/>
        <v>0</v>
      </c>
      <c r="O37" s="270">
        <f>'(2.2)_Forward_Price_Curve'!Y32</f>
        <v>6.2240589269115922</v>
      </c>
      <c r="Q37" s="28"/>
      <c r="S37" s="18">
        <f t="shared" si="4"/>
        <v>22826.792849289275</v>
      </c>
      <c r="U37" s="18">
        <f t="shared" si="0"/>
        <v>32907.292995200951</v>
      </c>
      <c r="W37" s="18">
        <f t="shared" si="1"/>
        <v>-10080.500145911676</v>
      </c>
      <c r="Y37" s="271">
        <f t="shared" si="5"/>
        <v>-30.923202435423946</v>
      </c>
      <c r="Z37" s="235"/>
      <c r="AB37" s="146">
        <f>+IF(AB36&gt;$G$13+$G$14,XX,AB36+1)</f>
        <v>2018</v>
      </c>
      <c r="AC37" s="117"/>
      <c r="AD37" s="151">
        <f t="shared" si="2"/>
        <v>325985</v>
      </c>
      <c r="AF37" s="154">
        <f t="shared" si="12"/>
        <v>122.11840593016638</v>
      </c>
      <c r="AH37" s="154">
        <f t="shared" si="13"/>
        <v>9.1778162604668871</v>
      </c>
      <c r="AJ37" s="154">
        <f t="shared" si="14"/>
        <v>3.455062520178231</v>
      </c>
      <c r="AL37" s="153">
        <f t="shared" si="6"/>
        <v>11110.424857304783</v>
      </c>
      <c r="AN37" s="154">
        <f>INDEX('(2.2)_Forward_Price_Curve'!$J:$J,MATCH($AB37,'(2.2)_Forward_Price_Curve'!$C:$C,0),1)</f>
        <v>11.30625</v>
      </c>
      <c r="AP37" s="154">
        <f t="shared" si="18"/>
        <v>82.280948439267121</v>
      </c>
      <c r="AR37" s="154">
        <f t="shared" si="15"/>
        <v>2.7874314216540004</v>
      </c>
      <c r="AS37" s="154"/>
      <c r="AT37" s="153">
        <f t="shared" si="7"/>
        <v>5176.2771862385725</v>
      </c>
      <c r="AV37" s="153">
        <f t="shared" si="3"/>
        <v>27731.015808962376</v>
      </c>
      <c r="AW37" s="273"/>
      <c r="AX37" s="155">
        <f t="shared" si="8"/>
        <v>32907.292995200951</v>
      </c>
      <c r="AZ37" s="146">
        <f>+IF(AZ36&gt;$G$13+$G$14,XX,AZ36+1)</f>
        <v>2018</v>
      </c>
      <c r="BA37" s="117"/>
      <c r="BB37" s="154">
        <f t="shared" si="16"/>
        <v>77.955513113280531</v>
      </c>
      <c r="BD37" s="154">
        <f t="shared" si="17"/>
        <v>5.1331602605364921</v>
      </c>
      <c r="BF37" s="153">
        <f t="shared" si="9"/>
        <v>5934.14767106621</v>
      </c>
      <c r="BH37" s="157"/>
    </row>
    <row r="38" spans="2:60" ht="12">
      <c r="B38" s="2"/>
      <c r="C38">
        <f>+IF(C37&gt;$G$13+$G$14,XX,C37+1)</f>
        <v>2019</v>
      </c>
      <c r="E38" s="169">
        <f>+INDEX('(2.2)_Forward_Price_Curve'!$U:$U,MATCH($C38,'(2.2)_Forward_Price_Curve'!C:C,0))</f>
        <v>1.9E-2</v>
      </c>
      <c r="G38" s="18">
        <v>325985</v>
      </c>
      <c r="I38" s="28">
        <f t="shared" si="10"/>
        <v>0</v>
      </c>
      <c r="K38" s="28">
        <v>63.8</v>
      </c>
      <c r="M38" s="28">
        <f t="shared" si="11"/>
        <v>0</v>
      </c>
      <c r="O38" s="270">
        <f>'(2.2)_Forward_Price_Curve'!Y33</f>
        <v>6.3360919875960011</v>
      </c>
      <c r="Q38" s="28"/>
      <c r="S38" s="18">
        <f t="shared" si="4"/>
        <v>22863.313946576483</v>
      </c>
      <c r="U38" s="18">
        <f t="shared" si="0"/>
        <v>34080.578452902409</v>
      </c>
      <c r="W38" s="18">
        <f t="shared" si="1"/>
        <v>-11217.264506325926</v>
      </c>
      <c r="Y38" s="271">
        <f t="shared" si="5"/>
        <v>-34.410370128459675</v>
      </c>
      <c r="Z38" s="235"/>
      <c r="AB38" s="146">
        <f>+IF(AB37&gt;$G$13+$G$14,XX,AB37+1)</f>
        <v>2019</v>
      </c>
      <c r="AC38" s="117"/>
      <c r="AD38" s="151">
        <f t="shared" si="2"/>
        <v>325985</v>
      </c>
      <c r="AF38" s="154">
        <f t="shared" si="12"/>
        <v>124.43865564283952</v>
      </c>
      <c r="AH38" s="154">
        <f t="shared" si="13"/>
        <v>9.3521947694157568</v>
      </c>
      <c r="AJ38" s="154">
        <f t="shared" si="14"/>
        <v>3.5207087080616173</v>
      </c>
      <c r="AL38" s="153">
        <f t="shared" si="6"/>
        <v>11321.52292959357</v>
      </c>
      <c r="AN38" s="154">
        <f>INDEX('(2.2)_Forward_Price_Curve'!$J:$J,MATCH($AB38,'(2.2)_Forward_Price_Curve'!$C:$C,0),1)</f>
        <v>11.752083333333331</v>
      </c>
      <c r="AP38" s="154">
        <f t="shared" si="18"/>
        <v>85.525489247448988</v>
      </c>
      <c r="AR38" s="154">
        <f t="shared" si="15"/>
        <v>2.840392618665426</v>
      </c>
      <c r="AS38" s="154"/>
      <c r="AT38" s="153">
        <f t="shared" si="7"/>
        <v>5274.6264527771018</v>
      </c>
      <c r="AV38" s="153">
        <f t="shared" si="3"/>
        <v>28805.952000125311</v>
      </c>
      <c r="AW38" s="273"/>
      <c r="AX38" s="155">
        <f t="shared" si="8"/>
        <v>34080.578452902409</v>
      </c>
      <c r="AZ38" s="146">
        <f>+IF(AZ37&gt;$G$13+$G$14,XX,AZ37+1)</f>
        <v>2019</v>
      </c>
      <c r="BA38" s="117"/>
      <c r="BB38" s="154">
        <f t="shared" si="16"/>
        <v>79.436667862432856</v>
      </c>
      <c r="BD38" s="154">
        <f t="shared" si="17"/>
        <v>5.2306903054866849</v>
      </c>
      <c r="BF38" s="153">
        <f t="shared" si="9"/>
        <v>6046.8964768164678</v>
      </c>
      <c r="BH38" s="157"/>
    </row>
    <row r="39" spans="2:60" ht="12">
      <c r="B39" s="2"/>
      <c r="C39">
        <f>+IF(C38&gt;$G$13+$G$14,XX,C38+1)</f>
        <v>2020</v>
      </c>
      <c r="E39" s="169">
        <f>+INDEX('(2.2)_Forward_Price_Curve'!$U:$U,MATCH($C39,'(2.2)_Forward_Price_Curve'!C:C,0))</f>
        <v>1.9E-2</v>
      </c>
      <c r="G39" s="18">
        <v>327004</v>
      </c>
      <c r="I39" s="28">
        <f t="shared" si="10"/>
        <v>0</v>
      </c>
      <c r="K39" s="28">
        <v>63.8</v>
      </c>
      <c r="M39" s="28">
        <f t="shared" si="11"/>
        <v>0</v>
      </c>
      <c r="O39" s="270">
        <f>'(2.2)_Forward_Price_Curve'!Y34</f>
        <v>6.4501416433727297</v>
      </c>
      <c r="Q39" s="28"/>
      <c r="S39" s="18">
        <f t="shared" si="4"/>
        <v>22972.077317949454</v>
      </c>
      <c r="U39" s="18">
        <f t="shared" si="0"/>
        <v>33629.777067970746</v>
      </c>
      <c r="W39" s="18">
        <f t="shared" si="1"/>
        <v>-10657.699750021293</v>
      </c>
      <c r="Y39" s="271">
        <f t="shared" si="5"/>
        <v>-32.591955297248028</v>
      </c>
      <c r="Z39" s="235"/>
      <c r="AB39" s="146">
        <f>+IF(AB38&gt;$G$13+$G$14,XX,AB38+1)</f>
        <v>2020</v>
      </c>
      <c r="AC39" s="117"/>
      <c r="AD39" s="151">
        <f t="shared" si="2"/>
        <v>327004</v>
      </c>
      <c r="AF39" s="154">
        <f t="shared" si="12"/>
        <v>126.80299010005346</v>
      </c>
      <c r="AH39" s="154">
        <f t="shared" si="13"/>
        <v>9.5298864700346559</v>
      </c>
      <c r="AJ39" s="154">
        <f t="shared" si="14"/>
        <v>3.5876021735147878</v>
      </c>
      <c r="AL39" s="153">
        <f t="shared" si="6"/>
        <v>11540.28763187066</v>
      </c>
      <c r="AN39" s="154">
        <f>INDEX('(2.2)_Forward_Price_Curve'!$J:$J,MATCH($AB39,'(2.2)_Forward_Price_Curve'!$C:$C,0),1)</f>
        <v>11.473750000000003</v>
      </c>
      <c r="AP39" s="154">
        <f t="shared" si="18"/>
        <v>83.4999254531822</v>
      </c>
      <c r="AR39" s="154">
        <f t="shared" si="15"/>
        <v>2.8943600784200689</v>
      </c>
      <c r="AS39" s="154"/>
      <c r="AT39" s="153">
        <f t="shared" si="7"/>
        <v>5378.5001219946798</v>
      </c>
      <c r="AV39" s="153">
        <f t="shared" si="3"/>
        <v>28251.276945976068</v>
      </c>
      <c r="AW39" s="273"/>
      <c r="AX39" s="155">
        <f t="shared" si="8"/>
        <v>33629.777067970746</v>
      </c>
      <c r="AZ39" s="146">
        <f>+IF(AZ38&gt;$G$13+$G$14,XX,AZ38+1)</f>
        <v>2020</v>
      </c>
      <c r="BA39" s="117"/>
      <c r="BB39" s="154">
        <f t="shared" si="16"/>
        <v>80.945964551819074</v>
      </c>
      <c r="BD39" s="154">
        <f t="shared" si="17"/>
        <v>5.3300734212909315</v>
      </c>
      <c r="BF39" s="153">
        <f t="shared" si="9"/>
        <v>6161.7875098759805</v>
      </c>
      <c r="BH39" s="157"/>
    </row>
    <row r="40" spans="2:60" ht="12">
      <c r="B40" s="2"/>
      <c r="C40">
        <f>+IF(C39&gt;$G$13+$G$14,XX,C39+1)</f>
        <v>2021</v>
      </c>
      <c r="E40" s="169">
        <f>+INDEX('(2.2)_Forward_Price_Curve'!$U:$U,MATCH($C40,'(2.2)_Forward_Price_Curve'!C:C,0))</f>
        <v>1.7999999999999999E-2</v>
      </c>
      <c r="G40" s="18">
        <v>325985</v>
      </c>
      <c r="I40" s="28">
        <f t="shared" si="10"/>
        <v>0</v>
      </c>
      <c r="K40" s="28">
        <v>63.8</v>
      </c>
      <c r="M40" s="28">
        <f t="shared" si="11"/>
        <v>0</v>
      </c>
      <c r="O40" s="270">
        <f>'(2.2)_Forward_Price_Curve'!Y35</f>
        <v>6.5662441929534392</v>
      </c>
      <c r="Q40" s="28"/>
      <c r="S40" s="18">
        <f t="shared" si="4"/>
        <v>22938.340113239927</v>
      </c>
      <c r="U40" s="18">
        <f t="shared" si="0"/>
        <v>34169.778604133884</v>
      </c>
      <c r="W40" s="18">
        <f t="shared" si="1"/>
        <v>-11231.438490893957</v>
      </c>
      <c r="Y40" s="271">
        <f t="shared" si="5"/>
        <v>-34.453850609365333</v>
      </c>
      <c r="Z40" s="235"/>
      <c r="AB40" s="146">
        <f>+IF(AB39&gt;$G$13+$G$14,XX,AB39+1)</f>
        <v>2021</v>
      </c>
      <c r="AC40" s="117"/>
      <c r="AD40" s="151">
        <f t="shared" si="2"/>
        <v>325985</v>
      </c>
      <c r="AF40" s="154">
        <f t="shared" si="12"/>
        <v>129.08544392185442</v>
      </c>
      <c r="AH40" s="154">
        <f t="shared" si="13"/>
        <v>9.7014244264952794</v>
      </c>
      <c r="AJ40" s="154">
        <f t="shared" si="14"/>
        <v>3.652179012638054</v>
      </c>
      <c r="AL40" s="153">
        <f t="shared" si="6"/>
        <v>11744.29123883045</v>
      </c>
      <c r="AN40" s="154">
        <f>INDEX('(2.2)_Forward_Price_Curve'!$J:$J,MATCH($AB40,'(2.2)_Forward_Price_Curve'!$C:$C,0),1)</f>
        <v>11.692083333333334</v>
      </c>
      <c r="AP40" s="154">
        <f t="shared" si="18"/>
        <v>85.088840764852577</v>
      </c>
      <c r="AR40" s="154">
        <f t="shared" si="15"/>
        <v>2.9464585598316302</v>
      </c>
      <c r="AS40" s="154"/>
      <c r="AT40" s="153">
        <f t="shared" si="7"/>
        <v>5471.5915537767014</v>
      </c>
      <c r="AV40" s="153">
        <f t="shared" si="3"/>
        <v>28698.187050357181</v>
      </c>
      <c r="AW40" s="273"/>
      <c r="AX40" s="155">
        <f t="shared" si="8"/>
        <v>34169.778604133884</v>
      </c>
      <c r="AZ40" s="146">
        <f>+IF(AZ39&gt;$G$13+$G$14,XX,AZ39+1)</f>
        <v>2021</v>
      </c>
      <c r="BA40" s="117"/>
      <c r="BB40" s="154">
        <f t="shared" si="16"/>
        <v>82.402991913751819</v>
      </c>
      <c r="BD40" s="154">
        <f t="shared" si="17"/>
        <v>5.4260147428741687</v>
      </c>
      <c r="BF40" s="153">
        <f t="shared" si="9"/>
        <v>6272.6996850537489</v>
      </c>
      <c r="BH40" s="157"/>
    </row>
    <row r="41" spans="2:60" ht="12">
      <c r="B41" s="2"/>
      <c r="C41">
        <f>+IF(C40&gt;$G$13+$G$14,XX,C40+1)</f>
        <v>2022</v>
      </c>
      <c r="E41" s="169">
        <f>+INDEX('(2.2)_Forward_Price_Curve'!$U:$U,MATCH($C41,'(2.2)_Forward_Price_Curve'!C:C,0))</f>
        <v>1.7999999999999999E-2</v>
      </c>
      <c r="G41" s="18">
        <v>325985</v>
      </c>
      <c r="I41" s="28">
        <f t="shared" si="10"/>
        <v>0</v>
      </c>
      <c r="K41" s="28">
        <v>63.8</v>
      </c>
      <c r="M41" s="28">
        <f t="shared" si="11"/>
        <v>0</v>
      </c>
      <c r="O41" s="270">
        <f>'(2.2)_Forward_Price_Curve'!Y36</f>
        <v>6.6910028326195539</v>
      </c>
      <c r="Q41" s="28"/>
      <c r="S41" s="18">
        <f t="shared" si="4"/>
        <v>22979.009558391484</v>
      </c>
      <c r="U41" s="18">
        <f t="shared" si="0"/>
        <v>34809.449702245314</v>
      </c>
      <c r="W41" s="18">
        <f t="shared" si="1"/>
        <v>-11830.44014385383</v>
      </c>
      <c r="Y41" s="271">
        <f t="shared" si="5"/>
        <v>-36.291363540818843</v>
      </c>
      <c r="Z41" s="235"/>
      <c r="AB41" s="146">
        <f>+IF(AB40&gt;$G$13+$G$14,XX,AB40+1)</f>
        <v>2022</v>
      </c>
      <c r="AC41" s="117"/>
      <c r="AD41" s="151">
        <f t="shared" si="2"/>
        <v>325985</v>
      </c>
      <c r="AF41" s="154">
        <f t="shared" si="12"/>
        <v>131.40898191244781</v>
      </c>
      <c r="AH41" s="154">
        <f t="shared" si="13"/>
        <v>9.8760500661721942</v>
      </c>
      <c r="AJ41" s="154">
        <f t="shared" si="14"/>
        <v>3.7179182348655391</v>
      </c>
      <c r="AL41" s="153">
        <f t="shared" si="6"/>
        <v>11955.6884811294</v>
      </c>
      <c r="AN41" s="154">
        <f>INDEX('(2.2)_Forward_Price_Curve'!$J:$J,MATCH($AB41,'(2.2)_Forward_Price_Curve'!$C:$C,0),1)</f>
        <v>11.912916666666668</v>
      </c>
      <c r="AP41" s="154">
        <f t="shared" si="18"/>
        <v>86.695949763297804</v>
      </c>
      <c r="AR41" s="154">
        <f t="shared" si="15"/>
        <v>2.9994948139085995</v>
      </c>
      <c r="AS41" s="154"/>
      <c r="AT41" s="153">
        <f t="shared" si="7"/>
        <v>5570.080201744684</v>
      </c>
      <c r="AV41" s="153">
        <f t="shared" si="3"/>
        <v>29239.36950050063</v>
      </c>
      <c r="AW41" s="273"/>
      <c r="AX41" s="155">
        <f t="shared" si="8"/>
        <v>34809.449702245314</v>
      </c>
      <c r="AZ41" s="146">
        <f>+IF(AZ40&gt;$G$13+$G$14,XX,AZ40+1)</f>
        <v>2022</v>
      </c>
      <c r="BA41" s="117"/>
      <c r="BB41" s="154">
        <f t="shared" si="16"/>
        <v>83.886245768199359</v>
      </c>
      <c r="BD41" s="154">
        <f t="shared" si="17"/>
        <v>5.5236830082459036</v>
      </c>
      <c r="BF41" s="153">
        <f t="shared" si="9"/>
        <v>6385.6082793847163</v>
      </c>
      <c r="BH41" s="157"/>
    </row>
    <row r="42" spans="2:60" ht="12">
      <c r="B42" s="2"/>
      <c r="C42">
        <f>+IF(C41&gt;$G$13+$G$14,XX,C41+1)</f>
        <v>2023</v>
      </c>
      <c r="E42" s="169">
        <f>+INDEX('(2.2)_Forward_Price_Curve'!$U:$U,MATCH($C42,'(2.2)_Forward_Price_Curve'!C:C,0))</f>
        <v>1.9E-2</v>
      </c>
      <c r="G42" s="18">
        <v>325985</v>
      </c>
      <c r="I42" s="28">
        <f t="shared" si="10"/>
        <v>0</v>
      </c>
      <c r="K42" s="28">
        <v>63.8</v>
      </c>
      <c r="M42" s="28">
        <f t="shared" si="11"/>
        <v>0</v>
      </c>
      <c r="O42" s="270">
        <f>'(2.2)_Forward_Price_Curve'!Y37</f>
        <v>6.8181318864393248</v>
      </c>
      <c r="Q42" s="28"/>
      <c r="S42" s="18">
        <f t="shared" si="4"/>
        <v>23020.451723000926</v>
      </c>
      <c r="U42" s="18">
        <f t="shared" si="0"/>
        <v>35470.602885088447</v>
      </c>
      <c r="W42" s="18">
        <f t="shared" si="1"/>
        <v>-12450.151162087521</v>
      </c>
      <c r="Y42" s="271">
        <f t="shared" si="5"/>
        <v>-38.192405055715817</v>
      </c>
      <c r="Z42" s="235"/>
      <c r="AB42" s="146">
        <f>+IF(AB41&gt;$G$13+$G$14,XX,AB41+1)</f>
        <v>2023</v>
      </c>
      <c r="AC42" s="117"/>
      <c r="AD42" s="151">
        <f t="shared" si="2"/>
        <v>325985</v>
      </c>
      <c r="AF42" s="154">
        <f t="shared" si="12"/>
        <v>133.90575256878432</v>
      </c>
      <c r="AH42" s="154">
        <f t="shared" si="13"/>
        <v>10.063695017429465</v>
      </c>
      <c r="AJ42" s="154">
        <f t="shared" si="14"/>
        <v>3.7885586813279839</v>
      </c>
      <c r="AL42" s="153">
        <f t="shared" si="6"/>
        <v>12182.846562270861</v>
      </c>
      <c r="AN42" s="154">
        <f>INDEX('(2.2)_Forward_Price_Curve'!$J:$J,MATCH($AB42,'(2.2)_Forward_Price_Curve'!$C:$C,0),1)</f>
        <v>12.139166666666668</v>
      </c>
      <c r="AP42" s="154">
        <f t="shared" si="18"/>
        <v>88.342478416421898</v>
      </c>
      <c r="AR42" s="154">
        <f t="shared" si="15"/>
        <v>3.0564852153728626</v>
      </c>
      <c r="AS42" s="154"/>
      <c r="AT42" s="153">
        <f t="shared" si="7"/>
        <v>5675.9117255778356</v>
      </c>
      <c r="AV42" s="153">
        <f t="shared" si="3"/>
        <v>29794.691159510614</v>
      </c>
      <c r="AW42" s="273"/>
      <c r="AX42" s="155">
        <f t="shared" si="8"/>
        <v>35470.602885088447</v>
      </c>
      <c r="AZ42" s="146">
        <f>+IF(AZ41&gt;$G$13+$G$14,XX,AZ41+1)</f>
        <v>2023</v>
      </c>
      <c r="BA42" s="117"/>
      <c r="BB42" s="154">
        <f t="shared" si="16"/>
        <v>85.480084437795142</v>
      </c>
      <c r="BD42" s="154">
        <f t="shared" si="17"/>
        <v>5.6286329854025752</v>
      </c>
      <c r="BF42" s="153">
        <f t="shared" si="9"/>
        <v>6506.9348366930253</v>
      </c>
      <c r="BH42" s="157"/>
    </row>
    <row r="43" spans="2:60" ht="12">
      <c r="B43" s="2"/>
      <c r="C43">
        <f>+IF(C42&gt;$G$13+$G$14,XX,C42+1)</f>
        <v>2024</v>
      </c>
      <c r="E43" s="169">
        <f>+INDEX('(2.2)_Forward_Price_Curve'!$U:$U,MATCH($C43,'(2.2)_Forward_Price_Curve'!C:C,0))</f>
        <v>1.9E-2</v>
      </c>
      <c r="G43" s="18">
        <v>327004</v>
      </c>
      <c r="I43" s="28">
        <f t="shared" si="10"/>
        <v>0</v>
      </c>
      <c r="K43" s="28">
        <v>63.8</v>
      </c>
      <c r="M43" s="28">
        <f t="shared" si="11"/>
        <v>0</v>
      </c>
      <c r="O43" s="270">
        <f>'(2.2)_Forward_Price_Curve'!Y38</f>
        <v>6.9476763922816716</v>
      </c>
      <c r="Q43" s="28"/>
      <c r="S43" s="18">
        <f t="shared" si="4"/>
        <v>23134.773170981676</v>
      </c>
      <c r="U43" s="18">
        <f t="shared" si="0"/>
        <v>36246.808226835266</v>
      </c>
      <c r="W43" s="18">
        <f t="shared" si="1"/>
        <v>-13112.03505585359</v>
      </c>
      <c r="Y43" s="271">
        <f t="shared" si="5"/>
        <v>-40.097476042658776</v>
      </c>
      <c r="Z43" s="235"/>
      <c r="AB43" s="146">
        <f>+IF(AB42&gt;$G$13+$G$14,XX,AB42+1)</f>
        <v>2024</v>
      </c>
      <c r="AC43" s="117"/>
      <c r="AD43" s="151">
        <f t="shared" si="2"/>
        <v>327004</v>
      </c>
      <c r="AF43" s="154">
        <f t="shared" si="12"/>
        <v>136.44996186759121</v>
      </c>
      <c r="AH43" s="154">
        <f t="shared" si="13"/>
        <v>10.254905222760623</v>
      </c>
      <c r="AJ43" s="154">
        <f t="shared" si="14"/>
        <v>3.8605412962732153</v>
      </c>
      <c r="AL43" s="153">
        <f t="shared" si="6"/>
        <v>12418.254538534909</v>
      </c>
      <c r="AN43" s="154">
        <f>INDEX('(2.2)_Forward_Price_Curve'!$J:$J,MATCH($AB43,'(2.2)_Forward_Price_Curve'!$C:$C,0),1)</f>
        <v>12.371250000000002</v>
      </c>
      <c r="AP43" s="154">
        <f t="shared" si="18"/>
        <v>90.031459005353966</v>
      </c>
      <c r="AR43" s="154">
        <f t="shared" si="15"/>
        <v>3.1145584344649468</v>
      </c>
      <c r="AS43" s="154"/>
      <c r="AT43" s="153">
        <f t="shared" si="7"/>
        <v>5787.6879399447171</v>
      </c>
      <c r="AV43" s="153">
        <f t="shared" si="3"/>
        <v>30459.120286890549</v>
      </c>
      <c r="AW43" s="273"/>
      <c r="AX43" s="155">
        <f t="shared" si="8"/>
        <v>36246.808226835266</v>
      </c>
      <c r="AZ43" s="146">
        <f>+IF(AZ42&gt;$G$13+$G$14,XX,AZ42+1)</f>
        <v>2024</v>
      </c>
      <c r="BA43" s="117"/>
      <c r="BB43" s="154">
        <f t="shared" si="16"/>
        <v>87.104206042113248</v>
      </c>
      <c r="BD43" s="154">
        <f t="shared" si="17"/>
        <v>5.7355770121252236</v>
      </c>
      <c r="BF43" s="153">
        <f t="shared" si="9"/>
        <v>6630.5665985901924</v>
      </c>
      <c r="BH43" s="157"/>
    </row>
    <row r="44" spans="2:60" ht="12">
      <c r="B44" s="2"/>
      <c r="C44">
        <f>+IF(C43&gt;$G$13+$G$14,XX,C43+1)</f>
        <v>2025</v>
      </c>
      <c r="E44" s="169">
        <f>+INDEX('(2.2)_Forward_Price_Curve'!$U:$U,MATCH($C44,'(2.2)_Forward_Price_Curve'!C:C,0))</f>
        <v>1.9E-2</v>
      </c>
      <c r="G44" s="18">
        <v>325985</v>
      </c>
      <c r="I44" s="28">
        <f t="shared" si="10"/>
        <v>0</v>
      </c>
      <c r="K44" s="28">
        <v>63.8</v>
      </c>
      <c r="M44" s="28">
        <f t="shared" si="11"/>
        <v>0</v>
      </c>
      <c r="O44" s="270">
        <f>'(2.2)_Forward_Price_Curve'!Y39</f>
        <v>7.0796822437350224</v>
      </c>
      <c r="Q44" s="28"/>
      <c r="S44" s="18">
        <f t="shared" si="4"/>
        <v>23105.713216223958</v>
      </c>
      <c r="U44" s="18">
        <f t="shared" si="0"/>
        <v>36803.010940881955</v>
      </c>
      <c r="W44" s="18">
        <f t="shared" si="1"/>
        <v>-13697.297724657998</v>
      </c>
      <c r="Y44" s="271">
        <f t="shared" si="5"/>
        <v>-42.018184041161398</v>
      </c>
      <c r="Z44" s="235"/>
      <c r="AB44" s="146">
        <f>+IF(AB43&gt;$G$13+$G$14,XX,AB43+1)</f>
        <v>2025</v>
      </c>
      <c r="AC44" s="117"/>
      <c r="AD44" s="151">
        <f t="shared" si="2"/>
        <v>325985</v>
      </c>
      <c r="AF44" s="154">
        <f t="shared" si="12"/>
        <v>139.04251114307544</v>
      </c>
      <c r="AH44" s="154">
        <f t="shared" si="13"/>
        <v>10.449748421993075</v>
      </c>
      <c r="AJ44" s="154">
        <f t="shared" si="14"/>
        <v>3.9338915809024062</v>
      </c>
      <c r="AL44" s="153">
        <f t="shared" si="6"/>
        <v>12650.192739246131</v>
      </c>
      <c r="AN44" s="154">
        <f>INDEX('(2.2)_Forward_Price_Curve'!$J:$J,MATCH($AB44,'(2.2)_Forward_Price_Curve'!$C:$C,0),1)</f>
        <v>12.592916666666667</v>
      </c>
      <c r="AP44" s="154">
        <f t="shared" si="18"/>
        <v>91.644632566057481</v>
      </c>
      <c r="AR44" s="154">
        <f t="shared" si="15"/>
        <v>3.1737350447197805</v>
      </c>
      <c r="AS44" s="154"/>
      <c r="AT44" s="153">
        <f t="shared" si="7"/>
        <v>5893.6453752827265</v>
      </c>
      <c r="AV44" s="153">
        <f t="shared" si="3"/>
        <v>30909.365565599226</v>
      </c>
      <c r="AW44" s="273"/>
      <c r="AX44" s="155">
        <f t="shared" si="8"/>
        <v>36803.010940881955</v>
      </c>
      <c r="AZ44" s="146">
        <f>+IF(AZ43&gt;$G$13+$G$14,XX,AZ43+1)</f>
        <v>2025</v>
      </c>
      <c r="BA44" s="117"/>
      <c r="BB44" s="154">
        <f t="shared" si="16"/>
        <v>88.759185956913385</v>
      </c>
      <c r="BD44" s="154">
        <f t="shared" si="17"/>
        <v>5.8445529753556027</v>
      </c>
      <c r="BF44" s="153">
        <f t="shared" si="9"/>
        <v>6756.5473639634047</v>
      </c>
      <c r="BH44" s="157"/>
    </row>
    <row r="45" spans="2:60" ht="12">
      <c r="B45" s="2"/>
      <c r="C45">
        <f>+IF(C44&gt;$G$13+$G$14,XX,C44+1)</f>
        <v>2026</v>
      </c>
      <c r="E45" s="169">
        <f>+INDEX('(2.2)_Forward_Price_Curve'!$U:$U,MATCH($C45,'(2.2)_Forward_Price_Curve'!C:C,0))</f>
        <v>1.9E-2</v>
      </c>
      <c r="G45" s="18">
        <v>325985</v>
      </c>
      <c r="I45" s="28">
        <f t="shared" si="10"/>
        <v>0</v>
      </c>
      <c r="K45" s="28">
        <v>63.8</v>
      </c>
      <c r="M45" s="28">
        <f t="shared" si="11"/>
        <v>0</v>
      </c>
      <c r="O45" s="270">
        <f>'(2.2)_Forward_Price_Curve'!Y40</f>
        <v>7.2141962063659868</v>
      </c>
      <c r="Q45" s="28"/>
      <c r="S45" s="18">
        <f t="shared" si="4"/>
        <v>23149.562750332214</v>
      </c>
      <c r="U45" s="18">
        <f t="shared" si="0"/>
        <v>37471.391056353488</v>
      </c>
      <c r="W45" s="18">
        <f t="shared" si="1"/>
        <v>-14321.828306021274</v>
      </c>
      <c r="Y45" s="271">
        <f t="shared" si="5"/>
        <v>-43.934010172312455</v>
      </c>
      <c r="Z45" s="235"/>
      <c r="AB45" s="146">
        <f>+IF(AB44&gt;$G$13+$G$14,XX,AB44+1)</f>
        <v>2026</v>
      </c>
      <c r="AC45" s="117"/>
      <c r="AD45" s="151">
        <f t="shared" si="2"/>
        <v>325985</v>
      </c>
      <c r="AF45" s="154">
        <f t="shared" si="12"/>
        <v>141.68431885479387</v>
      </c>
      <c r="AH45" s="154">
        <f t="shared" si="13"/>
        <v>10.648293642010943</v>
      </c>
      <c r="AJ45" s="154">
        <f t="shared" si="14"/>
        <v>4.0086355209395519</v>
      </c>
      <c r="AL45" s="153">
        <f t="shared" si="6"/>
        <v>12890.546401291807</v>
      </c>
      <c r="AN45" s="154">
        <f>INDEX('(2.2)_Forward_Price_Curve'!$J:$J,MATCH($AB45,'(2.2)_Forward_Price_Curve'!$C:$C,0),1)</f>
        <v>12.819166666666668</v>
      </c>
      <c r="AP45" s="154">
        <f t="shared" si="18"/>
        <v>93.291161219181575</v>
      </c>
      <c r="AR45" s="154">
        <f t="shared" si="15"/>
        <v>3.2340360105694561</v>
      </c>
      <c r="AS45" s="154"/>
      <c r="AT45" s="153">
        <f t="shared" si="7"/>
        <v>6005.6246374130969</v>
      </c>
      <c r="AV45" s="153">
        <f t="shared" si="3"/>
        <v>31465.766418940388</v>
      </c>
      <c r="AW45" s="273"/>
      <c r="AX45" s="155">
        <f t="shared" si="8"/>
        <v>37471.391056353488</v>
      </c>
      <c r="AZ45" s="146">
        <f>+IF(AZ44&gt;$G$13+$G$14,XX,AZ44+1)</f>
        <v>2026</v>
      </c>
      <c r="BA45" s="117"/>
      <c r="BB45" s="154">
        <f t="shared" si="16"/>
        <v>90.445610490094737</v>
      </c>
      <c r="BD45" s="154">
        <f t="shared" si="17"/>
        <v>5.9555994818873588</v>
      </c>
      <c r="BF45" s="153">
        <f t="shared" si="9"/>
        <v>6884.9217638787104</v>
      </c>
      <c r="BH45" s="157"/>
    </row>
    <row r="46" spans="2:60" ht="12">
      <c r="B46" s="2"/>
      <c r="C46">
        <f>+IF(C45&gt;$G$13+$G$14,XX,C45+1)</f>
        <v>2027</v>
      </c>
      <c r="E46" s="169">
        <f>+INDEX('(2.2)_Forward_Price_Curve'!$U:$U,MATCH($C46,'(2.2)_Forward_Price_Curve'!C:C,0))</f>
        <v>1.9E-2</v>
      </c>
      <c r="G46" s="18">
        <v>325985</v>
      </c>
      <c r="I46" s="28">
        <f t="shared" si="10"/>
        <v>0</v>
      </c>
      <c r="K46" s="28">
        <v>63.8</v>
      </c>
      <c r="M46" s="28">
        <f t="shared" si="11"/>
        <v>0</v>
      </c>
      <c r="O46" s="270">
        <f>'(2.2)_Forward_Price_Curve'!Y41</f>
        <v>7.35126593428694</v>
      </c>
      <c r="Q46" s="28"/>
      <c r="S46" s="18">
        <f t="shared" si="4"/>
        <v>23194.245425588531</v>
      </c>
      <c r="U46" s="18">
        <f t="shared" si="0"/>
        <v>38185.765304013046</v>
      </c>
      <c r="W46" s="18">
        <f t="shared" si="1"/>
        <v>-14991.519878424515</v>
      </c>
      <c r="Y46" s="271">
        <f t="shared" si="5"/>
        <v>-45.988373325228196</v>
      </c>
      <c r="Z46" s="235"/>
      <c r="AB46" s="146">
        <f>+IF(AB45&gt;$G$13+$G$14,XX,AB45+1)</f>
        <v>2027</v>
      </c>
      <c r="AC46" s="117"/>
      <c r="AD46" s="151">
        <f t="shared" si="2"/>
        <v>325985</v>
      </c>
      <c r="AF46" s="154">
        <f t="shared" si="12"/>
        <v>144.37632091303493</v>
      </c>
      <c r="AH46" s="154">
        <f t="shared" si="13"/>
        <v>10.850611221209149</v>
      </c>
      <c r="AJ46" s="154">
        <f t="shared" si="14"/>
        <v>4.0847995958374028</v>
      </c>
      <c r="AL46" s="153">
        <f t="shared" si="6"/>
        <v>13135.466782916348</v>
      </c>
      <c r="AN46" s="154">
        <f>INDEX('(2.2)_Forward_Price_Curve'!$J:$J,MATCH($AB46,'(2.2)_Forward_Price_Curve'!$C:$C,0),1)</f>
        <v>13.063749999999999</v>
      </c>
      <c r="AP46" s="154">
        <f t="shared" si="18"/>
        <v>95.071110241987881</v>
      </c>
      <c r="AR46" s="154">
        <f t="shared" si="15"/>
        <v>3.2954826947702753</v>
      </c>
      <c r="AS46" s="154"/>
      <c r="AT46" s="153">
        <f t="shared" si="7"/>
        <v>6119.7315055239433</v>
      </c>
      <c r="AV46" s="153">
        <f t="shared" si="3"/>
        <v>32066.033798489105</v>
      </c>
      <c r="AW46" s="273"/>
      <c r="AX46" s="155">
        <f t="shared" si="8"/>
        <v>38185.765304013046</v>
      </c>
      <c r="AZ46" s="146">
        <f>+IF(AZ45&gt;$G$13+$G$14,XX,AZ45+1)</f>
        <v>2027</v>
      </c>
      <c r="BA46" s="117"/>
      <c r="BB46" s="154">
        <f t="shared" si="16"/>
        <v>92.164077089406533</v>
      </c>
      <c r="BD46" s="154">
        <f t="shared" si="17"/>
        <v>6.0687558720432184</v>
      </c>
      <c r="BF46" s="153">
        <f t="shared" si="9"/>
        <v>7015.7352773924049</v>
      </c>
      <c r="BH46" s="157"/>
    </row>
    <row r="47" spans="2:60" ht="12">
      <c r="B47" s="2"/>
      <c r="C47">
        <f>+IF(C46&gt;$G$13+$G$14,XX,C46+1)</f>
        <v>2028</v>
      </c>
      <c r="E47" s="169">
        <f>+INDEX('(2.2)_Forward_Price_Curve'!$U:$U,MATCH($C47,'(2.2)_Forward_Price_Curve'!C:C,0))</f>
        <v>1.9E-2</v>
      </c>
      <c r="G47" s="18">
        <v>327004</v>
      </c>
      <c r="I47" s="28">
        <f t="shared" si="10"/>
        <v>0</v>
      </c>
      <c r="K47" s="28">
        <v>64.8</v>
      </c>
      <c r="M47" s="28"/>
      <c r="O47" s="270">
        <f>'(2.2)_Forward_Price_Curve'!Y42</f>
        <v>7.4909399870383915</v>
      </c>
      <c r="Q47" s="28"/>
      <c r="S47" s="18">
        <f t="shared" ref="S47" si="19">(I47*$G$11*1000+(K47+M47+O47+Q47)*G47)/1000</f>
        <v>23639.426539521501</v>
      </c>
      <c r="U47" s="18">
        <f t="shared" ref="U47" si="20">AX47</f>
        <v>39016.975336573589</v>
      </c>
      <c r="W47" s="18">
        <f t="shared" ref="W47" si="21">S47-U47</f>
        <v>-15377.548797052088</v>
      </c>
      <c r="Y47" s="271">
        <f t="shared" ref="Y47" si="22">+W47*1000/G47</f>
        <v>-47.025567873946763</v>
      </c>
      <c r="Z47" s="235"/>
      <c r="AB47" s="146">
        <f>+IF(AB46&gt;$G$13+$G$14,XX,AB46+1)</f>
        <v>2028</v>
      </c>
      <c r="AC47" s="117"/>
      <c r="AD47" s="151">
        <f t="shared" ref="AD47" si="23">G47</f>
        <v>327004</v>
      </c>
      <c r="AF47" s="154">
        <f t="shared" si="12"/>
        <v>147.11947101038257</v>
      </c>
      <c r="AH47" s="154">
        <f t="shared" si="13"/>
        <v>11.056772834412122</v>
      </c>
      <c r="AJ47" s="154">
        <f t="shared" si="14"/>
        <v>4.1624107881583132</v>
      </c>
      <c r="AL47" s="153">
        <f t="shared" ref="AL47" si="24">((AF47+AH47)*$AF$11*1000+AJ47*AD47)/1000</f>
        <v>13389.282148384891</v>
      </c>
      <c r="AN47" s="154">
        <f>INDEX('(2.2)_Forward_Price_Curve'!$J:$J,MATCH($AB47,'(2.2)_Forward_Price_Curve'!$C:$C,0),1)</f>
        <v>13.311666666666667</v>
      </c>
      <c r="AP47" s="154">
        <f t="shared" ref="AP47" si="25">AN47*$AF$14/1000+$AJ$14*(1+E47)</f>
        <v>96.875317513827369</v>
      </c>
      <c r="AR47" s="154">
        <f t="shared" si="15"/>
        <v>3.3580968659709103</v>
      </c>
      <c r="AS47" s="154"/>
      <c r="AT47" s="153">
        <f t="shared" ref="AT47" si="26">AL47-BF47</f>
        <v>6240.2479007220318</v>
      </c>
      <c r="AV47" s="153">
        <f t="shared" ref="AV47" si="27">(AP47+AR47)*AD47/1000</f>
        <v>32776.727435851557</v>
      </c>
      <c r="AW47" s="273"/>
      <c r="AX47" s="155">
        <f t="shared" ref="AX47" si="28">AT47+AV47</f>
        <v>39016.975336573589</v>
      </c>
      <c r="AZ47" s="146">
        <f>+IF(AZ46&gt;$G$13+$G$14,XX,AZ46+1)</f>
        <v>2028</v>
      </c>
      <c r="BA47" s="117"/>
      <c r="BB47" s="154">
        <f t="shared" si="16"/>
        <v>93.915194554105241</v>
      </c>
      <c r="BD47" s="154">
        <f t="shared" si="17"/>
        <v>6.184062233612039</v>
      </c>
      <c r="BF47" s="153">
        <f t="shared" ref="BF47" si="29">(BB47+BD47)*$BD$11</f>
        <v>7149.0342476628593</v>
      </c>
      <c r="BH47" s="157"/>
    </row>
    <row r="48" spans="2:60" ht="12">
      <c r="B48" s="2"/>
      <c r="E48" s="169"/>
      <c r="G48" s="18"/>
      <c r="I48" s="28"/>
      <c r="K48" s="28"/>
      <c r="M48" s="28"/>
      <c r="O48" s="270"/>
      <c r="Q48" s="28"/>
      <c r="S48" s="18"/>
      <c r="U48" s="18"/>
      <c r="W48" s="18"/>
      <c r="Y48" s="271"/>
      <c r="Z48" s="235"/>
      <c r="AB48" s="146"/>
      <c r="AC48" s="117"/>
      <c r="AD48" s="151"/>
      <c r="AF48" s="154"/>
      <c r="AH48" s="154"/>
      <c r="AJ48" s="154"/>
      <c r="AL48" s="153"/>
      <c r="AN48" s="154"/>
      <c r="AP48" s="154"/>
      <c r="AR48" s="154"/>
      <c r="AS48" s="154"/>
      <c r="AT48" s="153"/>
      <c r="AV48" s="153"/>
      <c r="AW48" s="273"/>
      <c r="AX48" s="155"/>
      <c r="AZ48" s="146"/>
      <c r="BA48" s="117"/>
      <c r="BB48" s="154"/>
      <c r="BD48" s="154"/>
      <c r="BF48" s="153"/>
      <c r="BH48" s="157"/>
    </row>
    <row r="49" spans="2:60" ht="12">
      <c r="B49" s="2"/>
      <c r="E49" s="169"/>
      <c r="G49" s="18"/>
      <c r="I49" s="28"/>
      <c r="K49" s="28"/>
      <c r="M49" s="28"/>
      <c r="O49" s="270"/>
      <c r="Q49" s="28"/>
      <c r="S49" s="18"/>
      <c r="U49" s="18"/>
      <c r="W49" s="18"/>
      <c r="Y49" s="271"/>
      <c r="Z49" s="235"/>
      <c r="AB49" s="146"/>
      <c r="AC49" s="117"/>
      <c r="AD49" s="151"/>
      <c r="AF49" s="154"/>
      <c r="AH49" s="154"/>
      <c r="AJ49" s="154"/>
      <c r="AL49" s="153"/>
      <c r="AN49" s="154"/>
      <c r="AP49" s="154"/>
      <c r="AR49" s="154"/>
      <c r="AS49" s="154"/>
      <c r="AT49" s="153"/>
      <c r="AV49" s="153"/>
      <c r="AW49" s="273"/>
      <c r="AX49" s="155"/>
      <c r="AZ49" s="146"/>
      <c r="BA49" s="117"/>
      <c r="BB49" s="154"/>
      <c r="BD49" s="154"/>
      <c r="BF49" s="153"/>
      <c r="BH49" s="157"/>
    </row>
    <row r="50" spans="2:60" ht="12">
      <c r="B50" s="2"/>
      <c r="E50" s="169"/>
      <c r="G50" s="18"/>
      <c r="I50" s="28"/>
      <c r="K50" s="28"/>
      <c r="M50" s="28"/>
      <c r="O50" s="270"/>
      <c r="Q50" s="28"/>
      <c r="S50" s="18"/>
      <c r="U50" s="18"/>
      <c r="W50" s="18"/>
      <c r="Y50" s="271"/>
      <c r="Z50" s="235"/>
      <c r="AB50" s="146"/>
      <c r="AC50" s="117"/>
      <c r="AD50" s="151"/>
      <c r="AF50" s="154"/>
      <c r="AH50" s="154"/>
      <c r="AJ50" s="154"/>
      <c r="AL50" s="153"/>
      <c r="AN50" s="154"/>
      <c r="AP50" s="154"/>
      <c r="AR50" s="154"/>
      <c r="AS50" s="154"/>
      <c r="AT50" s="153"/>
      <c r="AV50" s="153"/>
      <c r="AW50" s="273"/>
      <c r="AX50" s="155"/>
      <c r="AZ50" s="146"/>
      <c r="BA50" s="117"/>
      <c r="BB50" s="154"/>
      <c r="BD50" s="154"/>
      <c r="BF50" s="153"/>
      <c r="BH50" s="157"/>
    </row>
    <row r="51" spans="2:60" ht="12">
      <c r="B51" s="2"/>
      <c r="E51" s="169"/>
      <c r="G51" s="18"/>
      <c r="I51" s="28"/>
      <c r="K51" s="28"/>
      <c r="M51" s="28"/>
      <c r="O51" s="270"/>
      <c r="Q51" s="28"/>
      <c r="S51" s="18"/>
      <c r="U51" s="18"/>
      <c r="W51" s="18"/>
      <c r="Y51" s="271"/>
      <c r="Z51" s="235"/>
      <c r="AB51" s="146"/>
      <c r="AC51" s="117"/>
      <c r="AD51" s="151"/>
      <c r="AF51" s="154"/>
      <c r="AH51" s="154"/>
      <c r="AJ51" s="154"/>
      <c r="AL51" s="153"/>
      <c r="AN51" s="154"/>
      <c r="AP51" s="154"/>
      <c r="AR51" s="154"/>
      <c r="AS51" s="154"/>
      <c r="AT51" s="153"/>
      <c r="AV51" s="153"/>
      <c r="AW51" s="273"/>
      <c r="AX51" s="155"/>
      <c r="AZ51" s="146"/>
      <c r="BA51" s="117"/>
      <c r="BB51" s="154"/>
      <c r="BD51" s="154"/>
      <c r="BF51" s="153"/>
      <c r="BH51" s="157"/>
    </row>
    <row r="52" spans="2:60" ht="12">
      <c r="B52" s="2"/>
      <c r="E52" s="169"/>
      <c r="G52" s="18"/>
      <c r="I52" s="28"/>
      <c r="K52" s="28"/>
      <c r="M52" s="28"/>
      <c r="O52" s="270"/>
      <c r="Q52" s="28" t="s">
        <v>299</v>
      </c>
      <c r="S52" s="18"/>
      <c r="U52" s="18"/>
      <c r="W52" s="18"/>
      <c r="Y52" s="271"/>
      <c r="Z52" s="235"/>
      <c r="AB52" s="146"/>
      <c r="AC52" s="117"/>
      <c r="AD52" s="151"/>
      <c r="AF52" s="154"/>
      <c r="AH52" s="154"/>
      <c r="AJ52" s="154"/>
      <c r="AL52" s="153"/>
      <c r="AN52" s="154"/>
      <c r="AP52" s="154"/>
      <c r="AR52" s="154"/>
      <c r="AS52" s="154"/>
      <c r="AT52" s="153"/>
      <c r="AV52" s="153"/>
      <c r="AW52" s="273"/>
      <c r="AX52" s="155"/>
      <c r="AZ52" s="146"/>
      <c r="BA52" s="117"/>
      <c r="BB52" s="154"/>
      <c r="BD52" s="154"/>
      <c r="BF52" s="153"/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 ht="12">
      <c r="B54" s="2"/>
      <c r="E54" s="169"/>
      <c r="G54" s="18"/>
      <c r="I54" s="28"/>
      <c r="K54" s="28"/>
      <c r="M54" s="28"/>
      <c r="O54" s="270"/>
      <c r="Q54" s="28"/>
      <c r="S54" s="18"/>
      <c r="U54" s="18"/>
      <c r="W54" s="18"/>
      <c r="Y54" s="271"/>
      <c r="Z54" s="235"/>
      <c r="AB54" s="146"/>
      <c r="AC54" s="117"/>
      <c r="AD54" s="151"/>
      <c r="AF54" s="154"/>
      <c r="AH54" s="154"/>
      <c r="AJ54" s="154"/>
      <c r="AL54" s="153"/>
      <c r="AN54" s="154"/>
      <c r="AP54" s="154"/>
      <c r="AR54" s="154"/>
      <c r="AS54" s="154"/>
      <c r="AT54" s="153"/>
      <c r="AV54" s="153"/>
      <c r="AW54" s="273"/>
      <c r="AX54" s="155"/>
      <c r="AZ54" s="146"/>
      <c r="BA54" s="117"/>
      <c r="BB54" s="154"/>
      <c r="BD54" s="154"/>
      <c r="BF54" s="153"/>
      <c r="BH54" s="157"/>
    </row>
    <row r="55" spans="2:60" ht="12">
      <c r="B55" s="2"/>
      <c r="E55" s="169"/>
      <c r="G55" s="18"/>
      <c r="I55" s="28"/>
      <c r="K55" s="28"/>
      <c r="M55" s="28"/>
      <c r="O55" s="270"/>
      <c r="Q55" s="28"/>
      <c r="S55" s="18"/>
      <c r="U55" s="18"/>
      <c r="W55" s="18"/>
      <c r="Y55" s="271"/>
      <c r="Z55" s="235"/>
      <c r="AB55" s="146"/>
      <c r="AC55" s="117"/>
      <c r="AD55" s="151"/>
      <c r="AF55" s="154"/>
      <c r="AH55" s="154"/>
      <c r="AJ55" s="154"/>
      <c r="AL55" s="153"/>
      <c r="AN55" s="154"/>
      <c r="AP55" s="154"/>
      <c r="AR55" s="154"/>
      <c r="AS55" s="154"/>
      <c r="AT55" s="153"/>
      <c r="AV55" s="153"/>
      <c r="AW55" s="273"/>
      <c r="AX55" s="155"/>
      <c r="AZ55" s="146"/>
      <c r="BA55" s="117"/>
      <c r="BB55" s="154"/>
      <c r="BD55" s="154"/>
      <c r="BF55" s="153"/>
      <c r="BH55" s="157"/>
    </row>
    <row r="56" spans="2:60" ht="12">
      <c r="B56" s="2"/>
      <c r="E56" s="169"/>
      <c r="G56" s="18"/>
      <c r="I56" s="28"/>
      <c r="K56" s="28"/>
      <c r="M56" s="28"/>
      <c r="O56" s="270"/>
      <c r="Q56" s="28"/>
      <c r="S56" s="18"/>
      <c r="U56" s="18"/>
      <c r="W56" s="18"/>
      <c r="Y56" s="271"/>
      <c r="Z56" s="235"/>
      <c r="AB56" s="146"/>
      <c r="AC56" s="117"/>
      <c r="AD56" s="151"/>
      <c r="AF56" s="154"/>
      <c r="AH56" s="154"/>
      <c r="AJ56" s="154"/>
      <c r="AL56" s="153"/>
      <c r="AN56" s="154"/>
      <c r="AP56" s="154"/>
      <c r="AR56" s="154"/>
      <c r="AS56" s="154"/>
      <c r="AT56" s="153"/>
      <c r="AV56" s="153"/>
      <c r="AW56" s="273"/>
      <c r="AX56" s="155"/>
      <c r="AZ56" s="146"/>
      <c r="BA56" s="117"/>
      <c r="BB56" s="154"/>
      <c r="BD56" s="154"/>
      <c r="BF56" s="153"/>
      <c r="BH56" s="157"/>
    </row>
    <row r="57" spans="2:60">
      <c r="B57" s="2"/>
      <c r="E57" s="169"/>
      <c r="G57" s="267"/>
      <c r="I57" s="267"/>
      <c r="K57" s="267"/>
      <c r="M57" s="267"/>
      <c r="O57" s="267"/>
      <c r="Q57" s="267"/>
      <c r="S57" s="267"/>
      <c r="U57" s="267"/>
      <c r="W57" s="267"/>
      <c r="Y57" s="267"/>
      <c r="Z57" s="235"/>
      <c r="AB57" s="2"/>
      <c r="AF57" s="274"/>
      <c r="AH57" s="274"/>
      <c r="AJ57" s="274"/>
      <c r="AL57" s="273"/>
      <c r="AN57" s="274"/>
      <c r="AP57" s="274"/>
      <c r="AR57" s="274"/>
      <c r="AS57" s="274"/>
      <c r="AT57" s="274"/>
      <c r="AV57" s="273"/>
      <c r="AW57" s="273"/>
      <c r="AX57" s="275"/>
      <c r="AZ57" s="2"/>
      <c r="BB57" s="274"/>
      <c r="BF57" s="273"/>
      <c r="BH57" s="235"/>
    </row>
    <row r="58" spans="2:60" ht="12">
      <c r="B58" s="2"/>
      <c r="C58" s="276" t="str">
        <f>G14&amp;"-year Nominal Levelized at "&amp;TEXT($G$18,"#.00%")</f>
        <v>20-year Nominal Levelized at 7.32%</v>
      </c>
      <c r="E58" s="169"/>
      <c r="G58" s="18">
        <f>+-PMT($G$18,$G$14,NPV($G$18,G28:G56))</f>
        <v>294570.77857297263</v>
      </c>
      <c r="I58" s="28">
        <f>+-PMT($G$18,$G$14,NPV($G$18,I28:I56))</f>
        <v>0</v>
      </c>
      <c r="J58" s="28"/>
      <c r="K58" s="28">
        <f>+-PMT($G$18,$G$14,NPV($G$18,K28:K56))</f>
        <v>63.823562521838063</v>
      </c>
      <c r="M58" s="28">
        <f>+-PMT($G$18,$G$14,NPV($G$18,M28:M56))</f>
        <v>0</v>
      </c>
      <c r="O58" s="28">
        <f>+-PMT($G$18,$G$14,NPV($G$18,O28:O56))</f>
        <v>6.0593316732660467</v>
      </c>
      <c r="Q58" s="28">
        <f>+-PMT($G$18,$G$14,NPV($G$18,Q28:Q56))</f>
        <v>0</v>
      </c>
      <c r="S58" s="18">
        <f>+-PMT($G$18,$G$14,NPV($G$18,S28:S56))</f>
        <v>20609.598859325553</v>
      </c>
      <c r="U58" s="18">
        <f>+-PMT($G$18,$G$14,NPV($G$18,U28:U56))</f>
        <v>29273.264706634131</v>
      </c>
      <c r="W58" s="18">
        <f>+-PMT($G$18,$G$14,NPV($G$18,W28:W56))</f>
        <v>-8663.6658473085809</v>
      </c>
      <c r="Y58" s="271">
        <f>+-PMT($G$18,$G$14,NPV($G$18,Y28:Y56))</f>
        <v>-35.513823799757304</v>
      </c>
      <c r="Z58" s="235"/>
      <c r="AB58" s="2"/>
      <c r="AD58" s="151">
        <f>+-PMT($G$18,$G$14,NPV($G$18,AD28:AD56))</f>
        <v>294570.77857297263</v>
      </c>
      <c r="AF58" s="154">
        <f>+-PMT($G$18,$G$14,NPV($G$18,AF28:AF56))</f>
        <v>118.49764464132298</v>
      </c>
      <c r="AH58" s="154">
        <f>+-PMT($G$18,$G$14,NPV($G$18,AH28:AH56))</f>
        <v>8.9056977245352993</v>
      </c>
      <c r="AJ58" s="154">
        <f>+-PMT($G$18,$G$14,NPV($G$18,AJ28:AJ56))</f>
        <v>3.3526213154449436</v>
      </c>
      <c r="AL58" s="153">
        <f>+-PMT($G$18,$G$14,NPV($G$18,AL28:AL56))</f>
        <v>10689.047349331997</v>
      </c>
      <c r="AN58" s="154">
        <f>+-PMT($G$18,$G$14,NPV($G$18,AN28:AN56))</f>
        <v>11.039764603516314</v>
      </c>
      <c r="AP58" s="154">
        <f>+-PMT($G$18,$G$14,NPV($G$18,AP28:AP56))</f>
        <v>80.341607705788547</v>
      </c>
      <c r="AR58" s="154">
        <f>+-PMT($G$18,$G$14,NPV($G$18,AR28:AR56))</f>
        <v>2.704785208661324</v>
      </c>
      <c r="AS58" s="154"/>
      <c r="AT58" s="153">
        <f>+-PMT($G$18,$G$14,NPV($G$18,AT28:AT56))</f>
        <v>4930.8447539160834</v>
      </c>
      <c r="AV58" s="153">
        <f>+-PMT($G$18,$G$14,NPV($G$18,AV28:AV56))</f>
        <v>24342.41995271805</v>
      </c>
      <c r="AW58" s="273"/>
      <c r="AX58" s="155">
        <f>+-PMT($G$18,$G$14,NPV($G$18,AX28:AX56))</f>
        <v>29273.264706634131</v>
      </c>
      <c r="AZ58" s="2"/>
      <c r="BB58" s="154">
        <f>+-PMT($G$18,$G$14,NPV($G$18,BB28:BB56))</f>
        <v>75.644163714452802</v>
      </c>
      <c r="BD58" s="154">
        <f>+-PMT($G$18,$G$14,NPV($G$18,BD28:BD56))</f>
        <v>4.9809641372804432</v>
      </c>
      <c r="BF58" s="153">
        <f>+-PMT($G$18,$G$14,NPV($G$18,BF28:BF56))</f>
        <v>5758.2025954159135</v>
      </c>
      <c r="BH58" s="157"/>
    </row>
    <row r="59" spans="2:60">
      <c r="B59" s="2"/>
      <c r="E59" s="169"/>
      <c r="W59" s="18"/>
      <c r="Y59" s="271"/>
      <c r="Z59" s="235"/>
      <c r="AB59" s="2"/>
      <c r="AT59" s="273"/>
      <c r="AX59" s="235"/>
      <c r="AZ59" s="2"/>
      <c r="BH59" s="235"/>
    </row>
    <row r="60" spans="2:60">
      <c r="B60" s="238"/>
      <c r="C60" s="277"/>
      <c r="D60" s="277"/>
      <c r="E60" s="278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39"/>
      <c r="AB60" s="238"/>
      <c r="AC60" s="277"/>
      <c r="AD60" s="277"/>
      <c r="AE60" s="277"/>
      <c r="AF60" s="277"/>
      <c r="AG60" s="277"/>
      <c r="AH60" s="277"/>
      <c r="AI60" s="277"/>
      <c r="AJ60" s="277"/>
      <c r="AK60" s="277"/>
      <c r="AL60" s="277"/>
      <c r="AM60" s="277"/>
      <c r="AN60" s="277"/>
      <c r="AO60" s="277"/>
      <c r="AP60" s="277"/>
      <c r="AQ60" s="277"/>
      <c r="AR60" s="277"/>
      <c r="AS60" s="277"/>
      <c r="AT60" s="277"/>
      <c r="AU60" s="277"/>
      <c r="AV60" s="277"/>
      <c r="AW60" s="277"/>
      <c r="AX60" s="239"/>
      <c r="AZ60" s="238"/>
      <c r="BA60" s="277"/>
      <c r="BB60" s="277"/>
      <c r="BC60" s="277"/>
      <c r="BD60" s="277"/>
      <c r="BE60" s="277"/>
      <c r="BF60" s="277"/>
      <c r="BG60" s="277"/>
      <c r="BH60" s="239"/>
    </row>
    <row r="61" spans="2:60">
      <c r="E61" s="169"/>
    </row>
    <row r="62" spans="2:60">
      <c r="E62" s="169"/>
      <c r="G62" s="18"/>
      <c r="I62" s="18"/>
      <c r="K62" s="18"/>
      <c r="O62" s="18"/>
      <c r="Q62" s="18"/>
      <c r="S62" s="18"/>
      <c r="U62" s="18"/>
      <c r="W62" s="18"/>
    </row>
    <row r="63" spans="2:60">
      <c r="E63" s="169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  <row r="82" spans="5:5">
      <c r="E82" s="169"/>
    </row>
    <row r="83" spans="5:5">
      <c r="E83" s="169"/>
    </row>
    <row r="84" spans="5:5">
      <c r="E84" s="169"/>
    </row>
  </sheetData>
  <pageMargins left="0.25" right="0.25" top="0.25" bottom="0.75" header="0.3" footer="0.3"/>
  <pageSetup paperSize="5" scale="46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EC428-8585-4F7B-BEF7-A0D824152686}">
  <sheetPr>
    <tabColor theme="8" tint="0.79998168889431442"/>
    <pageSetUpPr fitToPage="1"/>
  </sheetPr>
  <dimension ref="A1:BH81"/>
  <sheetViews>
    <sheetView zoomScale="90" zoomScaleNormal="90" workbookViewId="0"/>
  </sheetViews>
  <sheetFormatPr defaultColWidth="9.33203125" defaultRowHeight="11.25"/>
  <cols>
    <col min="1" max="1" width="8.1640625" customWidth="1"/>
    <col min="2" max="2" width="4.1640625" customWidth="1"/>
    <col min="3" max="3" width="11" customWidth="1"/>
    <col min="4" max="4" width="4.83203125" customWidth="1"/>
    <col min="5" max="5" width="10.83203125" customWidth="1"/>
    <col min="6" max="6" width="4.33203125" customWidth="1"/>
    <col min="7" max="7" width="17.33203125" customWidth="1"/>
    <col min="8" max="8" width="2.83203125" customWidth="1"/>
    <col min="9" max="9" width="13.5" customWidth="1"/>
    <col min="10" max="10" width="2.83203125" customWidth="1"/>
    <col min="11" max="11" width="13.5" customWidth="1"/>
    <col min="12" max="12" width="2.83203125" customWidth="1"/>
    <col min="13" max="13" width="15.33203125" customWidth="1"/>
    <col min="14" max="14" width="2.83203125" customWidth="1"/>
    <col min="15" max="15" width="13.1640625" customWidth="1"/>
    <col min="16" max="16" width="2.83203125" customWidth="1"/>
    <col min="17" max="17" width="13.83203125" customWidth="1"/>
    <col min="18" max="18" width="3.1640625" customWidth="1"/>
    <col min="19" max="19" width="15.5" customWidth="1"/>
    <col min="20" max="20" width="2.83203125" customWidth="1"/>
    <col min="21" max="21" width="15.1640625" customWidth="1"/>
    <col min="22" max="22" width="2.83203125" customWidth="1"/>
    <col min="23" max="23" width="14.1640625" customWidth="1"/>
    <col min="24" max="24" width="2.83203125" customWidth="1"/>
    <col min="25" max="25" width="14.6640625" customWidth="1"/>
    <col min="26" max="26" width="2.83203125" customWidth="1"/>
    <col min="27" max="27" width="2.6640625" customWidth="1"/>
    <col min="28" max="28" width="7.83203125" customWidth="1"/>
    <col min="29" max="29" width="3" customWidth="1"/>
    <col min="30" max="30" width="13" bestFit="1" customWidth="1"/>
    <col min="31" max="31" width="3.1640625" customWidth="1"/>
    <col min="32" max="32" width="12.1640625" customWidth="1"/>
    <col min="33" max="33" width="2.33203125" customWidth="1"/>
    <col min="34" max="34" width="14.5" customWidth="1"/>
    <col min="35" max="35" width="8.5" customWidth="1"/>
    <col min="36" max="36" width="13.1640625" customWidth="1"/>
    <col min="37" max="37" width="2.33203125" customWidth="1"/>
    <col min="38" max="38" width="13.6640625" customWidth="1"/>
    <col min="39" max="39" width="1.5" customWidth="1"/>
    <col min="41" max="41" width="1.33203125" customWidth="1"/>
    <col min="42" max="42" width="11.33203125" customWidth="1"/>
    <col min="43" max="43" width="2.5" customWidth="1"/>
    <col min="44" max="44" width="12.6640625" customWidth="1"/>
    <col min="45" max="45" width="4" customWidth="1"/>
    <col min="46" max="46" width="10.1640625" customWidth="1"/>
    <col min="47" max="47" width="3.33203125" customWidth="1"/>
    <col min="48" max="48" width="12" customWidth="1"/>
    <col min="49" max="49" width="1.5" customWidth="1"/>
    <col min="50" max="50" width="11.33203125" customWidth="1"/>
    <col min="51" max="51" width="1.83203125" customWidth="1"/>
    <col min="52" max="52" width="15" customWidth="1"/>
    <col min="53" max="53" width="2.83203125" customWidth="1"/>
    <col min="55" max="55" width="4" customWidth="1"/>
    <col min="57" max="57" width="2.83203125" customWidth="1"/>
    <col min="58" max="58" width="10.5" bestFit="1" customWidth="1"/>
    <col min="59" max="59" width="2.33203125" customWidth="1"/>
  </cols>
  <sheetData>
    <row r="1" spans="1:57" s="231" customFormat="1">
      <c r="A1" s="231" t="str">
        <f>+'Workpaper Index'!C3</f>
        <v>PACIFICORP</v>
      </c>
    </row>
    <row r="2" spans="1:57" s="231" customFormat="1">
      <c r="A2" s="231" t="str">
        <f>+'Workpaper Index'!C4</f>
        <v xml:space="preserve">WASHINGTON JUNE, 1 2024 RENEWABLES REPORT </v>
      </c>
    </row>
    <row r="3" spans="1:57" s="231" customFormat="1">
      <c r="A3" s="231" t="str">
        <f>+'Workpaper Index'!C5</f>
        <v>EVALUATION OF RENEWABLE RESOURCE COST</v>
      </c>
    </row>
    <row r="4" spans="1:57" s="231" customFormat="1"/>
    <row r="5" spans="1:57" s="231" customFormat="1"/>
    <row r="7" spans="1:57">
      <c r="AB7" t="s">
        <v>409</v>
      </c>
    </row>
    <row r="8" spans="1:57">
      <c r="B8" s="240"/>
      <c r="C8" s="241" t="s">
        <v>95</v>
      </c>
      <c r="D8" s="241"/>
      <c r="E8" s="241"/>
      <c r="F8" s="242"/>
      <c r="G8" s="241"/>
      <c r="H8" s="243"/>
      <c r="AB8" s="244" t="s">
        <v>96</v>
      </c>
      <c r="AC8" s="245"/>
      <c r="AD8" s="245"/>
      <c r="AE8" s="245"/>
      <c r="AF8" s="245"/>
      <c r="AG8" s="245"/>
      <c r="AH8" s="245"/>
      <c r="AI8" s="245"/>
      <c r="AJ8" s="245"/>
      <c r="AK8" s="246"/>
      <c r="AZ8" s="244" t="s">
        <v>97</v>
      </c>
      <c r="BA8" s="245"/>
      <c r="BB8" s="245"/>
      <c r="BC8" s="245"/>
      <c r="BD8" s="245"/>
      <c r="BE8" s="246"/>
    </row>
    <row r="9" spans="1:57" ht="12">
      <c r="B9" s="247"/>
      <c r="C9" s="248"/>
      <c r="D9" s="248"/>
      <c r="E9" s="248"/>
      <c r="F9" s="248"/>
      <c r="G9" s="248"/>
      <c r="H9" s="249"/>
      <c r="J9" s="4"/>
      <c r="AB9" s="116"/>
      <c r="AC9" s="117"/>
      <c r="AD9" s="117"/>
      <c r="AE9" s="117"/>
      <c r="AF9" s="118"/>
      <c r="AG9" s="117"/>
      <c r="AH9" s="117"/>
      <c r="AI9" s="117"/>
      <c r="AJ9" s="119"/>
      <c r="AK9" s="120"/>
      <c r="AZ9" s="116"/>
      <c r="BA9" s="117"/>
      <c r="BB9" s="117"/>
      <c r="BC9" s="117"/>
      <c r="BD9" s="118"/>
      <c r="BE9" s="121"/>
    </row>
    <row r="10" spans="1:57" ht="12">
      <c r="B10" s="250"/>
      <c r="C10" s="231" t="s">
        <v>98</v>
      </c>
      <c r="D10" s="231"/>
      <c r="E10" s="231"/>
      <c r="F10" s="231"/>
      <c r="G10" s="251" t="s">
        <v>411</v>
      </c>
      <c r="H10" s="252"/>
      <c r="AB10" s="122"/>
      <c r="AC10" s="123"/>
      <c r="AD10" s="123"/>
      <c r="AE10" s="123"/>
      <c r="AF10" s="124"/>
      <c r="AG10" s="125"/>
      <c r="AH10" s="126"/>
      <c r="AI10" s="127"/>
      <c r="AK10" s="235"/>
      <c r="AZ10" s="122"/>
      <c r="BA10" s="123"/>
      <c r="BB10" s="123"/>
      <c r="BC10" s="123"/>
      <c r="BD10" s="124"/>
      <c r="BE10" s="128"/>
    </row>
    <row r="11" spans="1:57" ht="12">
      <c r="B11" s="250"/>
      <c r="C11" s="231" t="s">
        <v>31</v>
      </c>
      <c r="D11" s="231"/>
      <c r="E11" s="231"/>
      <c r="F11" s="231"/>
      <c r="G11" s="280">
        <v>151</v>
      </c>
      <c r="H11" s="252"/>
      <c r="AB11" s="122" t="s">
        <v>99</v>
      </c>
      <c r="AC11" s="123"/>
      <c r="AD11" s="123"/>
      <c r="AE11" s="123"/>
      <c r="AF11" s="281">
        <f>+G11*(G12/AJ16)</f>
        <v>75.593638316721808</v>
      </c>
      <c r="AG11" s="127"/>
      <c r="AH11" s="123" t="s">
        <v>100</v>
      </c>
      <c r="AI11" s="124"/>
      <c r="AJ11" s="166">
        <f>'(2.1)_Proxy Resources'!N14</f>
        <v>24.131165356579</v>
      </c>
      <c r="AK11" s="235"/>
      <c r="AZ11" s="122" t="s">
        <v>99</v>
      </c>
      <c r="BA11" s="123"/>
      <c r="BB11" s="123"/>
      <c r="BC11" s="123"/>
      <c r="BD11" s="134">
        <f>(AF11*AF13-G11*G19)</f>
        <v>27.711538316721807</v>
      </c>
      <c r="BE11" s="130"/>
    </row>
    <row r="12" spans="1:57" ht="12">
      <c r="B12" s="250"/>
      <c r="C12" s="231" t="s">
        <v>32</v>
      </c>
      <c r="D12" s="231"/>
      <c r="E12" s="231"/>
      <c r="F12" s="231"/>
      <c r="G12" s="282">
        <v>0.34692974406283583</v>
      </c>
      <c r="H12" s="252"/>
      <c r="AB12" s="122" t="s">
        <v>32</v>
      </c>
      <c r="AC12" s="123"/>
      <c r="AD12" s="123"/>
      <c r="AE12" s="123"/>
      <c r="AF12" s="131">
        <f>+AD55/8760/AF11</f>
        <v>0.69299999999999951</v>
      </c>
      <c r="AG12" s="127"/>
      <c r="AH12" s="117" t="s">
        <v>101</v>
      </c>
      <c r="AI12" s="118"/>
      <c r="AJ12" s="117">
        <v>2022</v>
      </c>
      <c r="AK12" s="235"/>
      <c r="AZ12" s="122"/>
      <c r="BA12" s="123"/>
      <c r="BB12" s="123"/>
      <c r="BC12" s="123"/>
      <c r="BD12" s="131"/>
      <c r="BE12" s="132"/>
    </row>
    <row r="13" spans="1:57" ht="12">
      <c r="B13" s="250"/>
      <c r="C13" s="231" t="s">
        <v>33</v>
      </c>
      <c r="D13" s="231"/>
      <c r="E13" s="231"/>
      <c r="F13" s="231"/>
      <c r="G13" s="251">
        <v>2024</v>
      </c>
      <c r="H13" s="252"/>
      <c r="AB13" s="122" t="s">
        <v>102</v>
      </c>
      <c r="AC13" s="123"/>
      <c r="AD13" s="123"/>
      <c r="AE13" s="123"/>
      <c r="AF13" s="133">
        <v>1</v>
      </c>
      <c r="AG13" s="127"/>
      <c r="AH13" s="117" t="s">
        <v>103</v>
      </c>
      <c r="AI13" s="118"/>
      <c r="AJ13" s="166">
        <f>'(2.1)_Proxy Resources'!O14</f>
        <v>1.8152776658187928</v>
      </c>
      <c r="AK13" s="235"/>
      <c r="AZ13" s="122" t="s">
        <v>102</v>
      </c>
      <c r="BA13" s="123"/>
      <c r="BB13" s="123"/>
      <c r="BC13" s="123"/>
      <c r="BD13" s="133">
        <v>1</v>
      </c>
      <c r="BE13" s="132"/>
    </row>
    <row r="14" spans="1:57" ht="12">
      <c r="B14" s="250"/>
      <c r="C14" s="231" t="s">
        <v>34</v>
      </c>
      <c r="D14" s="231"/>
      <c r="E14" s="231"/>
      <c r="F14" s="231"/>
      <c r="G14" s="251">
        <v>25</v>
      </c>
      <c r="H14" s="252"/>
      <c r="AB14" s="122" t="s">
        <v>104</v>
      </c>
      <c r="AC14" s="123"/>
      <c r="AD14" s="123"/>
      <c r="AE14" s="123"/>
      <c r="AF14" s="134">
        <f>'(2.1)_Proxy Resources'!H14</f>
        <v>6556.5707888395682</v>
      </c>
      <c r="AG14" s="127"/>
      <c r="AH14" s="117" t="s">
        <v>148</v>
      </c>
      <c r="AI14" s="118"/>
      <c r="AJ14" s="166">
        <v>0</v>
      </c>
      <c r="AK14" s="235"/>
      <c r="AZ14" s="122" t="s">
        <v>406</v>
      </c>
      <c r="BA14" s="123"/>
      <c r="BB14" s="123"/>
      <c r="BC14" s="123"/>
      <c r="BD14" s="167">
        <f>'(2.1)_Proxy Resources'!J15</f>
        <v>843</v>
      </c>
      <c r="BE14" s="132"/>
    </row>
    <row r="15" spans="1:57" ht="12">
      <c r="A15" t="s">
        <v>405</v>
      </c>
      <c r="B15" s="250"/>
      <c r="C15" s="231" t="s">
        <v>107</v>
      </c>
      <c r="D15" s="231"/>
      <c r="E15" s="231"/>
      <c r="F15" s="231"/>
      <c r="G15" s="283">
        <v>0</v>
      </c>
      <c r="H15" s="252"/>
      <c r="AB15" s="122" t="s">
        <v>406</v>
      </c>
      <c r="AC15" s="123"/>
      <c r="AD15" s="123"/>
      <c r="AE15" s="123"/>
      <c r="AF15" s="167">
        <f>'(2.1)_Proxy Resources'!J14</f>
        <v>1355.0378286709158</v>
      </c>
      <c r="AG15" s="127"/>
      <c r="AH15" s="117" t="s">
        <v>145</v>
      </c>
      <c r="AI15" s="118"/>
      <c r="AJ15" s="166">
        <f>'(2.1)_Proxy Resources'!P14</f>
        <v>2.2815827972542659</v>
      </c>
      <c r="AK15" s="235"/>
      <c r="AZ15" s="122" t="s">
        <v>108</v>
      </c>
      <c r="BA15" s="123"/>
      <c r="BB15" s="123"/>
      <c r="BC15" s="123"/>
      <c r="BD15" s="136">
        <f>'(2.1)_Proxy Resources'!K15</f>
        <v>6.4562857142857144E-2</v>
      </c>
      <c r="BE15" s="132"/>
    </row>
    <row r="16" spans="1:57" ht="12">
      <c r="A16" t="s">
        <v>405</v>
      </c>
      <c r="B16" s="250"/>
      <c r="C16" s="231" t="s">
        <v>109</v>
      </c>
      <c r="D16" s="231"/>
      <c r="E16" s="231"/>
      <c r="F16" s="231"/>
      <c r="G16" s="283">
        <f>AVERAGE(K28:K52)</f>
        <v>132.03129796630452</v>
      </c>
      <c r="H16" s="252"/>
      <c r="AB16" s="122" t="s">
        <v>108</v>
      </c>
      <c r="AC16" s="123"/>
      <c r="AD16" s="123"/>
      <c r="AE16" s="123"/>
      <c r="AF16" s="136">
        <f>'(2.1)_Proxy Resources'!K13</f>
        <v>6.6086000000000006E-2</v>
      </c>
      <c r="AG16" s="127"/>
      <c r="AH16" s="117" t="s">
        <v>110</v>
      </c>
      <c r="AI16" s="124"/>
      <c r="AJ16" s="137">
        <f>'(2.1)_Proxy Resources'!D14</f>
        <v>0.69299999999999995</v>
      </c>
      <c r="AK16" s="235"/>
      <c r="AZ16" s="122" t="s">
        <v>100</v>
      </c>
      <c r="BA16" s="124"/>
      <c r="BB16" s="166">
        <f>'(2.1)_Proxy Resources'!O15</f>
        <v>2.7759300458983387</v>
      </c>
      <c r="BE16" s="130"/>
    </row>
    <row r="17" spans="1:60" ht="12">
      <c r="A17" t="s">
        <v>405</v>
      </c>
      <c r="B17" s="250"/>
      <c r="C17" s="231" t="s">
        <v>111</v>
      </c>
      <c r="D17" s="231"/>
      <c r="E17" s="231"/>
      <c r="F17" s="231"/>
      <c r="G17" s="283">
        <v>0</v>
      </c>
      <c r="H17" s="252"/>
      <c r="AB17" s="2"/>
      <c r="AG17" s="127"/>
      <c r="AI17" s="127"/>
      <c r="AJ17" s="123"/>
      <c r="AK17" s="130"/>
      <c r="AZ17" s="116" t="s">
        <v>101</v>
      </c>
      <c r="BA17" s="118"/>
      <c r="BB17" s="117">
        <v>2022</v>
      </c>
      <c r="BE17" s="128"/>
    </row>
    <row r="18" spans="1:60" ht="12">
      <c r="B18" s="250"/>
      <c r="C18" s="231" t="s">
        <v>112</v>
      </c>
      <c r="D18" s="231"/>
      <c r="E18" s="231"/>
      <c r="F18" s="231"/>
      <c r="G18" s="282">
        <f>'(2.2)_Forward_Price_Curve'!AA11</f>
        <v>6.7699999999999996E-2</v>
      </c>
      <c r="H18" s="252"/>
      <c r="AB18" s="138"/>
      <c r="AC18" s="139"/>
      <c r="AD18" s="139"/>
      <c r="AE18" s="139"/>
      <c r="AF18" s="139"/>
      <c r="AG18" s="139"/>
      <c r="AH18" s="139"/>
      <c r="AI18" s="139"/>
      <c r="AJ18" s="139"/>
      <c r="AK18" s="140"/>
      <c r="AZ18" s="138"/>
      <c r="BA18" s="139"/>
      <c r="BB18" s="139"/>
      <c r="BC18" s="139"/>
      <c r="BD18" s="139"/>
      <c r="BE18" s="141"/>
    </row>
    <row r="19" spans="1:60">
      <c r="B19" s="256"/>
      <c r="C19" s="257" t="s">
        <v>102</v>
      </c>
      <c r="D19" s="257"/>
      <c r="E19" s="257"/>
      <c r="F19" s="257"/>
      <c r="G19" s="168">
        <f>'(2.2)_Forward_Price_Curve'!M103</f>
        <v>0.31709999999999999</v>
      </c>
      <c r="H19" s="259"/>
      <c r="I19" s="271"/>
    </row>
    <row r="20" spans="1:60">
      <c r="B20" s="231"/>
      <c r="C20" s="231"/>
      <c r="D20" s="231"/>
      <c r="E20" s="231"/>
      <c r="F20" s="231"/>
      <c r="G20" s="231"/>
      <c r="H20" s="231"/>
    </row>
    <row r="23" spans="1:60">
      <c r="B23" s="244"/>
      <c r="C23" s="260" t="s">
        <v>114</v>
      </c>
      <c r="D23" s="260"/>
      <c r="E23" s="260"/>
      <c r="F23" s="260"/>
      <c r="G23" s="260"/>
      <c r="H23" s="260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1"/>
      <c r="AB23" s="244" t="s">
        <v>96</v>
      </c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  <c r="AX23" s="246"/>
      <c r="AZ23" s="244" t="s">
        <v>97</v>
      </c>
      <c r="BA23" s="245"/>
      <c r="BB23" s="245"/>
      <c r="BC23" s="245"/>
      <c r="BD23" s="245"/>
      <c r="BE23" s="245"/>
      <c r="BF23" s="245"/>
      <c r="BG23" s="245"/>
      <c r="BH23" s="246"/>
    </row>
    <row r="24" spans="1:60">
      <c r="B24" s="2"/>
      <c r="G24" s="262"/>
      <c r="I24" s="262"/>
      <c r="K24" s="262"/>
      <c r="O24" s="262"/>
      <c r="Q24" s="262"/>
      <c r="S24" s="262"/>
      <c r="U24" s="262"/>
      <c r="W24" s="262"/>
      <c r="Y24" s="262"/>
      <c r="Z24" s="235"/>
      <c r="AB24" s="2"/>
      <c r="AX24" s="235"/>
      <c r="AZ24" s="2"/>
      <c r="BH24" s="235"/>
    </row>
    <row r="25" spans="1:60" ht="60">
      <c r="B25" s="2"/>
      <c r="E25" s="262"/>
      <c r="G25" s="263" t="s">
        <v>115</v>
      </c>
      <c r="I25" s="263" t="s">
        <v>116</v>
      </c>
      <c r="K25" s="263" t="s">
        <v>117</v>
      </c>
      <c r="M25" s="263" t="s">
        <v>111</v>
      </c>
      <c r="O25" s="263" t="s">
        <v>118</v>
      </c>
      <c r="Q25" s="263" t="s">
        <v>119</v>
      </c>
      <c r="S25" s="263" t="s">
        <v>23</v>
      </c>
      <c r="U25" s="263" t="s">
        <v>120</v>
      </c>
      <c r="W25" s="263" t="s">
        <v>121</v>
      </c>
      <c r="X25" s="4"/>
      <c r="Y25" s="263" t="s">
        <v>121</v>
      </c>
      <c r="Z25" s="235"/>
      <c r="AB25" s="142"/>
      <c r="AC25" s="118"/>
      <c r="AD25" s="264" t="s">
        <v>115</v>
      </c>
      <c r="AF25" s="143" t="s">
        <v>122</v>
      </c>
      <c r="AG25" s="144"/>
      <c r="AH25" s="143" t="s">
        <v>123</v>
      </c>
      <c r="AJ25" s="143" t="s">
        <v>124</v>
      </c>
      <c r="AL25" s="143" t="s">
        <v>125</v>
      </c>
      <c r="AN25" s="143" t="s">
        <v>126</v>
      </c>
      <c r="AP25" s="143" t="s">
        <v>194</v>
      </c>
      <c r="AR25" s="143" t="s">
        <v>141</v>
      </c>
      <c r="AS25" s="143"/>
      <c r="AT25" s="143" t="s">
        <v>127</v>
      </c>
      <c r="AV25" s="143" t="s">
        <v>128</v>
      </c>
      <c r="AX25" s="143" t="s">
        <v>129</v>
      </c>
      <c r="AZ25" s="142"/>
      <c r="BA25" s="118"/>
      <c r="BB25" s="143" t="s">
        <v>122</v>
      </c>
      <c r="BD25" s="143" t="s">
        <v>123</v>
      </c>
      <c r="BF25" s="143" t="s">
        <v>125</v>
      </c>
      <c r="BH25" s="145"/>
    </row>
    <row r="26" spans="1:60" ht="22.5">
      <c r="B26" s="2"/>
      <c r="C26" s="266" t="s">
        <v>130</v>
      </c>
      <c r="E26" s="263" t="s">
        <v>131</v>
      </c>
      <c r="G26" s="262" t="s">
        <v>132</v>
      </c>
      <c r="I26" s="262" t="s">
        <v>133</v>
      </c>
      <c r="K26" s="262" t="str">
        <f>"($/MWH)"</f>
        <v>($/MWH)</v>
      </c>
      <c r="M26" s="262" t="str">
        <f>"($/MWH)"</f>
        <v>($/MWH)</v>
      </c>
      <c r="O26" s="262" t="str">
        <f>"($/MWH)"</f>
        <v>($/MWH)</v>
      </c>
      <c r="Q26" s="262" t="str">
        <f>"($/MWH)"</f>
        <v>($/MWH)</v>
      </c>
      <c r="S26" s="262" t="str">
        <f>"($000)"</f>
        <v>($000)</v>
      </c>
      <c r="U26" s="262" t="str">
        <f>"($000)"</f>
        <v>($000)</v>
      </c>
      <c r="W26" s="262" t="str">
        <f>"($000)"</f>
        <v>($000)</v>
      </c>
      <c r="X26" s="4"/>
      <c r="Y26" s="262" t="s">
        <v>134</v>
      </c>
      <c r="Z26" s="235"/>
      <c r="AB26" s="146" t="s">
        <v>76</v>
      </c>
      <c r="AC26" s="118"/>
      <c r="AD26" t="s">
        <v>132</v>
      </c>
      <c r="AF26" s="144" t="s">
        <v>133</v>
      </c>
      <c r="AG26" s="144"/>
      <c r="AH26" s="144" t="s">
        <v>133</v>
      </c>
      <c r="AJ26" s="144" t="s">
        <v>135</v>
      </c>
      <c r="AL26" s="144" t="s">
        <v>136</v>
      </c>
      <c r="AN26" s="144" t="s">
        <v>137</v>
      </c>
      <c r="AP26" s="144" t="s">
        <v>135</v>
      </c>
      <c r="AR26" s="144" t="s">
        <v>135</v>
      </c>
      <c r="AS26" s="144"/>
      <c r="AT26" s="144" t="s">
        <v>136</v>
      </c>
      <c r="AV26" s="144" t="s">
        <v>136</v>
      </c>
      <c r="AX26" s="147" t="s">
        <v>136</v>
      </c>
      <c r="AZ26" s="146" t="s">
        <v>76</v>
      </c>
      <c r="BA26" s="118"/>
      <c r="BB26" s="144" t="s">
        <v>133</v>
      </c>
      <c r="BD26" s="144" t="s">
        <v>133</v>
      </c>
      <c r="BF26" s="144" t="s">
        <v>136</v>
      </c>
      <c r="BH26" s="147"/>
    </row>
    <row r="27" spans="1:60" ht="12">
      <c r="B27" s="2"/>
      <c r="C27" s="267" t="s">
        <v>35</v>
      </c>
      <c r="E27" s="267" t="s">
        <v>35</v>
      </c>
      <c r="G27" s="267" t="s">
        <v>35</v>
      </c>
      <c r="I27" s="267" t="s">
        <v>35</v>
      </c>
      <c r="K27" s="267" t="s">
        <v>35</v>
      </c>
      <c r="M27" s="267" t="s">
        <v>35</v>
      </c>
      <c r="O27" s="267" t="s">
        <v>35</v>
      </c>
      <c r="Q27" s="267" t="s">
        <v>35</v>
      </c>
      <c r="S27" s="267" t="s">
        <v>35</v>
      </c>
      <c r="U27" s="267" t="s">
        <v>35</v>
      </c>
      <c r="W27" s="267" t="s">
        <v>35</v>
      </c>
      <c r="Y27" s="267" t="s">
        <v>35</v>
      </c>
      <c r="Z27" s="235"/>
      <c r="AB27" s="148" t="s">
        <v>35</v>
      </c>
      <c r="AC27" s="118"/>
      <c r="AD27" s="149" t="s">
        <v>35</v>
      </c>
      <c r="AF27" s="149" t="s">
        <v>35</v>
      </c>
      <c r="AH27" s="149" t="s">
        <v>35</v>
      </c>
      <c r="AJ27" s="149" t="s">
        <v>35</v>
      </c>
      <c r="AL27" s="149" t="s">
        <v>35</v>
      </c>
      <c r="AN27" s="149" t="s">
        <v>35</v>
      </c>
      <c r="AP27" s="149" t="s">
        <v>35</v>
      </c>
      <c r="AR27" s="149" t="s">
        <v>35</v>
      </c>
      <c r="AS27" s="149"/>
      <c r="AT27" s="149"/>
      <c r="AV27" s="149" t="s">
        <v>35</v>
      </c>
      <c r="AX27" s="150" t="s">
        <v>35</v>
      </c>
      <c r="AZ27" s="148" t="s">
        <v>35</v>
      </c>
      <c r="BA27" s="118"/>
      <c r="BB27" s="149" t="s">
        <v>35</v>
      </c>
      <c r="BD27" s="149" t="s">
        <v>35</v>
      </c>
      <c r="BF27" s="149" t="s">
        <v>35</v>
      </c>
      <c r="BH27" s="150"/>
    </row>
    <row r="28" spans="1:60" ht="12">
      <c r="B28" s="2"/>
      <c r="C28">
        <f>+G13</f>
        <v>2024</v>
      </c>
      <c r="E28" s="169">
        <f>'(2.2)_Forward_Price_Curve'!Q42</f>
        <v>2.1999999999999999E-2</v>
      </c>
      <c r="G28" s="18">
        <v>458904.78825655679</v>
      </c>
      <c r="I28" s="28">
        <v>0</v>
      </c>
      <c r="K28" s="28">
        <v>100.9933209</v>
      </c>
      <c r="L28" s="269"/>
      <c r="M28" s="268">
        <f>$G$17</f>
        <v>0</v>
      </c>
      <c r="O28" s="270">
        <f>'(2.2)_Forward_Price_Curve'!AH42</f>
        <v>1.6793504000000004</v>
      </c>
      <c r="Q28" s="28">
        <v>-21.481593459999999</v>
      </c>
      <c r="S28" s="18">
        <f>(I28*$G$11*1000+(K28+M28+O28+Q28)*G28)/1000</f>
        <v>37258.974384486821</v>
      </c>
      <c r="U28" s="18">
        <f t="shared" ref="U28:U52" si="0">AX28</f>
        <v>20563.429675656273</v>
      </c>
      <c r="W28" s="18">
        <f t="shared" ref="W28:W52" si="1">S28-U28</f>
        <v>16695.544708830548</v>
      </c>
      <c r="Y28" s="271">
        <f>+W28*1000/G28</f>
        <v>36.381282427362002</v>
      </c>
      <c r="Z28" s="235"/>
      <c r="AB28" s="146">
        <f>$C$28</f>
        <v>2024</v>
      </c>
      <c r="AC28" s="117"/>
      <c r="AD28" s="151">
        <f t="shared" ref="AD28:AD52" si="2">G28</f>
        <v>458904.78825655679</v>
      </c>
      <c r="AF28" s="152">
        <f>$AF$15*$AF$16*(1+E28)</f>
        <v>91.519108604348176</v>
      </c>
      <c r="AG28" s="272"/>
      <c r="AH28" s="152">
        <f>$AJ$11*(1+E28)</f>
        <v>24.66205099442374</v>
      </c>
      <c r="AI28" s="272"/>
      <c r="AJ28" s="152">
        <f>$AJ$13*(1+E28)</f>
        <v>1.8552137744668062</v>
      </c>
      <c r="AK28" s="272"/>
      <c r="AL28" s="153">
        <f>((AF28+AH28)*$AF$11*1000+AJ28*AD28)/1000</f>
        <v>9633.9230422692344</v>
      </c>
      <c r="AN28" s="154">
        <f>INDEX('(2.2)_Forward_Price_Curve'!$N:$N,MATCH($AB28,'(2.2)_Forward_Price_Curve'!$C:$C,0),1)</f>
        <v>3.8152500000000003</v>
      </c>
      <c r="AO28" s="279"/>
      <c r="AP28" s="154">
        <f>AN28*$AF$14/1000+$AJ$14/(1+E29)</f>
        <v>25.014956702120166</v>
      </c>
      <c r="AQ28" s="272"/>
      <c r="AR28" s="152">
        <f>$AJ$15*(1+E28)</f>
        <v>2.3317776187938599</v>
      </c>
      <c r="AS28" s="152"/>
      <c r="AT28" s="153">
        <f t="shared" ref="AT28:AT52" si="3">AL28-BF28</f>
        <v>8013.8823526089081</v>
      </c>
      <c r="AU28" s="272"/>
      <c r="AV28" s="153">
        <f t="shared" ref="AV28:AV52" si="4">(AP28+AR28)*AD28/1000</f>
        <v>12549.547323047365</v>
      </c>
      <c r="AW28" s="273"/>
      <c r="AX28" s="155">
        <f>AT28+AV28</f>
        <v>20563.429675656273</v>
      </c>
      <c r="AZ28" s="146">
        <f>$C$28</f>
        <v>2024</v>
      </c>
      <c r="BA28" s="117"/>
      <c r="BB28" s="152">
        <f>$BD$14*$BD$15*(1+E28)</f>
        <v>55.623871319999999</v>
      </c>
      <c r="BD28" s="152">
        <f>$BB$16*(1+E28)</f>
        <v>2.8370005069081023</v>
      </c>
      <c r="BE28" s="272"/>
      <c r="BF28" s="153">
        <f>(BB28+BD28)*$BD$11</f>
        <v>1620.0406896603263</v>
      </c>
      <c r="BG28" s="272"/>
      <c r="BH28" s="156"/>
    </row>
    <row r="29" spans="1:60" ht="12">
      <c r="B29" s="2"/>
      <c r="C29">
        <f>+IF(C28&gt;$G$13+$G$14,XX,C28+1)</f>
        <v>2025</v>
      </c>
      <c r="E29" s="169">
        <f>'(2.2)_Forward_Price_Curve'!Q43</f>
        <v>2.1000000000000001E-2</v>
      </c>
      <c r="G29" s="18">
        <v>458904.78825655679</v>
      </c>
      <c r="I29" s="28">
        <v>0</v>
      </c>
      <c r="K29" s="28">
        <v>103.16972699999999</v>
      </c>
      <c r="M29" s="28">
        <f>M28*(1+$E29)</f>
        <v>0</v>
      </c>
      <c r="O29" s="270">
        <f>'(2.2)_Forward_Price_Curve'!AH43</f>
        <v>1.7146167584000003</v>
      </c>
      <c r="Q29" s="28">
        <v>-22.277208030000001</v>
      </c>
      <c r="S29" s="18">
        <f t="shared" ref="S29:S52" si="5">(I29*$G$11*1000+(K29+M29+O29+Q29)*G29)/1000</f>
        <v>37908.810129922051</v>
      </c>
      <c r="U29" s="18">
        <f t="shared" si="0"/>
        <v>20712.219205136644</v>
      </c>
      <c r="W29" s="18">
        <f t="shared" si="1"/>
        <v>17196.590924785407</v>
      </c>
      <c r="Y29" s="271">
        <f t="shared" ref="Y29:Y52" si="6">+W29*1000/G29</f>
        <v>37.473112865345442</v>
      </c>
      <c r="Z29" s="235"/>
      <c r="AB29" s="146">
        <f>+IF(AB28&gt;$G$13+$G$14,XX,AB28+1)</f>
        <v>2025</v>
      </c>
      <c r="AC29" s="117"/>
      <c r="AD29" s="151">
        <f t="shared" si="2"/>
        <v>458904.78825655679</v>
      </c>
      <c r="AF29" s="154">
        <f>AF28*(1+$E29)</f>
        <v>93.441009885039477</v>
      </c>
      <c r="AH29" s="154">
        <f>AH28*(1+$E29)</f>
        <v>25.179954065306635</v>
      </c>
      <c r="AJ29" s="154">
        <f>AJ28*(1+$E29)</f>
        <v>1.894173263730609</v>
      </c>
      <c r="AL29" s="153">
        <f t="shared" ref="AL29:AL52" si="7">((AF29+AH29)*$AF$11*1000+AJ29*AD29)/1000</f>
        <v>9836.2354261568835</v>
      </c>
      <c r="AN29" s="154">
        <f>INDEX('(2.2)_Forward_Price_Curve'!$N:$N,MATCH($AB29,'(2.2)_Forward_Price_Curve'!$C:$C,0),1)</f>
        <v>3.8012999999999999</v>
      </c>
      <c r="AP29" s="154">
        <f>AN29*$AF$14/1000+$AJ$14</f>
        <v>24.92349253961585</v>
      </c>
      <c r="AR29" s="154">
        <f>AR28*(1+$E29)</f>
        <v>2.3807449487885308</v>
      </c>
      <c r="AS29" s="154"/>
      <c r="AT29" s="153">
        <f t="shared" si="3"/>
        <v>8182.1738820136907</v>
      </c>
      <c r="AV29" s="153">
        <f t="shared" si="4"/>
        <v>12530.045323122951</v>
      </c>
      <c r="AW29" s="273"/>
      <c r="AX29" s="155">
        <f t="shared" ref="AX29:AX52" si="8">AT29+AV29</f>
        <v>20712.219205136644</v>
      </c>
      <c r="AZ29" s="146">
        <f>+IF(AZ28&gt;$G$13+$G$14,XX,AZ28+1)</f>
        <v>2025</v>
      </c>
      <c r="BA29" s="117"/>
      <c r="BB29" s="154">
        <f>BB28*(1+$E29)</f>
        <v>56.791972617719992</v>
      </c>
      <c r="BD29" s="154">
        <f>BD28*(1+$E29)</f>
        <v>2.8965775175531721</v>
      </c>
      <c r="BF29" s="153">
        <f t="shared" ref="BF29:BF52" si="9">(BB29+BD29)*$BD$11</f>
        <v>1654.0615441431928</v>
      </c>
      <c r="BH29" s="157"/>
    </row>
    <row r="30" spans="1:60" ht="12">
      <c r="B30" s="2"/>
      <c r="C30">
        <f>+IF(C29&gt;$G$13+$G$14,XX,C29+1)</f>
        <v>2026</v>
      </c>
      <c r="E30" s="169">
        <f>'(2.2)_Forward_Price_Curve'!Q44</f>
        <v>2.1999999999999999E-2</v>
      </c>
      <c r="G30" s="18">
        <v>458904.78825655679</v>
      </c>
      <c r="I30" s="28">
        <v>0</v>
      </c>
      <c r="K30" s="28">
        <v>105.39303459999999</v>
      </c>
      <c r="M30" s="28">
        <f t="shared" ref="M30:M52" si="10">M29*(1+$E30)</f>
        <v>0</v>
      </c>
      <c r="O30" s="270">
        <f>'(2.2)_Forward_Price_Curve'!AH44</f>
        <v>1.7523383270848003</v>
      </c>
      <c r="Q30" s="28">
        <v>-22.277208030000001</v>
      </c>
      <c r="S30" s="18">
        <f t="shared" si="5"/>
        <v>38946.407241819237</v>
      </c>
      <c r="U30" s="18">
        <f t="shared" si="0"/>
        <v>22746.491082904482</v>
      </c>
      <c r="W30" s="18">
        <f t="shared" si="1"/>
        <v>16199.916158914755</v>
      </c>
      <c r="Y30" s="271">
        <f t="shared" si="6"/>
        <v>35.301257632243271</v>
      </c>
      <c r="Z30" s="235"/>
      <c r="AB30" s="146">
        <f>+IF(AB29&gt;$G$13+$G$14,XX,AB29+1)</f>
        <v>2026</v>
      </c>
      <c r="AC30" s="117"/>
      <c r="AD30" s="151">
        <f t="shared" si="2"/>
        <v>458904.78825655679</v>
      </c>
      <c r="AF30" s="154">
        <f t="shared" ref="AF30:AF52" si="11">AF29*(1+$E30)</f>
        <v>95.496712102510344</v>
      </c>
      <c r="AH30" s="154">
        <f t="shared" ref="AH30:AH52" si="12">AH29*(1+$E30)</f>
        <v>25.733913054743383</v>
      </c>
      <c r="AJ30" s="154">
        <f t="shared" ref="AJ30:AJ52" si="13">AJ29*(1+$E30)</f>
        <v>1.9358450755326824</v>
      </c>
      <c r="AL30" s="153">
        <f t="shared" si="7"/>
        <v>10052.632605532337</v>
      </c>
      <c r="AN30" s="154">
        <f>INDEX('(2.2)_Forward_Price_Curve'!$N:$N,MATCH($AB30,'(2.2)_Forward_Price_Curve'!$C:$C,0),1)</f>
        <v>4.4095833333333339</v>
      </c>
      <c r="AP30" s="154">
        <f t="shared" ref="AP30:AP52" si="14">AN30*$AF$14/1000+$AJ$14</f>
        <v>28.911745274287149</v>
      </c>
      <c r="AR30" s="154">
        <f t="shared" ref="AR30:AR52" si="15">AR29*(1+$E30)</f>
        <v>2.4331213376618788</v>
      </c>
      <c r="AS30" s="154"/>
      <c r="AT30" s="153">
        <f t="shared" si="3"/>
        <v>8362.1817074179944</v>
      </c>
      <c r="AV30" s="153">
        <f t="shared" si="4"/>
        <v>14384.309375486486</v>
      </c>
      <c r="AW30" s="273"/>
      <c r="AX30" s="155">
        <f t="shared" si="8"/>
        <v>22746.491082904482</v>
      </c>
      <c r="AZ30" s="146">
        <f>+IF(AZ29&gt;$G$13+$G$14,XX,AZ29+1)</f>
        <v>2026</v>
      </c>
      <c r="BA30" s="117"/>
      <c r="BB30" s="154">
        <f t="shared" ref="BB30:BB52" si="16">BB29*(1+$E30)</f>
        <v>58.041396015309836</v>
      </c>
      <c r="BD30" s="154">
        <f t="shared" ref="BD30:BD52" si="17">BD29*(1+$E30)</f>
        <v>2.9603022229393421</v>
      </c>
      <c r="BF30" s="153">
        <f t="shared" si="9"/>
        <v>1690.4508981143431</v>
      </c>
      <c r="BH30" s="157"/>
    </row>
    <row r="31" spans="1:60" ht="12">
      <c r="B31" s="2"/>
      <c r="C31">
        <f>+IF(C30&gt;$G$13+$G$14,XX,C30+1)</f>
        <v>2027</v>
      </c>
      <c r="E31" s="169">
        <f>'(2.2)_Forward_Price_Curve'!Q45</f>
        <v>2.1999999999999999E-2</v>
      </c>
      <c r="G31" s="18">
        <v>458904.78825655679</v>
      </c>
      <c r="I31" s="28">
        <v>0</v>
      </c>
      <c r="K31" s="28">
        <v>107.6642545</v>
      </c>
      <c r="M31" s="28">
        <f t="shared" si="10"/>
        <v>0</v>
      </c>
      <c r="O31" s="270">
        <f>'(2.2)_Forward_Price_Curve'!AH45</f>
        <v>1.7908897702806659</v>
      </c>
      <c r="Q31" s="28">
        <v>-23.072822599999999</v>
      </c>
      <c r="S31" s="18">
        <f t="shared" si="5"/>
        <v>39641.261035209929</v>
      </c>
      <c r="U31" s="18">
        <f t="shared" si="0"/>
        <v>24416.154797564435</v>
      </c>
      <c r="W31" s="18">
        <f t="shared" si="1"/>
        <v>15225.106237645494</v>
      </c>
      <c r="Y31" s="271">
        <f t="shared" si="6"/>
        <v>33.177048109451619</v>
      </c>
      <c r="Z31" s="235"/>
      <c r="AB31" s="146">
        <f>+IF(AB30&gt;$G$13+$G$14,XX,AB30+1)</f>
        <v>2027</v>
      </c>
      <c r="AC31" s="117"/>
      <c r="AD31" s="151">
        <f t="shared" si="2"/>
        <v>458904.78825655679</v>
      </c>
      <c r="AF31" s="154">
        <f t="shared" si="11"/>
        <v>97.597639768765575</v>
      </c>
      <c r="AH31" s="154">
        <f t="shared" si="12"/>
        <v>26.300059141947738</v>
      </c>
      <c r="AJ31" s="154">
        <f t="shared" si="13"/>
        <v>1.9784336671944014</v>
      </c>
      <c r="AL31" s="153">
        <f t="shared" si="7"/>
        <v>10273.790522854049</v>
      </c>
      <c r="AN31" s="154">
        <f>INDEX('(2.2)_Forward_Price_Curve'!$N:$N,MATCH($AB31,'(2.2)_Forward_Price_Curve'!$C:$C,0),1)</f>
        <v>4.8951958333333341</v>
      </c>
      <c r="AP31" s="154">
        <f t="shared" si="14"/>
        <v>32.0956980064825</v>
      </c>
      <c r="AR31" s="154">
        <f t="shared" si="15"/>
        <v>2.4866500070904403</v>
      </c>
      <c r="AS31" s="154"/>
      <c r="AT31" s="153">
        <f t="shared" si="3"/>
        <v>8546.1497049811915</v>
      </c>
      <c r="AV31" s="153">
        <f t="shared" si="4"/>
        <v>15870.005092583246</v>
      </c>
      <c r="AW31" s="273"/>
      <c r="AX31" s="155">
        <f t="shared" si="8"/>
        <v>24416.154797564435</v>
      </c>
      <c r="AZ31" s="146">
        <f>+IF(AZ30&gt;$G$13+$G$14,XX,AZ30+1)</f>
        <v>2027</v>
      </c>
      <c r="BA31" s="117"/>
      <c r="BB31" s="154">
        <f t="shared" si="16"/>
        <v>59.31830672764665</v>
      </c>
      <c r="BD31" s="154">
        <f t="shared" si="17"/>
        <v>3.0254288718440079</v>
      </c>
      <c r="BF31" s="153">
        <f t="shared" si="9"/>
        <v>1727.6408178728586</v>
      </c>
      <c r="BH31" s="157"/>
    </row>
    <row r="32" spans="1:60" ht="12">
      <c r="B32" s="2"/>
      <c r="C32">
        <f>+IF(C31&gt;$G$13+$G$14,XX,C31+1)</f>
        <v>2028</v>
      </c>
      <c r="E32" s="169">
        <f>'(2.2)_Forward_Price_Curve'!Q46</f>
        <v>2.1999999999999999E-2</v>
      </c>
      <c r="G32" s="18">
        <v>458904.78825655679</v>
      </c>
      <c r="I32" s="28">
        <v>0</v>
      </c>
      <c r="K32" s="28">
        <v>109.9844192</v>
      </c>
      <c r="M32" s="28">
        <f t="shared" si="10"/>
        <v>0</v>
      </c>
      <c r="O32" s="270">
        <f>'(2.2)_Forward_Price_Curve'!AH46</f>
        <v>1.8302893452268405</v>
      </c>
      <c r="Q32" s="28">
        <v>-23.072822599999999</v>
      </c>
      <c r="S32" s="18">
        <f t="shared" si="5"/>
        <v>40724.076379181839</v>
      </c>
      <c r="U32" s="18">
        <f t="shared" si="0"/>
        <v>24659.012459923713</v>
      </c>
      <c r="W32" s="18">
        <f t="shared" si="1"/>
        <v>16065.063919258126</v>
      </c>
      <c r="Y32" s="271">
        <f t="shared" si="6"/>
        <v>35.007400947572457</v>
      </c>
      <c r="Z32" s="235"/>
      <c r="AB32" s="146">
        <f>+IF(AB31&gt;$G$13+$G$14,XX,AB31+1)</f>
        <v>2028</v>
      </c>
      <c r="AC32" s="117"/>
      <c r="AD32" s="151">
        <f t="shared" si="2"/>
        <v>458904.78825655679</v>
      </c>
      <c r="AF32" s="154">
        <f t="shared" si="11"/>
        <v>99.744787843678424</v>
      </c>
      <c r="AH32" s="154">
        <f t="shared" si="12"/>
        <v>26.87866044307059</v>
      </c>
      <c r="AJ32" s="154">
        <f t="shared" si="13"/>
        <v>2.0219592078726785</v>
      </c>
      <c r="AL32" s="153">
        <f t="shared" si="7"/>
        <v>10499.813914356839</v>
      </c>
      <c r="AN32" s="154">
        <f>INDEX('(2.2)_Forward_Price_Curve'!$N:$N,MATCH($AB32,'(2.2)_Forward_Price_Curve'!$C:$C,0),1)</f>
        <v>4.9050791666666669</v>
      </c>
      <c r="AP32" s="154">
        <f t="shared" si="14"/>
        <v>32.160498781112203</v>
      </c>
      <c r="AR32" s="154">
        <f t="shared" si="15"/>
        <v>2.54135630724643</v>
      </c>
      <c r="AS32" s="154"/>
      <c r="AT32" s="153">
        <f t="shared" si="3"/>
        <v>8734.1649984907763</v>
      </c>
      <c r="AV32" s="153">
        <f t="shared" si="4"/>
        <v>15924.847461432937</v>
      </c>
      <c r="AW32" s="273"/>
      <c r="AX32" s="155">
        <f t="shared" si="8"/>
        <v>24659.012459923713</v>
      </c>
      <c r="AZ32" s="146">
        <f>+IF(AZ31&gt;$G$13+$G$14,XX,AZ31+1)</f>
        <v>2028</v>
      </c>
      <c r="BA32" s="117"/>
      <c r="BB32" s="154">
        <f t="shared" si="16"/>
        <v>60.623309475654878</v>
      </c>
      <c r="BD32" s="154">
        <f t="shared" si="17"/>
        <v>3.0919883070245762</v>
      </c>
      <c r="BF32" s="153">
        <f t="shared" si="9"/>
        <v>1765.6489158660618</v>
      </c>
      <c r="BH32" s="157"/>
    </row>
    <row r="33" spans="2:60" ht="12">
      <c r="B33" s="2"/>
      <c r="C33">
        <f>+IF(C32&gt;$G$13+$G$14,XX,C32+1)</f>
        <v>2029</v>
      </c>
      <c r="E33" s="169">
        <f>'(2.2)_Forward_Price_Curve'!Q47</f>
        <v>2.1999999999999999E-2</v>
      </c>
      <c r="G33" s="18">
        <v>458904.78825655679</v>
      </c>
      <c r="I33" s="28">
        <v>0</v>
      </c>
      <c r="K33" s="28">
        <v>112.3545834</v>
      </c>
      <c r="M33" s="28">
        <f t="shared" si="10"/>
        <v>0</v>
      </c>
      <c r="O33" s="270">
        <f>'(2.2)_Forward_Price_Curve'!AH47</f>
        <v>1.8705557108218309</v>
      </c>
      <c r="Q33" s="28">
        <v>-23.86843717</v>
      </c>
      <c r="S33" s="18">
        <f t="shared" si="5"/>
        <v>41465.123171713654</v>
      </c>
      <c r="U33" s="18">
        <f t="shared" si="0"/>
        <v>25128.022056502959</v>
      </c>
      <c r="W33" s="18">
        <f t="shared" si="1"/>
        <v>16337.101115210695</v>
      </c>
      <c r="Y33" s="271">
        <f t="shared" si="6"/>
        <v>35.600197542670273</v>
      </c>
      <c r="Z33" s="235"/>
      <c r="AB33" s="146">
        <f>+IF(AB32&gt;$G$13+$G$14,XX,AB32+1)</f>
        <v>2029</v>
      </c>
      <c r="AC33" s="117"/>
      <c r="AD33" s="151">
        <f t="shared" si="2"/>
        <v>458904.78825655679</v>
      </c>
      <c r="AF33" s="154">
        <f t="shared" si="11"/>
        <v>101.93917317623935</v>
      </c>
      <c r="AH33" s="154">
        <f t="shared" si="12"/>
        <v>27.469990972818142</v>
      </c>
      <c r="AJ33" s="154">
        <f t="shared" si="13"/>
        <v>2.0664423104458773</v>
      </c>
      <c r="AL33" s="153">
        <f t="shared" si="7"/>
        <v>10730.809820472692</v>
      </c>
      <c r="AN33" s="154">
        <f>INDEX('(2.2)_Forward_Price_Curve'!$N:$N,MATCH($AB33,'(2.2)_Forward_Price_Curve'!$C:$C,0),1)</f>
        <v>4.9885666666666664</v>
      </c>
      <c r="AP33" s="154">
        <f t="shared" si="14"/>
        <v>32.707890484845443</v>
      </c>
      <c r="AR33" s="154">
        <f t="shared" si="15"/>
        <v>2.5972661460058517</v>
      </c>
      <c r="AS33" s="154"/>
      <c r="AT33" s="153">
        <f t="shared" si="3"/>
        <v>8926.3166284575764</v>
      </c>
      <c r="AV33" s="153">
        <f t="shared" si="4"/>
        <v>16201.705428045385</v>
      </c>
      <c r="AW33" s="273"/>
      <c r="AX33" s="155">
        <f t="shared" si="8"/>
        <v>25128.022056502959</v>
      </c>
      <c r="AZ33" s="146">
        <f>+IF(AZ32&gt;$G$13+$G$14,XX,AZ32+1)</f>
        <v>2029</v>
      </c>
      <c r="BA33" s="117"/>
      <c r="BB33" s="154">
        <f t="shared" si="16"/>
        <v>61.957022284119283</v>
      </c>
      <c r="BD33" s="154">
        <f t="shared" si="17"/>
        <v>3.1600120497791169</v>
      </c>
      <c r="BF33" s="153">
        <f t="shared" si="9"/>
        <v>1804.493192015115</v>
      </c>
      <c r="BH33" s="157"/>
    </row>
    <row r="34" spans="2:60" ht="12">
      <c r="B34" s="2"/>
      <c r="C34">
        <f>+IF(C33&gt;$G$13+$G$14,XX,C33+1)</f>
        <v>2030</v>
      </c>
      <c r="E34" s="169">
        <f>'(2.2)_Forward_Price_Curve'!Q48</f>
        <v>2.1999999999999999E-2</v>
      </c>
      <c r="G34" s="18">
        <v>458904.78825655679</v>
      </c>
      <c r="I34" s="28">
        <v>0</v>
      </c>
      <c r="K34" s="28">
        <v>114.7758247</v>
      </c>
      <c r="M34" s="28">
        <f t="shared" si="10"/>
        <v>0</v>
      </c>
      <c r="O34" s="270">
        <f>'(2.2)_Forward_Price_Curve'!AH48</f>
        <v>1.9117079364599112</v>
      </c>
      <c r="Q34" s="28">
        <v>-24.664051749999999</v>
      </c>
      <c r="S34" s="18">
        <f t="shared" si="5"/>
        <v>42230.01601083218</v>
      </c>
      <c r="U34" s="18">
        <f t="shared" si="0"/>
        <v>25825.142189915936</v>
      </c>
      <c r="W34" s="18">
        <f t="shared" si="1"/>
        <v>16404.873820916244</v>
      </c>
      <c r="Y34" s="271">
        <f t="shared" si="6"/>
        <v>35.747881130725709</v>
      </c>
      <c r="Z34" s="235"/>
      <c r="AB34" s="146">
        <f>+IF(AB33&gt;$G$13+$G$14,XX,AB33+1)</f>
        <v>2030</v>
      </c>
      <c r="AC34" s="117"/>
      <c r="AD34" s="151">
        <f t="shared" si="2"/>
        <v>458904.78825655679</v>
      </c>
      <c r="AF34" s="154">
        <f t="shared" si="11"/>
        <v>104.18183498611661</v>
      </c>
      <c r="AH34" s="154">
        <f t="shared" si="12"/>
        <v>28.07433077422014</v>
      </c>
      <c r="AJ34" s="154">
        <f t="shared" si="13"/>
        <v>2.1119040412756869</v>
      </c>
      <c r="AL34" s="153">
        <f t="shared" si="7"/>
        <v>10966.887636523088</v>
      </c>
      <c r="AN34" s="154">
        <f>INDEX('(2.2)_Forward_Price_Curve'!$N:$N,MATCH($AB34,'(2.2)_Forward_Price_Curve'!$C:$C,0),1)</f>
        <v>5.1462750000000002</v>
      </c>
      <c r="AP34" s="154">
        <f t="shared" si="14"/>
        <v>33.74191633633535</v>
      </c>
      <c r="AR34" s="154">
        <f t="shared" si="15"/>
        <v>2.6544060012179806</v>
      </c>
      <c r="AS34" s="154"/>
      <c r="AT34" s="153">
        <f t="shared" si="3"/>
        <v>9122.6955942836394</v>
      </c>
      <c r="AV34" s="153">
        <f t="shared" si="4"/>
        <v>16702.446595632297</v>
      </c>
      <c r="AW34" s="273"/>
      <c r="AX34" s="155">
        <f t="shared" si="8"/>
        <v>25825.142189915936</v>
      </c>
      <c r="AZ34" s="146">
        <f>+IF(AZ33&gt;$G$13+$G$14,XX,AZ33+1)</f>
        <v>2030</v>
      </c>
      <c r="BA34" s="117"/>
      <c r="BB34" s="154">
        <f t="shared" si="16"/>
        <v>63.320076774369909</v>
      </c>
      <c r="BD34" s="154">
        <f t="shared" si="17"/>
        <v>3.2295323148742576</v>
      </c>
      <c r="BF34" s="153">
        <f t="shared" si="9"/>
        <v>1844.1920422394478</v>
      </c>
      <c r="BH34" s="157"/>
    </row>
    <row r="35" spans="2:60" ht="12">
      <c r="B35" s="2"/>
      <c r="C35">
        <f>+IF(C34&gt;$G$13+$G$14,XX,C34+1)</f>
        <v>2031</v>
      </c>
      <c r="E35" s="169">
        <f>'(2.2)_Forward_Price_Curve'!Q49</f>
        <v>2.1999999999999999E-2</v>
      </c>
      <c r="G35" s="18">
        <v>458904.78825655679</v>
      </c>
      <c r="I35" s="28">
        <v>0</v>
      </c>
      <c r="K35" s="28">
        <v>117.24924369999999</v>
      </c>
      <c r="M35" s="28">
        <f t="shared" si="10"/>
        <v>0</v>
      </c>
      <c r="O35" s="270">
        <f>'(2.2)_Forward_Price_Curve'!AH49</f>
        <v>1.9537655110620293</v>
      </c>
      <c r="Q35" s="28">
        <v>-24.664051749999999</v>
      </c>
      <c r="S35" s="18">
        <f t="shared" si="5"/>
        <v>43384.380255664299</v>
      </c>
      <c r="U35" s="18">
        <f t="shared" si="0"/>
        <v>26436.17968734954</v>
      </c>
      <c r="W35" s="18">
        <f t="shared" si="1"/>
        <v>16948.200568314758</v>
      </c>
      <c r="Y35" s="271">
        <f t="shared" si="6"/>
        <v>36.931845127838677</v>
      </c>
      <c r="Z35" s="235"/>
      <c r="AB35" s="146">
        <f>+IF(AB34&gt;$G$13+$G$14,XX,AB34+1)</f>
        <v>2031</v>
      </c>
      <c r="AC35" s="117"/>
      <c r="AD35" s="151">
        <f t="shared" si="2"/>
        <v>458904.78825655679</v>
      </c>
      <c r="AF35" s="154">
        <f t="shared" si="11"/>
        <v>106.47383535581118</v>
      </c>
      <c r="AH35" s="154">
        <f t="shared" si="12"/>
        <v>28.691966051252983</v>
      </c>
      <c r="AJ35" s="154">
        <f t="shared" si="13"/>
        <v>2.1583659301837521</v>
      </c>
      <c r="AL35" s="153">
        <f t="shared" si="7"/>
        <v>11208.159164526596</v>
      </c>
      <c r="AN35" s="154">
        <f>INDEX('(2.2)_Forward_Price_Curve'!$N:$N,MATCH($AB35,'(2.2)_Forward_Price_Curve'!$C:$C,0),1)</f>
        <v>5.2737458333333338</v>
      </c>
      <c r="AP35" s="154">
        <f t="shared" si="14"/>
        <v>34.577687878597722</v>
      </c>
      <c r="AR35" s="154">
        <f t="shared" si="15"/>
        <v>2.7128029332447761</v>
      </c>
      <c r="AS35" s="154"/>
      <c r="AT35" s="153">
        <f t="shared" si="3"/>
        <v>9323.3948973578808</v>
      </c>
      <c r="AV35" s="153">
        <f t="shared" si="4"/>
        <v>17112.78478999166</v>
      </c>
      <c r="AW35" s="273"/>
      <c r="AX35" s="155">
        <f t="shared" si="8"/>
        <v>26436.17968734954</v>
      </c>
      <c r="AZ35" s="146">
        <f>+IF(AZ34&gt;$G$13+$G$14,XX,AZ34+1)</f>
        <v>2031</v>
      </c>
      <c r="BA35" s="117"/>
      <c r="BB35" s="154">
        <f t="shared" si="16"/>
        <v>64.713118463406047</v>
      </c>
      <c r="BD35" s="154">
        <f t="shared" si="17"/>
        <v>3.3005820258014915</v>
      </c>
      <c r="BF35" s="153">
        <f t="shared" si="9"/>
        <v>1884.7642671687154</v>
      </c>
      <c r="BH35" s="157"/>
    </row>
    <row r="36" spans="2:60" ht="12">
      <c r="B36" s="2"/>
      <c r="C36">
        <f>+IF(C35&gt;$G$13+$G$14,XX,C35+1)</f>
        <v>2032</v>
      </c>
      <c r="E36" s="169">
        <f>'(2.2)_Forward_Price_Curve'!Q50</f>
        <v>2.1999999999999999E-2</v>
      </c>
      <c r="G36" s="18">
        <v>458904.78825655679</v>
      </c>
      <c r="I36" s="28">
        <v>0</v>
      </c>
      <c r="K36" s="28">
        <v>119.77596490000001</v>
      </c>
      <c r="M36" s="28">
        <f t="shared" si="10"/>
        <v>0</v>
      </c>
      <c r="O36" s="270">
        <f>'(2.2)_Forward_Price_Curve'!AH50</f>
        <v>1.9967483523053939</v>
      </c>
      <c r="Q36" s="28">
        <v>-24.664051749999999</v>
      </c>
      <c r="S36" s="18">
        <f t="shared" si="5"/>
        <v>44563.629744593105</v>
      </c>
      <c r="U36" s="18">
        <f t="shared" si="0"/>
        <v>27712.111277999378</v>
      </c>
      <c r="W36" s="18">
        <f t="shared" si="1"/>
        <v>16851.518466593727</v>
      </c>
      <c r="Y36" s="271">
        <f t="shared" si="6"/>
        <v>36.721165038645587</v>
      </c>
      <c r="Z36" s="235"/>
      <c r="AB36" s="146">
        <f>+IF(AB35&gt;$G$13+$G$14,XX,AB35+1)</f>
        <v>2032</v>
      </c>
      <c r="AC36" s="117"/>
      <c r="AD36" s="151">
        <f t="shared" si="2"/>
        <v>458904.78825655679</v>
      </c>
      <c r="AF36" s="154">
        <f t="shared" si="11"/>
        <v>108.81625973363903</v>
      </c>
      <c r="AH36" s="154">
        <f t="shared" si="12"/>
        <v>29.323189304380548</v>
      </c>
      <c r="AJ36" s="154">
        <f t="shared" si="13"/>
        <v>2.2058499806477947</v>
      </c>
      <c r="AL36" s="153">
        <f t="shared" si="7"/>
        <v>11454.738666146182</v>
      </c>
      <c r="AN36" s="154">
        <f>INDEX('(2.2)_Forward_Price_Curve'!$N:$N,MATCH($AB36,'(2.2)_Forward_Price_Curve'!$C:$C,0),1)</f>
        <v>5.6205333333333334</v>
      </c>
      <c r="AP36" s="154">
        <f t="shared" si="14"/>
        <v>36.851424671032426</v>
      </c>
      <c r="AR36" s="154">
        <f t="shared" si="15"/>
        <v>2.7724845977761614</v>
      </c>
      <c r="AS36" s="154"/>
      <c r="AT36" s="153">
        <f t="shared" si="3"/>
        <v>9528.509585099755</v>
      </c>
      <c r="AV36" s="153">
        <f t="shared" si="4"/>
        <v>18183.601692899621</v>
      </c>
      <c r="AW36" s="273"/>
      <c r="AX36" s="155">
        <f t="shared" si="8"/>
        <v>27712.111277999378</v>
      </c>
      <c r="AZ36" s="146">
        <f>+IF(AZ35&gt;$G$13+$G$14,XX,AZ35+1)</f>
        <v>2032</v>
      </c>
      <c r="BA36" s="117"/>
      <c r="BB36" s="154">
        <f t="shared" si="16"/>
        <v>66.136807069600977</v>
      </c>
      <c r="BD36" s="154">
        <f t="shared" si="17"/>
        <v>3.3731948303691244</v>
      </c>
      <c r="BF36" s="153">
        <f t="shared" si="9"/>
        <v>1926.2290810464272</v>
      </c>
      <c r="BH36" s="157"/>
    </row>
    <row r="37" spans="2:60" ht="12">
      <c r="B37" s="2"/>
      <c r="C37">
        <f>+IF(C36&gt;$G$13+$G$14,XX,C36+1)</f>
        <v>2033</v>
      </c>
      <c r="E37" s="169">
        <f>'(2.2)_Forward_Price_Curve'!Q51</f>
        <v>2.1999999999999999E-2</v>
      </c>
      <c r="G37" s="18">
        <v>458904.78825655679</v>
      </c>
      <c r="I37" s="28">
        <v>0</v>
      </c>
      <c r="K37" s="28">
        <v>122.3571369</v>
      </c>
      <c r="M37" s="28">
        <f t="shared" si="10"/>
        <v>0</v>
      </c>
      <c r="O37" s="270">
        <f>'(2.2)_Forward_Price_Curve'!AH51</f>
        <v>2.0406768160561128</v>
      </c>
      <c r="Q37" s="28">
        <v>-25.45966632</v>
      </c>
      <c r="S37" s="18">
        <f t="shared" si="5"/>
        <v>45403.189581283135</v>
      </c>
      <c r="U37" s="18">
        <f t="shared" si="0"/>
        <v>28759.207950902877</v>
      </c>
      <c r="W37" s="18">
        <f t="shared" si="1"/>
        <v>16643.981630380258</v>
      </c>
      <c r="Y37" s="271">
        <f t="shared" si="6"/>
        <v>36.268921258401036</v>
      </c>
      <c r="Z37" s="235"/>
      <c r="AB37" s="146">
        <f>+IF(AB36&gt;$G$13+$G$14,XX,AB36+1)</f>
        <v>2033</v>
      </c>
      <c r="AC37" s="117"/>
      <c r="AD37" s="151">
        <f t="shared" si="2"/>
        <v>458904.78825655679</v>
      </c>
      <c r="AF37" s="154">
        <f t="shared" si="11"/>
        <v>111.21021744777909</v>
      </c>
      <c r="AH37" s="154">
        <f t="shared" si="12"/>
        <v>29.968299469076921</v>
      </c>
      <c r="AJ37" s="154">
        <f t="shared" si="13"/>
        <v>2.2543786802220462</v>
      </c>
      <c r="AL37" s="153">
        <f t="shared" si="7"/>
        <v>11706.742916801399</v>
      </c>
      <c r="AN37" s="154">
        <f>INDEX('(2.2)_Forward_Price_Curve'!$N:$N,MATCH($AB37,'(2.2)_Forward_Price_Curve'!$C:$C,0),1)</f>
        <v>5.8895666666666662</v>
      </c>
      <c r="AP37" s="154">
        <f t="shared" si="14"/>
        <v>38.615360765589891</v>
      </c>
      <c r="AR37" s="154">
        <f t="shared" si="15"/>
        <v>2.8334792589272371</v>
      </c>
      <c r="AS37" s="154"/>
      <c r="AT37" s="153">
        <f t="shared" si="3"/>
        <v>9738.1367959719501</v>
      </c>
      <c r="AV37" s="153">
        <f t="shared" si="4"/>
        <v>19021.071154930927</v>
      </c>
      <c r="AW37" s="273"/>
      <c r="AX37" s="155">
        <f t="shared" si="8"/>
        <v>28759.207950902877</v>
      </c>
      <c r="AZ37" s="146">
        <f>+IF(AZ36&gt;$G$13+$G$14,XX,AZ36+1)</f>
        <v>2033</v>
      </c>
      <c r="BA37" s="117"/>
      <c r="BB37" s="154">
        <f t="shared" si="16"/>
        <v>67.591816825132199</v>
      </c>
      <c r="BD37" s="154">
        <f t="shared" si="17"/>
        <v>3.447405116637245</v>
      </c>
      <c r="BF37" s="153">
        <f t="shared" si="9"/>
        <v>1968.6061208294484</v>
      </c>
      <c r="BH37" s="157"/>
    </row>
    <row r="38" spans="2:60" ht="12">
      <c r="B38" s="2"/>
      <c r="C38">
        <f>+IF(C37&gt;$G$13+$G$14,XX,C37+1)</f>
        <v>2034</v>
      </c>
      <c r="E38" s="169">
        <f>'(2.2)_Forward_Price_Curve'!Q52</f>
        <v>2.1000000000000001E-2</v>
      </c>
      <c r="G38" s="18">
        <v>458904.78825655679</v>
      </c>
      <c r="I38" s="28">
        <v>0</v>
      </c>
      <c r="K38" s="28">
        <v>124.9939332</v>
      </c>
      <c r="M38" s="28">
        <f t="shared" si="10"/>
        <v>0</v>
      </c>
      <c r="O38" s="270">
        <f>'(2.2)_Forward_Price_Curve'!AH52</f>
        <v>2.0835310291932911</v>
      </c>
      <c r="Q38" s="28">
        <v>-13.851313790000001</v>
      </c>
      <c r="S38" s="18">
        <f t="shared" si="5"/>
        <v>51960.022592403038</v>
      </c>
      <c r="U38" s="18">
        <f t="shared" si="0"/>
        <v>29246.804222337236</v>
      </c>
      <c r="W38" s="18">
        <f t="shared" si="1"/>
        <v>22713.218370065802</v>
      </c>
      <c r="Y38" s="271">
        <f t="shared" si="6"/>
        <v>49.494402654538604</v>
      </c>
      <c r="Z38" s="235"/>
      <c r="AB38" s="146">
        <f>+IF(AB37&gt;$G$13+$G$14,XX,AB37+1)</f>
        <v>2034</v>
      </c>
      <c r="AC38" s="117"/>
      <c r="AD38" s="151">
        <f t="shared" si="2"/>
        <v>458904.78825655679</v>
      </c>
      <c r="AF38" s="154">
        <f t="shared" si="11"/>
        <v>113.54563201418243</v>
      </c>
      <c r="AH38" s="154">
        <f t="shared" si="12"/>
        <v>30.597633757927532</v>
      </c>
      <c r="AJ38" s="154">
        <f t="shared" si="13"/>
        <v>2.3017206325067092</v>
      </c>
      <c r="AL38" s="153">
        <f t="shared" si="7"/>
        <v>11952.584518054226</v>
      </c>
      <c r="AN38" s="154">
        <f>INDEX('(2.2)_Forward_Price_Curve'!$N:$N,MATCH($AB38,'(2.2)_Forward_Price_Curve'!$C:$C,0),1)</f>
        <v>5.9745791666666674</v>
      </c>
      <c r="AP38" s="154">
        <f t="shared" si="14"/>
        <v>39.172751239776126</v>
      </c>
      <c r="AR38" s="154">
        <f t="shared" si="15"/>
        <v>2.8929823233647087</v>
      </c>
      <c r="AS38" s="154"/>
      <c r="AT38" s="153">
        <f t="shared" si="3"/>
        <v>9942.6376686873591</v>
      </c>
      <c r="AV38" s="153">
        <f t="shared" si="4"/>
        <v>19304.166553649877</v>
      </c>
      <c r="AW38" s="273"/>
      <c r="AX38" s="155">
        <f t="shared" si="8"/>
        <v>29246.804222337236</v>
      </c>
      <c r="AZ38" s="146">
        <f>+IF(AZ37&gt;$G$13+$G$14,XX,AZ37+1)</f>
        <v>2034</v>
      </c>
      <c r="BA38" s="117"/>
      <c r="BB38" s="154">
        <f t="shared" si="16"/>
        <v>69.01124497845997</v>
      </c>
      <c r="BD38" s="154">
        <f t="shared" si="17"/>
        <v>3.5198006240866269</v>
      </c>
      <c r="BF38" s="153">
        <f t="shared" si="9"/>
        <v>2009.9468493668667</v>
      </c>
      <c r="BH38" s="157"/>
    </row>
    <row r="39" spans="2:60" ht="12">
      <c r="B39" s="2"/>
      <c r="C39">
        <f>+IF(C38&gt;$G$13+$G$14,XX,C38+1)</f>
        <v>2035</v>
      </c>
      <c r="E39" s="169">
        <f>'(2.2)_Forward_Price_Curve'!Q53</f>
        <v>2.1000000000000001E-2</v>
      </c>
      <c r="G39" s="18">
        <v>458904.78825655679</v>
      </c>
      <c r="I39" s="28">
        <v>0</v>
      </c>
      <c r="K39" s="28">
        <v>127.6875525</v>
      </c>
      <c r="M39" s="28">
        <f t="shared" si="10"/>
        <v>0</v>
      </c>
      <c r="O39" s="270">
        <f>'(2.2)_Forward_Price_Curve'!AH53</f>
        <v>2.12728518080635</v>
      </c>
      <c r="Q39" s="28">
        <v>0</v>
      </c>
      <c r="S39" s="18">
        <f t="shared" si="5"/>
        <v>59572.650598469721</v>
      </c>
      <c r="U39" s="18">
        <f t="shared" si="0"/>
        <v>29751.266199560068</v>
      </c>
      <c r="W39" s="18">
        <f t="shared" si="1"/>
        <v>29821.384398909653</v>
      </c>
      <c r="Y39" s="271">
        <f t="shared" si="6"/>
        <v>64.983816168502514</v>
      </c>
      <c r="Z39" s="235"/>
      <c r="AB39" s="146">
        <f>+IF(AB38&gt;$G$13+$G$14,XX,AB38+1)</f>
        <v>2035</v>
      </c>
      <c r="AC39" s="117"/>
      <c r="AD39" s="151">
        <f t="shared" si="2"/>
        <v>458904.78825655679</v>
      </c>
      <c r="AF39" s="154">
        <f t="shared" si="11"/>
        <v>115.93009028648025</v>
      </c>
      <c r="AH39" s="154">
        <f t="shared" si="12"/>
        <v>31.240184066844009</v>
      </c>
      <c r="AJ39" s="154">
        <f t="shared" si="13"/>
        <v>2.3500567657893501</v>
      </c>
      <c r="AL39" s="153">
        <f t="shared" si="7"/>
        <v>12203.588792933364</v>
      </c>
      <c r="AN39" s="154">
        <f>INDEX('(2.2)_Forward_Price_Curve'!$N:$N,MATCH($AB39,'(2.2)_Forward_Price_Curve'!$C:$C,0),1)</f>
        <v>6.063579166666667</v>
      </c>
      <c r="AP39" s="154">
        <f t="shared" si="14"/>
        <v>39.756286039982839</v>
      </c>
      <c r="AR39" s="154">
        <f t="shared" si="15"/>
        <v>2.9537349521553673</v>
      </c>
      <c r="AS39" s="154"/>
      <c r="AT39" s="153">
        <f t="shared" si="3"/>
        <v>10151.433059729792</v>
      </c>
      <c r="AV39" s="153">
        <f t="shared" si="4"/>
        <v>19599.833139830276</v>
      </c>
      <c r="AW39" s="273"/>
      <c r="AX39" s="155">
        <f t="shared" si="8"/>
        <v>29751.266199560068</v>
      </c>
      <c r="AZ39" s="146">
        <f>+IF(AZ38&gt;$G$13+$G$14,XX,AZ38+1)</f>
        <v>2035</v>
      </c>
      <c r="BA39" s="117"/>
      <c r="BB39" s="154">
        <f t="shared" si="16"/>
        <v>70.460481123007625</v>
      </c>
      <c r="BD39" s="154">
        <f t="shared" si="17"/>
        <v>3.5937164371924455</v>
      </c>
      <c r="BF39" s="153">
        <f t="shared" si="9"/>
        <v>2052.1557332035709</v>
      </c>
      <c r="BH39" s="157"/>
    </row>
    <row r="40" spans="2:60" ht="12">
      <c r="B40" s="2"/>
      <c r="C40">
        <f>+IF(C39&gt;$G$13+$G$14,XX,C39+1)</f>
        <v>2036</v>
      </c>
      <c r="E40" s="169">
        <f>'(2.2)_Forward_Price_Curve'!Q54</f>
        <v>2.1999999999999999E-2</v>
      </c>
      <c r="G40" s="18">
        <v>458904.78825655679</v>
      </c>
      <c r="I40" s="28">
        <v>0</v>
      </c>
      <c r="K40" s="28">
        <v>130.4392192</v>
      </c>
      <c r="M40" s="28">
        <f t="shared" si="10"/>
        <v>0</v>
      </c>
      <c r="O40" s="270">
        <f>'(2.2)_Forward_Price_Curve'!AH54</f>
        <v>2.1740854547840898</v>
      </c>
      <c r="Q40" s="28">
        <v>0</v>
      </c>
      <c r="S40" s="18">
        <f t="shared" si="5"/>
        <v>60856.880492605946</v>
      </c>
      <c r="U40" s="18">
        <f t="shared" si="0"/>
        <v>29880.805107633401</v>
      </c>
      <c r="W40" s="18">
        <f t="shared" si="1"/>
        <v>30976.075384972544</v>
      </c>
      <c r="Y40" s="271">
        <f t="shared" si="6"/>
        <v>67.500004745330656</v>
      </c>
      <c r="Z40" s="235"/>
      <c r="AB40" s="146">
        <f>+IF(AB39&gt;$G$13+$G$14,XX,AB39+1)</f>
        <v>2036</v>
      </c>
      <c r="AC40" s="117"/>
      <c r="AD40" s="151">
        <f t="shared" si="2"/>
        <v>458904.78825655679</v>
      </c>
      <c r="AF40" s="154">
        <f t="shared" si="11"/>
        <v>118.48055227278282</v>
      </c>
      <c r="AH40" s="154">
        <f t="shared" si="12"/>
        <v>31.927468116314579</v>
      </c>
      <c r="AJ40" s="154">
        <f t="shared" si="13"/>
        <v>2.4017580146367159</v>
      </c>
      <c r="AL40" s="153">
        <f t="shared" si="7"/>
        <v>12472.067746377901</v>
      </c>
      <c r="AN40" s="154">
        <f>INDEX('(2.2)_Forward_Price_Curve'!$N:$N,MATCH($AB40,'(2.2)_Forward_Price_Curve'!$C:$C,0),1)</f>
        <v>6.022495833333334</v>
      </c>
      <c r="AP40" s="154">
        <f t="shared" si="14"/>
        <v>39.48692025674135</v>
      </c>
      <c r="AR40" s="154">
        <f t="shared" si="15"/>
        <v>3.0187171211027852</v>
      </c>
      <c r="AS40" s="154"/>
      <c r="AT40" s="153">
        <f t="shared" si="3"/>
        <v>10374.764587043852</v>
      </c>
      <c r="AV40" s="153">
        <f t="shared" si="4"/>
        <v>19506.040520589548</v>
      </c>
      <c r="AW40" s="273"/>
      <c r="AX40" s="155">
        <f t="shared" si="8"/>
        <v>29880.805107633401</v>
      </c>
      <c r="AZ40" s="146">
        <f>+IF(AZ39&gt;$G$13+$G$14,XX,AZ39+1)</f>
        <v>2036</v>
      </c>
      <c r="BA40" s="117"/>
      <c r="BB40" s="154">
        <f t="shared" si="16"/>
        <v>72.010611707713792</v>
      </c>
      <c r="BD40" s="154">
        <f t="shared" si="17"/>
        <v>3.6727781988106796</v>
      </c>
      <c r="BF40" s="153">
        <f t="shared" si="9"/>
        <v>2097.3031593340493</v>
      </c>
      <c r="BH40" s="157"/>
    </row>
    <row r="41" spans="2:60" ht="12">
      <c r="B41" s="2"/>
      <c r="C41">
        <f>+IF(C40&gt;$G$13+$G$14,XX,C40+1)</f>
        <v>2037</v>
      </c>
      <c r="E41" s="169">
        <f>'(2.2)_Forward_Price_Curve'!Q55</f>
        <v>2.1999999999999999E-2</v>
      </c>
      <c r="G41" s="18">
        <v>458904.78825655679</v>
      </c>
      <c r="I41" s="28">
        <v>0</v>
      </c>
      <c r="K41" s="28">
        <v>133.25018439999999</v>
      </c>
      <c r="M41" s="28">
        <f t="shared" si="10"/>
        <v>0</v>
      </c>
      <c r="O41" s="270">
        <f>'(2.2)_Forward_Price_Curve'!AH55</f>
        <v>2.2219153347893399</v>
      </c>
      <c r="Q41" s="28">
        <v>0</v>
      </c>
      <c r="S41" s="18">
        <f t="shared" si="5"/>
        <v>62168.795243464643</v>
      </c>
      <c r="U41" s="18">
        <f t="shared" si="0"/>
        <v>30852.597027076481</v>
      </c>
      <c r="W41" s="18">
        <f t="shared" si="1"/>
        <v>31316.198216388162</v>
      </c>
      <c r="Y41" s="271">
        <f t="shared" si="6"/>
        <v>68.241166834111198</v>
      </c>
      <c r="Z41" s="235"/>
      <c r="AB41" s="146">
        <f>+IF(AB40&gt;$G$13+$G$14,XX,AB40+1)</f>
        <v>2037</v>
      </c>
      <c r="AC41" s="117"/>
      <c r="AD41" s="151">
        <f t="shared" si="2"/>
        <v>458904.78825655679</v>
      </c>
      <c r="AF41" s="154">
        <f t="shared" si="11"/>
        <v>121.08712442278404</v>
      </c>
      <c r="AH41" s="154">
        <f t="shared" si="12"/>
        <v>32.629872414873503</v>
      </c>
      <c r="AJ41" s="154">
        <f t="shared" si="13"/>
        <v>2.4545966909587236</v>
      </c>
      <c r="AL41" s="153">
        <f t="shared" si="7"/>
        <v>12746.453236798212</v>
      </c>
      <c r="AN41" s="154">
        <f>INDEX('(2.2)_Forward_Price_Curve'!$N:$N,MATCH($AB41,'(2.2)_Forward_Price_Curve'!$C:$C,0),1)</f>
        <v>6.2594874999999996</v>
      </c>
      <c r="AP41" s="154">
        <f t="shared" si="14"/>
        <v>41.040772895606416</v>
      </c>
      <c r="AR41" s="154">
        <f t="shared" si="15"/>
        <v>3.0851288977670466</v>
      </c>
      <c r="AS41" s="154"/>
      <c r="AT41" s="153">
        <f t="shared" si="3"/>
        <v>10603.009407958813</v>
      </c>
      <c r="AV41" s="153">
        <f t="shared" si="4"/>
        <v>20249.587619117669</v>
      </c>
      <c r="AW41" s="273"/>
      <c r="AX41" s="155">
        <f t="shared" si="8"/>
        <v>30852.597027076481</v>
      </c>
      <c r="AZ41" s="146">
        <f>+IF(AZ40&gt;$G$13+$G$14,XX,AZ40+1)</f>
        <v>2037</v>
      </c>
      <c r="BA41" s="117"/>
      <c r="BB41" s="154">
        <f t="shared" si="16"/>
        <v>73.594845165283502</v>
      </c>
      <c r="BD41" s="154">
        <f t="shared" si="17"/>
        <v>3.7535793191845146</v>
      </c>
      <c r="BF41" s="153">
        <f t="shared" si="9"/>
        <v>2143.4438288393985</v>
      </c>
      <c r="BH41" s="157"/>
    </row>
    <row r="42" spans="2:60" ht="12">
      <c r="B42" s="2"/>
      <c r="C42">
        <f>+IF(C41&gt;$G$13+$G$14,XX,C41+1)</f>
        <v>2038</v>
      </c>
      <c r="E42" s="169">
        <f>'(2.2)_Forward_Price_Curve'!Q56</f>
        <v>2.1999999999999999E-2</v>
      </c>
      <c r="G42" s="18">
        <v>458904.78825655679</v>
      </c>
      <c r="I42" s="28">
        <v>0</v>
      </c>
      <c r="K42" s="28">
        <v>136.1217259</v>
      </c>
      <c r="M42" s="28">
        <f t="shared" si="10"/>
        <v>0</v>
      </c>
      <c r="O42" s="270">
        <f>'(2.2)_Forward_Price_Curve'!AH56</f>
        <v>2.2707974721547055</v>
      </c>
      <c r="Q42" s="28">
        <v>0</v>
      </c>
      <c r="S42" s="18">
        <f t="shared" si="5"/>
        <v>63508.99163438924</v>
      </c>
      <c r="U42" s="18">
        <f t="shared" si="0"/>
        <v>31940.818732078144</v>
      </c>
      <c r="W42" s="18">
        <f t="shared" si="1"/>
        <v>31568.172902311097</v>
      </c>
      <c r="Y42" s="271">
        <f t="shared" si="6"/>
        <v>68.790245188425658</v>
      </c>
      <c r="Z42" s="235"/>
      <c r="AB42" s="146">
        <f>+IF(AB41&gt;$G$13+$G$14,XX,AB41+1)</f>
        <v>2038</v>
      </c>
      <c r="AC42" s="117"/>
      <c r="AD42" s="151">
        <f t="shared" si="2"/>
        <v>458904.78825655679</v>
      </c>
      <c r="AF42" s="154">
        <f t="shared" si="11"/>
        <v>123.75104116008529</v>
      </c>
      <c r="AH42" s="154">
        <f t="shared" si="12"/>
        <v>33.347729608000719</v>
      </c>
      <c r="AJ42" s="154">
        <f t="shared" si="13"/>
        <v>2.5085978181598154</v>
      </c>
      <c r="AL42" s="153">
        <f t="shared" si="7"/>
        <v>13026.875208007774</v>
      </c>
      <c r="AN42" s="154">
        <f>INDEX('(2.2)_Forward_Price_Curve'!$N:$N,MATCH($AB42,'(2.2)_Forward_Price_Curve'!$C:$C,0),1)</f>
        <v>6.5332833333333333</v>
      </c>
      <c r="AP42" s="154">
        <f t="shared" si="14"/>
        <v>42.835934658545739</v>
      </c>
      <c r="AR42" s="154">
        <f t="shared" si="15"/>
        <v>3.1530017335179217</v>
      </c>
      <c r="AS42" s="154"/>
      <c r="AT42" s="153">
        <f t="shared" si="3"/>
        <v>10836.275614933907</v>
      </c>
      <c r="AV42" s="153">
        <f t="shared" si="4"/>
        <v>21104.543117144236</v>
      </c>
      <c r="AW42" s="273"/>
      <c r="AX42" s="155">
        <f t="shared" si="8"/>
        <v>31940.818732078144</v>
      </c>
      <c r="AZ42" s="146">
        <f>+IF(AZ41&gt;$G$13+$G$14,XX,AZ41+1)</f>
        <v>2038</v>
      </c>
      <c r="BA42" s="117"/>
      <c r="BB42" s="154">
        <f t="shared" si="16"/>
        <v>75.213931758919742</v>
      </c>
      <c r="BD42" s="154">
        <f t="shared" si="17"/>
        <v>3.836158064206574</v>
      </c>
      <c r="BF42" s="153">
        <f t="shared" si="9"/>
        <v>2190.5995930738654</v>
      </c>
      <c r="BH42" s="157"/>
    </row>
    <row r="43" spans="2:60" ht="12">
      <c r="B43" s="2"/>
      <c r="C43">
        <f>+IF(C42&gt;$G$13+$G$14,XX,C42+1)</f>
        <v>2039</v>
      </c>
      <c r="E43" s="169">
        <f>'(2.2)_Forward_Price_Curve'!Q57</f>
        <v>2.1000000000000001E-2</v>
      </c>
      <c r="G43" s="18">
        <v>458904.78825655679</v>
      </c>
      <c r="I43" s="28">
        <v>0</v>
      </c>
      <c r="K43" s="28">
        <v>139.05514909999999</v>
      </c>
      <c r="M43" s="28">
        <f t="shared" si="10"/>
        <v>0</v>
      </c>
      <c r="O43" s="270">
        <f>'(2.2)_Forward_Price_Curve'!AH57</f>
        <v>2.3184842190699539</v>
      </c>
      <c r="Q43" s="28">
        <v>0</v>
      </c>
      <c r="S43" s="18">
        <f t="shared" si="5"/>
        <v>64877.037263347891</v>
      </c>
      <c r="U43" s="18">
        <f t="shared" si="0"/>
        <v>33078.049847538845</v>
      </c>
      <c r="W43" s="18">
        <f t="shared" si="1"/>
        <v>31798.987415809046</v>
      </c>
      <c r="Y43" s="271">
        <f t="shared" si="6"/>
        <v>69.293213384453509</v>
      </c>
      <c r="Z43" s="235"/>
      <c r="AB43" s="146">
        <f>+IF(AB42&gt;$G$13+$G$14,XX,AB42+1)</f>
        <v>2039</v>
      </c>
      <c r="AC43" s="117"/>
      <c r="AD43" s="151">
        <f t="shared" si="2"/>
        <v>458904.78825655679</v>
      </c>
      <c r="AF43" s="154">
        <f t="shared" si="11"/>
        <v>126.34981302444707</v>
      </c>
      <c r="AH43" s="154">
        <f t="shared" si="12"/>
        <v>34.048031929768733</v>
      </c>
      <c r="AJ43" s="154">
        <f t="shared" si="13"/>
        <v>2.5612783723411714</v>
      </c>
      <c r="AL43" s="153">
        <f t="shared" si="7"/>
        <v>13300.439587375935</v>
      </c>
      <c r="AN43" s="154">
        <f>INDEX('(2.2)_Forward_Price_Curve'!$N:$N,MATCH($AB43,'(2.2)_Forward_Price_Curve'!$C:$C,0),1)</f>
        <v>6.8255166666666662</v>
      </c>
      <c r="AP43" s="154">
        <f t="shared" si="14"/>
        <v>44.751983195404279</v>
      </c>
      <c r="AR43" s="154">
        <f t="shared" si="15"/>
        <v>3.2192147699217979</v>
      </c>
      <c r="AS43" s="154"/>
      <c r="AT43" s="153">
        <f t="shared" si="3"/>
        <v>11063.837402847519</v>
      </c>
      <c r="AV43" s="153">
        <f t="shared" si="4"/>
        <v>22014.212444691329</v>
      </c>
      <c r="AW43" s="273"/>
      <c r="AX43" s="155">
        <f t="shared" si="8"/>
        <v>33078.049847538845</v>
      </c>
      <c r="AZ43" s="146">
        <f>+IF(AZ42&gt;$G$13+$G$14,XX,AZ42+1)</f>
        <v>2039</v>
      </c>
      <c r="BA43" s="117"/>
      <c r="BB43" s="154">
        <f t="shared" si="16"/>
        <v>76.793424325857046</v>
      </c>
      <c r="BD43" s="154">
        <f t="shared" si="17"/>
        <v>3.9167173835549116</v>
      </c>
      <c r="BF43" s="153">
        <f t="shared" si="9"/>
        <v>2236.6021845284163</v>
      </c>
      <c r="BH43" s="157"/>
    </row>
    <row r="44" spans="2:60" ht="12">
      <c r="B44" s="2"/>
      <c r="C44">
        <f>+IF(C43&gt;$G$13+$G$14,XX,C43+1)</f>
        <v>2040</v>
      </c>
      <c r="E44" s="169">
        <f>'(2.2)_Forward_Price_Curve'!Q58</f>
        <v>2.1999999999999999E-2</v>
      </c>
      <c r="G44" s="18">
        <v>458904.78825655679</v>
      </c>
      <c r="I44" s="28">
        <v>0</v>
      </c>
      <c r="K44" s="28">
        <v>142.05178760000001</v>
      </c>
      <c r="M44" s="28">
        <f t="shared" si="10"/>
        <v>0</v>
      </c>
      <c r="O44" s="270">
        <f>'(2.2)_Forward_Price_Curve'!AH58</f>
        <v>2.3694908718894929</v>
      </c>
      <c r="Q44" s="28">
        <v>0</v>
      </c>
      <c r="S44" s="18">
        <f t="shared" si="5"/>
        <v>66275.616216883674</v>
      </c>
      <c r="U44" s="18">
        <f t="shared" si="0"/>
        <v>33807.889080256558</v>
      </c>
      <c r="W44" s="18">
        <f t="shared" si="1"/>
        <v>32467.727136627116</v>
      </c>
      <c r="Y44" s="271">
        <f t="shared" si="6"/>
        <v>70.750464949334116</v>
      </c>
      <c r="Z44" s="235"/>
      <c r="AB44" s="146">
        <f>+IF(AB43&gt;$G$13+$G$14,XX,AB43+1)</f>
        <v>2040</v>
      </c>
      <c r="AC44" s="117"/>
      <c r="AD44" s="151">
        <f t="shared" si="2"/>
        <v>458904.78825655679</v>
      </c>
      <c r="AF44" s="154">
        <f t="shared" si="11"/>
        <v>129.12950891098492</v>
      </c>
      <c r="AH44" s="154">
        <f t="shared" si="12"/>
        <v>34.797088632223648</v>
      </c>
      <c r="AJ44" s="154">
        <f t="shared" si="13"/>
        <v>2.6176264965326772</v>
      </c>
      <c r="AL44" s="153">
        <f t="shared" si="7"/>
        <v>13593.049258298208</v>
      </c>
      <c r="AN44" s="154">
        <f>INDEX('(2.2)_Forward_Price_Curve'!$N:$N,MATCH($AB44,'(2.2)_Forward_Price_Curve'!$C:$C,0),1)</f>
        <v>6.9763833333333336</v>
      </c>
      <c r="AP44" s="154">
        <f t="shared" si="14"/>
        <v>45.741151175080553</v>
      </c>
      <c r="AR44" s="154">
        <f t="shared" si="15"/>
        <v>3.2900374948600777</v>
      </c>
      <c r="AS44" s="154"/>
      <c r="AT44" s="153">
        <f t="shared" si="3"/>
        <v>11307.241825710167</v>
      </c>
      <c r="AV44" s="153">
        <f t="shared" si="4"/>
        <v>22500.647254546391</v>
      </c>
      <c r="AW44" s="273"/>
      <c r="AX44" s="155">
        <f t="shared" si="8"/>
        <v>33807.889080256558</v>
      </c>
      <c r="AZ44" s="146">
        <f>+IF(AZ43&gt;$G$13+$G$14,XX,AZ43+1)</f>
        <v>2040</v>
      </c>
      <c r="BA44" s="117"/>
      <c r="BB44" s="154">
        <f t="shared" si="16"/>
        <v>78.482879661025905</v>
      </c>
      <c r="BD44" s="154">
        <f t="shared" si="17"/>
        <v>4.0028851659931197</v>
      </c>
      <c r="BF44" s="153">
        <f t="shared" si="9"/>
        <v>2285.8074325880416</v>
      </c>
      <c r="BH44" s="157"/>
    </row>
    <row r="45" spans="2:60" ht="12">
      <c r="B45" s="2"/>
      <c r="C45">
        <f>+IF(C44&gt;$G$13+$G$14,XX,C44+1)</f>
        <v>2041</v>
      </c>
      <c r="E45" s="169">
        <f>'(2.2)_Forward_Price_Curve'!Q59</f>
        <v>2.1999999999999999E-2</v>
      </c>
      <c r="G45" s="18">
        <v>458904.78825655679</v>
      </c>
      <c r="I45" s="28">
        <v>0</v>
      </c>
      <c r="K45" s="28">
        <v>145.11300360000001</v>
      </c>
      <c r="M45" s="28">
        <f t="shared" si="10"/>
        <v>0</v>
      </c>
      <c r="O45" s="270">
        <f>'(2.2)_Forward_Price_Curve'!AH59</f>
        <v>2.421619671071062</v>
      </c>
      <c r="Q45" s="28">
        <v>0</v>
      </c>
      <c r="S45" s="18">
        <f t="shared" si="5"/>
        <v>67704.345052721736</v>
      </c>
      <c r="U45" s="18">
        <f t="shared" si="0"/>
        <v>35126.184620238098</v>
      </c>
      <c r="W45" s="18">
        <f t="shared" si="1"/>
        <v>32578.160432483637</v>
      </c>
      <c r="Y45" s="271">
        <f t="shared" si="6"/>
        <v>70.991110282925149</v>
      </c>
      <c r="Z45" s="235"/>
      <c r="AB45" s="146">
        <f>+IF(AB44&gt;$G$13+$G$14,XX,AB44+1)</f>
        <v>2041</v>
      </c>
      <c r="AC45" s="117"/>
      <c r="AD45" s="151">
        <f t="shared" si="2"/>
        <v>458904.78825655679</v>
      </c>
      <c r="AF45" s="154">
        <f t="shared" si="11"/>
        <v>131.97035810702658</v>
      </c>
      <c r="AH45" s="154">
        <f t="shared" si="12"/>
        <v>35.562624582132571</v>
      </c>
      <c r="AJ45" s="154">
        <f t="shared" si="13"/>
        <v>2.6752142794563962</v>
      </c>
      <c r="AL45" s="153">
        <f t="shared" si="7"/>
        <v>13892.096341980769</v>
      </c>
      <c r="AN45" s="154">
        <f>INDEX('(2.2)_Forward_Price_Curve'!$N:$N,MATCH($AB45,'(2.2)_Forward_Price_Curve'!$C:$C,0),1)</f>
        <v>7.3208083333333347</v>
      </c>
      <c r="AP45" s="154">
        <f t="shared" si="14"/>
        <v>47.999398069026626</v>
      </c>
      <c r="AR45" s="154">
        <f t="shared" si="15"/>
        <v>3.3624183197469995</v>
      </c>
      <c r="AS45" s="154"/>
      <c r="AT45" s="153">
        <f t="shared" si="3"/>
        <v>11556.001145875791</v>
      </c>
      <c r="AV45" s="153">
        <f t="shared" si="4"/>
        <v>23570.183474362311</v>
      </c>
      <c r="AW45" s="273"/>
      <c r="AX45" s="155">
        <f t="shared" si="8"/>
        <v>35126.184620238098</v>
      </c>
      <c r="AZ45" s="146">
        <f>+IF(AZ44&gt;$G$13+$G$14,XX,AZ44+1)</f>
        <v>2041</v>
      </c>
      <c r="BA45" s="117"/>
      <c r="BB45" s="154">
        <f t="shared" si="16"/>
        <v>80.209503013568479</v>
      </c>
      <c r="BD45" s="154">
        <f t="shared" si="17"/>
        <v>4.0909486396449681</v>
      </c>
      <c r="BF45" s="153">
        <f t="shared" si="9"/>
        <v>2336.0951961049786</v>
      </c>
      <c r="BH45" s="157"/>
    </row>
    <row r="46" spans="2:60" ht="12">
      <c r="B46" s="2"/>
      <c r="C46">
        <f>+IF(C45&gt;$G$13+$G$14,XX,C45+1)</f>
        <v>2042</v>
      </c>
      <c r="E46" s="169">
        <f>'(2.2)_Forward_Price_Curve'!Q60</f>
        <v>2.1999999999999999E-2</v>
      </c>
      <c r="G46" s="18">
        <v>458904.78825655679</v>
      </c>
      <c r="I46" s="28">
        <v>0</v>
      </c>
      <c r="K46" s="28">
        <v>148.2401888</v>
      </c>
      <c r="M46" s="28">
        <f t="shared" si="10"/>
        <v>0</v>
      </c>
      <c r="O46" s="270">
        <f>'(2.2)_Forward_Price_Curve'!AH60</f>
        <v>2.4748953038346255</v>
      </c>
      <c r="Q46" s="28">
        <v>0</v>
      </c>
      <c r="S46" s="18">
        <f t="shared" si="5"/>
        <v>69163.873757739362</v>
      </c>
      <c r="U46" s="18">
        <f t="shared" si="0"/>
        <v>36358.500226731056</v>
      </c>
      <c r="W46" s="18">
        <f t="shared" si="1"/>
        <v>32805.373531008307</v>
      </c>
      <c r="Y46" s="271">
        <f t="shared" si="6"/>
        <v>71.486230631065084</v>
      </c>
      <c r="Z46" s="235"/>
      <c r="AB46" s="146">
        <f>+IF(AB45&gt;$G$13+$G$14,XX,AB45+1)</f>
        <v>2042</v>
      </c>
      <c r="AC46" s="117"/>
      <c r="AD46" s="151">
        <f t="shared" si="2"/>
        <v>458904.78825655679</v>
      </c>
      <c r="AF46" s="154">
        <f t="shared" si="11"/>
        <v>134.87370598538118</v>
      </c>
      <c r="AH46" s="154">
        <f t="shared" si="12"/>
        <v>36.345002322939486</v>
      </c>
      <c r="AJ46" s="154">
        <f t="shared" si="13"/>
        <v>2.7340689936044371</v>
      </c>
      <c r="AL46" s="153">
        <f t="shared" si="7"/>
        <v>14197.722461504345</v>
      </c>
      <c r="AN46" s="154">
        <f>INDEX('(2.2)_Forward_Price_Curve'!$N:$N,MATCH($AB46,'(2.2)_Forward_Price_Curve'!$C:$C,0),1)</f>
        <v>7.634595833333333</v>
      </c>
      <c r="AP46" s="154">
        <f t="shared" si="14"/>
        <v>50.056768025429612</v>
      </c>
      <c r="AR46" s="154">
        <f t="shared" si="15"/>
        <v>3.4363915227814337</v>
      </c>
      <c r="AS46" s="154"/>
      <c r="AT46" s="153">
        <f t="shared" si="3"/>
        <v>11810.233171085058</v>
      </c>
      <c r="AV46" s="153">
        <f t="shared" si="4"/>
        <v>24548.267055646</v>
      </c>
      <c r="AW46" s="273"/>
      <c r="AX46" s="155">
        <f t="shared" si="8"/>
        <v>36358.500226731056</v>
      </c>
      <c r="AZ46" s="146">
        <f>+IF(AZ45&gt;$G$13+$G$14,XX,AZ45+1)</f>
        <v>2042</v>
      </c>
      <c r="BA46" s="117"/>
      <c r="BB46" s="154">
        <f t="shared" si="16"/>
        <v>81.974112079866984</v>
      </c>
      <c r="BD46" s="154">
        <f t="shared" si="17"/>
        <v>4.1809495097171574</v>
      </c>
      <c r="BF46" s="153">
        <f t="shared" si="9"/>
        <v>2387.489290419288</v>
      </c>
      <c r="BH46" s="157"/>
    </row>
    <row r="47" spans="2:60" ht="12">
      <c r="B47" s="2"/>
      <c r="C47">
        <f>+IF(C46&gt;$G$13+$G$14,XX,C46+1)</f>
        <v>2043</v>
      </c>
      <c r="E47" s="169">
        <f>'(2.2)_Forward_Price_Curve'!Q61</f>
        <v>2.1999999999999999E-2</v>
      </c>
      <c r="G47" s="18">
        <v>458904.78825655679</v>
      </c>
      <c r="I47" s="28">
        <v>0</v>
      </c>
      <c r="K47" s="28">
        <v>151.4347649</v>
      </c>
      <c r="M47" s="28">
        <f t="shared" si="10"/>
        <v>0</v>
      </c>
      <c r="O47" s="270">
        <f>'(2.2)_Forward_Price_Curve'!AH61</f>
        <v>2.5293430005189874</v>
      </c>
      <c r="Q47" s="28">
        <v>0</v>
      </c>
      <c r="S47" s="18">
        <f t="shared" si="5"/>
        <v>70654.866335197323</v>
      </c>
      <c r="U47" s="18">
        <f t="shared" si="0"/>
        <v>37799.500370545938</v>
      </c>
      <c r="W47" s="18">
        <f t="shared" si="1"/>
        <v>32855.365964651384</v>
      </c>
      <c r="Y47" s="271">
        <f t="shared" si="6"/>
        <v>71.595169205955543</v>
      </c>
      <c r="Z47" s="235"/>
      <c r="AB47" s="146">
        <f>+IF(AB46&gt;$G$13+$G$14,XX,AB46+1)</f>
        <v>2043</v>
      </c>
      <c r="AC47" s="117"/>
      <c r="AD47" s="151">
        <f t="shared" si="2"/>
        <v>458904.78825655679</v>
      </c>
      <c r="AF47" s="154">
        <f t="shared" si="11"/>
        <v>137.84092751705955</v>
      </c>
      <c r="AH47" s="154">
        <f t="shared" si="12"/>
        <v>37.144592374044159</v>
      </c>
      <c r="AJ47" s="154">
        <f t="shared" si="13"/>
        <v>2.7942185114637348</v>
      </c>
      <c r="AL47" s="153">
        <f t="shared" si="7"/>
        <v>14510.072355657439</v>
      </c>
      <c r="AN47" s="154">
        <f>INDEX('(2.2)_Forward_Price_Curve'!$N:$N,MATCH($AB47,'(2.2)_Forward_Price_Curve'!$C:$C,0),1)</f>
        <v>8.0156333333333336</v>
      </c>
      <c r="AP47" s="154">
        <f t="shared" si="14"/>
        <v>52.555067367382073</v>
      </c>
      <c r="AR47" s="154">
        <f t="shared" si="15"/>
        <v>3.5119921362826254</v>
      </c>
      <c r="AS47" s="154"/>
      <c r="AT47" s="153">
        <f t="shared" si="3"/>
        <v>12070.058300848927</v>
      </c>
      <c r="AV47" s="153">
        <f t="shared" si="4"/>
        <v>25729.442069697016</v>
      </c>
      <c r="AW47" s="273"/>
      <c r="AX47" s="155">
        <f t="shared" si="8"/>
        <v>37799.500370545938</v>
      </c>
      <c r="AZ47" s="146">
        <f>+IF(AZ46&gt;$G$13+$G$14,XX,AZ46+1)</f>
        <v>2043</v>
      </c>
      <c r="BA47" s="117"/>
      <c r="BB47" s="154">
        <f t="shared" si="16"/>
        <v>83.777542545624058</v>
      </c>
      <c r="BD47" s="154">
        <f t="shared" si="17"/>
        <v>4.2729303989309351</v>
      </c>
      <c r="BF47" s="153">
        <f t="shared" si="9"/>
        <v>2440.0140548085128</v>
      </c>
      <c r="BH47" s="157"/>
    </row>
    <row r="48" spans="2:60" ht="12">
      <c r="B48" s="2"/>
      <c r="C48">
        <f>+IF(C47&gt;$G$13+$G$14,XX,C47+1)</f>
        <v>2044</v>
      </c>
      <c r="E48" s="169">
        <f>'(2.2)_Forward_Price_Curve'!Q62</f>
        <v>2.1999999999999999E-2</v>
      </c>
      <c r="G48" s="18">
        <v>458904.78825655679</v>
      </c>
      <c r="I48" s="28">
        <v>0</v>
      </c>
      <c r="K48" s="28">
        <v>154.69818409999999</v>
      </c>
      <c r="M48" s="28">
        <f t="shared" si="10"/>
        <v>0</v>
      </c>
      <c r="O48" s="270">
        <f>'(2.2)_Forward_Price_Curve'!AH62</f>
        <v>2.584988546530405</v>
      </c>
      <c r="Q48" s="28">
        <v>0</v>
      </c>
      <c r="S48" s="18">
        <f t="shared" si="5"/>
        <v>72178.00103967551</v>
      </c>
      <c r="U48" s="18">
        <f t="shared" si="0"/>
        <v>39329.309355677899</v>
      </c>
      <c r="W48" s="18">
        <f t="shared" si="1"/>
        <v>32848.691683997611</v>
      </c>
      <c r="Y48" s="271">
        <f t="shared" si="6"/>
        <v>71.580625272606909</v>
      </c>
      <c r="Z48" s="235"/>
      <c r="AB48" s="146">
        <f>+IF(AB47&gt;$G$13+$G$14,XX,AB47+1)</f>
        <v>2044</v>
      </c>
      <c r="AC48" s="117"/>
      <c r="AD48" s="151">
        <f t="shared" si="2"/>
        <v>458904.78825655679</v>
      </c>
      <c r="AF48" s="154">
        <f t="shared" si="11"/>
        <v>140.87342792243487</v>
      </c>
      <c r="AH48" s="154">
        <f t="shared" si="12"/>
        <v>37.961773406273132</v>
      </c>
      <c r="AJ48" s="154">
        <f t="shared" si="13"/>
        <v>2.855691318715937</v>
      </c>
      <c r="AL48" s="153">
        <f t="shared" si="7"/>
        <v>14829.293947481905</v>
      </c>
      <c r="AN48" s="154">
        <f>INDEX('(2.2)_Forward_Price_Curve'!$N:$N,MATCH($AB48,'(2.2)_Forward_Price_Curve'!$C:$C,0),1)</f>
        <v>8.4240333333333339</v>
      </c>
      <c r="AP48" s="154">
        <f t="shared" si="14"/>
        <v>55.232770877544155</v>
      </c>
      <c r="AR48" s="154">
        <f t="shared" si="15"/>
        <v>3.5892559632808432</v>
      </c>
      <c r="AS48" s="154"/>
      <c r="AT48" s="153">
        <f t="shared" si="3"/>
        <v>12335.599583467605</v>
      </c>
      <c r="AV48" s="153">
        <f t="shared" si="4"/>
        <v>26993.709772210295</v>
      </c>
      <c r="AW48" s="273"/>
      <c r="AX48" s="155">
        <f t="shared" si="8"/>
        <v>39329.309355677899</v>
      </c>
      <c r="AZ48" s="146">
        <f>+IF(AZ47&gt;$G$13+$G$14,XX,AZ47+1)</f>
        <v>2044</v>
      </c>
      <c r="BA48" s="117"/>
      <c r="BB48" s="154">
        <f t="shared" si="16"/>
        <v>85.620648481627782</v>
      </c>
      <c r="BD48" s="154">
        <f t="shared" si="17"/>
        <v>4.3669348677074158</v>
      </c>
      <c r="BF48" s="153">
        <f t="shared" si="9"/>
        <v>2493.6943640142995</v>
      </c>
      <c r="BH48" s="157"/>
    </row>
    <row r="49" spans="2:60" ht="12">
      <c r="B49" s="2"/>
      <c r="C49">
        <f>+IF(C48&gt;$G$13+$G$14,XX,C48+1)</f>
        <v>2045</v>
      </c>
      <c r="E49" s="169">
        <f>'(2.2)_Forward_Price_Curve'!Q63</f>
        <v>2.1999999999999999E-2</v>
      </c>
      <c r="G49" s="18">
        <v>458904.78825655679</v>
      </c>
      <c r="I49" s="28">
        <v>0</v>
      </c>
      <c r="K49" s="28">
        <v>158.03192989999999</v>
      </c>
      <c r="M49" s="28">
        <f t="shared" si="10"/>
        <v>0</v>
      </c>
      <c r="O49" s="270">
        <f>'(2.2)_Forward_Price_Curve'!AH63</f>
        <v>2.6418582945540741</v>
      </c>
      <c r="Q49" s="28">
        <v>0</v>
      </c>
      <c r="S49" s="18">
        <f t="shared" si="5"/>
        <v>73733.97074980069</v>
      </c>
      <c r="U49" s="18">
        <f t="shared" si="0"/>
        <v>40844.703478885465</v>
      </c>
      <c r="W49" s="18">
        <f t="shared" si="1"/>
        <v>32889.267270915225</v>
      </c>
      <c r="Y49" s="271">
        <f t="shared" si="6"/>
        <v>71.669043584980088</v>
      </c>
      <c r="Z49" s="235"/>
      <c r="AB49" s="146">
        <f>+IF(AB48&gt;$G$13+$G$14,XX,AB48+1)</f>
        <v>2045</v>
      </c>
      <c r="AC49" s="117"/>
      <c r="AD49" s="151">
        <f t="shared" si="2"/>
        <v>458904.78825655679</v>
      </c>
      <c r="AF49" s="154">
        <f t="shared" si="11"/>
        <v>143.97264333672845</v>
      </c>
      <c r="AH49" s="154">
        <f t="shared" si="12"/>
        <v>38.796932421211139</v>
      </c>
      <c r="AJ49" s="154">
        <f t="shared" si="13"/>
        <v>2.9185165277276877</v>
      </c>
      <c r="AL49" s="153">
        <f t="shared" si="7"/>
        <v>15155.538414326507</v>
      </c>
      <c r="AN49" s="154">
        <f>INDEX('(2.2)_Forward_Price_Curve'!$N:$N,MATCH($AB49,'(2.2)_Forward_Price_Curve'!$C:$C,0),1)</f>
        <v>8.8254416666666682</v>
      </c>
      <c r="AP49" s="154">
        <f t="shared" si="14"/>
        <v>57.86463303027427</v>
      </c>
      <c r="AR49" s="154">
        <f t="shared" si="15"/>
        <v>3.6682195944730216</v>
      </c>
      <c r="AS49" s="154"/>
      <c r="AT49" s="153">
        <f t="shared" si="3"/>
        <v>12606.982774303893</v>
      </c>
      <c r="AV49" s="153">
        <f t="shared" si="4"/>
        <v>28237.72070458157</v>
      </c>
      <c r="AW49" s="273"/>
      <c r="AX49" s="155">
        <f t="shared" si="8"/>
        <v>40844.703478885465</v>
      </c>
      <c r="AZ49" s="146">
        <f>+IF(AZ48&gt;$G$13+$G$14,XX,AZ48+1)</f>
        <v>2045</v>
      </c>
      <c r="BA49" s="117"/>
      <c r="BB49" s="154">
        <f t="shared" si="16"/>
        <v>87.504302748223594</v>
      </c>
      <c r="BD49" s="154">
        <f t="shared" si="17"/>
        <v>4.463007434796979</v>
      </c>
      <c r="BF49" s="153">
        <f t="shared" si="9"/>
        <v>2548.5556400226142</v>
      </c>
      <c r="BH49" s="157"/>
    </row>
    <row r="50" spans="2:60" ht="12">
      <c r="B50" s="2"/>
      <c r="C50">
        <f>+IF(C49&gt;$G$13+$G$14,XX,C49+1)</f>
        <v>2046</v>
      </c>
      <c r="E50" s="169">
        <f>'(2.2)_Forward_Price_Curve'!Q64</f>
        <v>2.1999999999999999E-2</v>
      </c>
      <c r="G50" s="18">
        <v>458904.78825655679</v>
      </c>
      <c r="I50" s="28">
        <v>0</v>
      </c>
      <c r="K50" s="28">
        <v>161.61925470872998</v>
      </c>
      <c r="M50" s="28">
        <f t="shared" si="10"/>
        <v>0</v>
      </c>
      <c r="O50" s="270">
        <f>'(2.2)_Forward_Price_Curve'!AH64</f>
        <v>2.6999791770342636</v>
      </c>
      <c r="Q50" s="28">
        <v>0</v>
      </c>
      <c r="S50" s="18">
        <f t="shared" si="5"/>
        <v>75406.88323282628</v>
      </c>
      <c r="U50" s="18">
        <f t="shared" si="0"/>
        <v>44965.651990804567</v>
      </c>
      <c r="W50" s="18">
        <f t="shared" si="1"/>
        <v>30441.231242021713</v>
      </c>
      <c r="Y50" s="271">
        <f t="shared" si="6"/>
        <v>66.334525202215019</v>
      </c>
      <c r="Z50" s="235"/>
      <c r="AB50" s="146">
        <f>+IF(AB49&gt;$G$13+$G$14,XX,AB49+1)</f>
        <v>2046</v>
      </c>
      <c r="AC50" s="117"/>
      <c r="AD50" s="151">
        <f t="shared" si="2"/>
        <v>458904.78825655679</v>
      </c>
      <c r="AF50" s="154">
        <f t="shared" si="11"/>
        <v>147.14004149013647</v>
      </c>
      <c r="AH50" s="154">
        <f t="shared" si="12"/>
        <v>39.650464934477782</v>
      </c>
      <c r="AJ50" s="154">
        <f t="shared" si="13"/>
        <v>2.982723891337697</v>
      </c>
      <c r="AL50" s="153">
        <f t="shared" si="7"/>
        <v>15488.96025944169</v>
      </c>
      <c r="AN50" s="154">
        <f>INDEX('(2.2)_Forward_Price_Curve'!$N:$N,MATCH($AB50,'(2.2)_Forward_Price_Curve'!$C:$C,0),1)</f>
        <v>10.090566666666668</v>
      </c>
      <c r="AP50" s="154">
        <f t="shared" si="14"/>
        <v>66.159514649504928</v>
      </c>
      <c r="AR50" s="154">
        <f t="shared" si="15"/>
        <v>3.7489204255514283</v>
      </c>
      <c r="AS50" s="154"/>
      <c r="AT50" s="153">
        <f t="shared" si="3"/>
        <v>12884.336395338578</v>
      </c>
      <c r="AV50" s="153">
        <f t="shared" si="4"/>
        <v>32081.315595465989</v>
      </c>
      <c r="AW50" s="273"/>
      <c r="AX50" s="155">
        <f t="shared" si="8"/>
        <v>44965.651990804567</v>
      </c>
      <c r="AZ50" s="146">
        <f>+IF(AZ49&gt;$G$13+$G$14,XX,AZ49+1)</f>
        <v>2046</v>
      </c>
      <c r="BA50" s="117"/>
      <c r="BB50" s="154">
        <f t="shared" si="16"/>
        <v>89.429397408684508</v>
      </c>
      <c r="BD50" s="154">
        <f t="shared" si="17"/>
        <v>4.5611935983625127</v>
      </c>
      <c r="BF50" s="153">
        <f t="shared" si="9"/>
        <v>2604.6238641031114</v>
      </c>
      <c r="BH50" s="157"/>
    </row>
    <row r="51" spans="2:60" ht="12">
      <c r="B51" s="2"/>
      <c r="C51">
        <f>+IF(C50&gt;$G$13+$G$14,XX,C50+1)</f>
        <v>2047</v>
      </c>
      <c r="E51" s="169">
        <f>'(2.2)_Forward_Price_Curve'!Q65</f>
        <v>2.1999999999999999E-2</v>
      </c>
      <c r="G51" s="18">
        <v>458904.78825655679</v>
      </c>
      <c r="I51" s="28">
        <v>0</v>
      </c>
      <c r="K51" s="28">
        <v>165.28801179061816</v>
      </c>
      <c r="M51" s="28">
        <f t="shared" si="10"/>
        <v>0</v>
      </c>
      <c r="O51" s="270">
        <f>'(2.2)_Forward_Price_Curve'!AH65</f>
        <v>2.7593787189290175</v>
      </c>
      <c r="Q51" s="28">
        <v>0</v>
      </c>
      <c r="S51" s="18">
        <f t="shared" si="5"/>
        <v>77117.75215885065</v>
      </c>
      <c r="U51" s="18">
        <f t="shared" si="0"/>
        <v>46733.532019772079</v>
      </c>
      <c r="W51" s="18">
        <f t="shared" si="1"/>
        <v>30384.22013907857</v>
      </c>
      <c r="Y51" s="271">
        <f t="shared" si="6"/>
        <v>66.210292236244584</v>
      </c>
      <c r="Z51" s="235"/>
      <c r="AB51" s="146">
        <f>+IF(AB50&gt;$G$13+$G$14,XX,AB50+1)</f>
        <v>2047</v>
      </c>
      <c r="AC51" s="117"/>
      <c r="AD51" s="151">
        <f t="shared" si="2"/>
        <v>458904.78825655679</v>
      </c>
      <c r="AF51" s="154">
        <f t="shared" si="11"/>
        <v>150.37712240291947</v>
      </c>
      <c r="AH51" s="154">
        <f t="shared" si="12"/>
        <v>40.522775163036293</v>
      </c>
      <c r="AJ51" s="154">
        <f t="shared" si="13"/>
        <v>3.0483438169471264</v>
      </c>
      <c r="AL51" s="153">
        <f t="shared" si="7"/>
        <v>15829.717385149408</v>
      </c>
      <c r="AN51" s="154">
        <f>INDEX('(2.2)_Forward_Price_Curve'!$N:$N,MATCH($AB51,'(2.2)_Forward_Price_Curve'!$C:$C,0),1)</f>
        <v>10.571341666666667</v>
      </c>
      <c r="AP51" s="154">
        <f t="shared" si="14"/>
        <v>69.311749970509268</v>
      </c>
      <c r="AR51" s="154">
        <f t="shared" si="15"/>
        <v>3.83139667491356</v>
      </c>
      <c r="AS51" s="154"/>
      <c r="AT51" s="153">
        <f t="shared" si="3"/>
        <v>13167.791796036028</v>
      </c>
      <c r="AV51" s="153">
        <f t="shared" si="4"/>
        <v>33565.740223736051</v>
      </c>
      <c r="AW51" s="273"/>
      <c r="AX51" s="155">
        <f t="shared" si="8"/>
        <v>46733.532019772079</v>
      </c>
      <c r="AZ51" s="146">
        <f>+IF(AZ50&gt;$G$13+$G$14,XX,AZ50+1)</f>
        <v>2047</v>
      </c>
      <c r="BA51" s="117"/>
      <c r="BB51" s="154">
        <f t="shared" si="16"/>
        <v>91.396844151675566</v>
      </c>
      <c r="BD51" s="154">
        <f t="shared" si="17"/>
        <v>4.6615398575264884</v>
      </c>
      <c r="BF51" s="153">
        <f t="shared" si="9"/>
        <v>2661.9255891133803</v>
      </c>
      <c r="BH51" s="157"/>
    </row>
    <row r="52" spans="2:60" ht="12">
      <c r="B52" s="2"/>
      <c r="C52">
        <f>+IF(C51&gt;$G$13+$G$14,XX,C51+1)</f>
        <v>2048</v>
      </c>
      <c r="E52" s="169">
        <f>'(2.2)_Forward_Price_Curve'!Q66</f>
        <v>2.1999999999999999E-2</v>
      </c>
      <c r="G52" s="18">
        <v>458904.78825655679</v>
      </c>
      <c r="I52" s="28">
        <v>0</v>
      </c>
      <c r="K52" s="28">
        <v>169.04004965826519</v>
      </c>
      <c r="M52" s="28">
        <f t="shared" si="10"/>
        <v>0</v>
      </c>
      <c r="O52" s="270">
        <f>'(2.2)_Forward_Price_Curve'!AH66</f>
        <v>2.820085050745456</v>
      </c>
      <c r="Q52" s="28">
        <v>0</v>
      </c>
      <c r="S52" s="18">
        <f t="shared" si="5"/>
        <v>78867.438728381851</v>
      </c>
      <c r="U52" s="18">
        <f t="shared" si="0"/>
        <v>48484.974163949373</v>
      </c>
      <c r="W52" s="18">
        <f t="shared" si="1"/>
        <v>30382.464564432477</v>
      </c>
      <c r="Y52" s="271">
        <f t="shared" si="6"/>
        <v>66.206466661330097</v>
      </c>
      <c r="Z52" s="235"/>
      <c r="AB52" s="146">
        <f>+IF(AB51&gt;$G$13+$G$14,XX,AB51+1)</f>
        <v>2048</v>
      </c>
      <c r="AC52" s="117"/>
      <c r="AD52" s="151">
        <f t="shared" si="2"/>
        <v>458904.78825655679</v>
      </c>
      <c r="AF52" s="154">
        <f t="shared" si="11"/>
        <v>153.68541909578369</v>
      </c>
      <c r="AH52" s="154">
        <f t="shared" si="12"/>
        <v>41.414276216623094</v>
      </c>
      <c r="AJ52" s="154">
        <f t="shared" si="13"/>
        <v>3.1154073809199634</v>
      </c>
      <c r="AL52" s="153">
        <f t="shared" si="7"/>
        <v>16177.971167622691</v>
      </c>
      <c r="AN52" s="154">
        <f>INDEX('(2.2)_Forward_Price_Curve'!$N:$N,MATCH($AB52,'(2.2)_Forward_Price_Curve'!$C:$C,0),1)</f>
        <v>11.044304166666668</v>
      </c>
      <c r="AP52" s="154">
        <f t="shared" si="14"/>
        <v>72.412762082225797</v>
      </c>
      <c r="AR52" s="154">
        <f t="shared" si="15"/>
        <v>3.9156874017616583</v>
      </c>
      <c r="AS52" s="154"/>
      <c r="AT52" s="153">
        <f t="shared" si="3"/>
        <v>13457.483215548817</v>
      </c>
      <c r="AV52" s="153">
        <f t="shared" si="4"/>
        <v>35027.490948400555</v>
      </c>
      <c r="AW52" s="273"/>
      <c r="AX52" s="155">
        <f t="shared" si="8"/>
        <v>48484.974163949373</v>
      </c>
      <c r="AZ52" s="146">
        <f>+IF(AZ51&gt;$G$13+$G$14,XX,AZ51+1)</f>
        <v>2048</v>
      </c>
      <c r="BA52" s="117"/>
      <c r="BB52" s="154">
        <f t="shared" si="16"/>
        <v>93.407574723012431</v>
      </c>
      <c r="BD52" s="154">
        <f t="shared" si="17"/>
        <v>4.7640937343920715</v>
      </c>
      <c r="BF52" s="153">
        <f t="shared" si="9"/>
        <v>2720.4879520738746</v>
      </c>
      <c r="BH52" s="157"/>
    </row>
    <row r="53" spans="2:60" ht="12">
      <c r="B53" s="2"/>
      <c r="E53" s="169"/>
      <c r="G53" s="18"/>
      <c r="I53" s="28"/>
      <c r="K53" s="28"/>
      <c r="M53" s="28"/>
      <c r="O53" s="270"/>
      <c r="Q53" s="28"/>
      <c r="S53" s="18"/>
      <c r="U53" s="18"/>
      <c r="W53" s="18"/>
      <c r="Y53" s="271"/>
      <c r="Z53" s="235"/>
      <c r="AB53" s="146"/>
      <c r="AC53" s="117"/>
      <c r="AD53" s="151"/>
      <c r="AF53" s="154"/>
      <c r="AH53" s="154"/>
      <c r="AJ53" s="154"/>
      <c r="AL53" s="153"/>
      <c r="AN53" s="154"/>
      <c r="AP53" s="154"/>
      <c r="AR53" s="154"/>
      <c r="AS53" s="154"/>
      <c r="AT53" s="153"/>
      <c r="AV53" s="153"/>
      <c r="AW53" s="273"/>
      <c r="AX53" s="155"/>
      <c r="AZ53" s="146"/>
      <c r="BA53" s="117"/>
      <c r="BB53" s="154"/>
      <c r="BD53" s="154"/>
      <c r="BF53" s="153"/>
      <c r="BH53" s="157"/>
    </row>
    <row r="54" spans="2:60">
      <c r="B54" s="2"/>
      <c r="E54" s="169"/>
      <c r="G54" s="267"/>
      <c r="I54" s="267"/>
      <c r="K54" s="267"/>
      <c r="M54" s="267"/>
      <c r="O54" s="267"/>
      <c r="Q54" s="267"/>
      <c r="S54" s="267"/>
      <c r="U54" s="267"/>
      <c r="W54" s="267"/>
      <c r="Y54" s="267"/>
      <c r="Z54" s="235"/>
      <c r="AB54" s="2"/>
      <c r="AF54" s="274"/>
      <c r="AH54" s="274"/>
      <c r="AJ54" s="274"/>
      <c r="AL54" s="273"/>
      <c r="AN54" s="274"/>
      <c r="AP54" s="274"/>
      <c r="AR54" s="274"/>
      <c r="AS54" s="274"/>
      <c r="AT54" s="274"/>
      <c r="AV54" s="273"/>
      <c r="AW54" s="273"/>
      <c r="AX54" s="275"/>
      <c r="AZ54" s="2"/>
      <c r="BB54" s="274"/>
      <c r="BF54" s="273"/>
      <c r="BH54" s="235"/>
    </row>
    <row r="55" spans="2:60" ht="12">
      <c r="B55" s="2"/>
      <c r="C55" s="276" t="str">
        <f>G14&amp;"-year Nominal Levelized at "&amp;TEXT($G$18,"#.00%")</f>
        <v>25-year Nominal Levelized at 6.77%</v>
      </c>
      <c r="E55" s="169"/>
      <c r="G55" s="285">
        <f>+-PMT($G$18,$G$14,NPV($G$18,G28:G52))</f>
        <v>458904.78825655638</v>
      </c>
      <c r="I55" s="28">
        <f>+-PMT($G$18,$G$14,NPV($G$18,I28:I52))</f>
        <v>0</v>
      </c>
      <c r="J55" s="28"/>
      <c r="K55" s="28">
        <f>+-PMT($G$18,$G$14,NPV($G$18,K28:K52))</f>
        <v>122.99509804774893</v>
      </c>
      <c r="M55" s="28">
        <f>+-PMT($G$18,$G$14,NPV($G$18,M28:M52))</f>
        <v>0</v>
      </c>
      <c r="O55" s="28">
        <f>+-PMT($G$18,$G$14,NPV($G$18,O28:O52))</f>
        <v>2.0494662778127966</v>
      </c>
      <c r="Q55" s="28">
        <f>+-PMT($G$18,$G$14,NPV($G$18,Q28:Q52))</f>
        <v>-14.479666564641457</v>
      </c>
      <c r="S55" s="596">
        <f>+-PMT($G$18,$G$14,NPV($G$18,S28:S52))</f>
        <v>50738.760995582961</v>
      </c>
      <c r="U55" s="285">
        <f>+-PMT($G$18,$G$14,NPV($G$18,U28:U52))</f>
        <v>28541.487653381882</v>
      </c>
      <c r="W55" s="285">
        <f>+-PMT($G$18,$G$14,NPV($G$18,W28:W52))</f>
        <v>22197.273342201072</v>
      </c>
      <c r="Y55" s="285">
        <f>+-PMT($G$18,$G$14,NPV($G$18,Y28:Y52))</f>
        <v>48.37010619682485</v>
      </c>
      <c r="Z55" s="235"/>
      <c r="AB55" s="2"/>
      <c r="AD55" s="412">
        <f>+-PMT($G$18,$G$14,NPV($G$18,AD28:AD52))</f>
        <v>458904.78825655638</v>
      </c>
      <c r="AF55" s="154">
        <f>+-PMT($G$18,$G$14,NPV($G$18,AF28:AF52))</f>
        <v>111.68921438914626</v>
      </c>
      <c r="AH55" s="154">
        <f>+-PMT($G$18,$G$14,NPV($G$18,AH28:AH52))</f>
        <v>30.097376851651099</v>
      </c>
      <c r="AJ55" s="154">
        <f>+-PMT($G$18,$G$14,NPV($G$18,AJ28:AJ52))</f>
        <v>2.2640885838378422</v>
      </c>
      <c r="AL55" s="153">
        <f>+-PMT($G$18,$G$14,NPV($G$18,AL28:AL52))</f>
        <v>11757.165388577901</v>
      </c>
      <c r="AN55" s="154">
        <f>+-PMT($G$18,$G$14,NPV($G$18,AN28:AN52))</f>
        <v>5.8014050751736974</v>
      </c>
      <c r="AP55" s="154">
        <f>+-PMT($G$18,$G$14,NPV($G$18,AP28:AP52))</f>
        <v>38.037323050109485</v>
      </c>
      <c r="AR55" s="154">
        <f>+-PMT($G$18,$G$14,NPV($G$18,AR28:AR52))</f>
        <v>2.8456834244221092</v>
      </c>
      <c r="AS55" s="154"/>
      <c r="AT55" s="153">
        <f>+-PMT($G$18,$G$14,NPV($G$18,AT28:AT52))</f>
        <v>9780.0802238955221</v>
      </c>
      <c r="AV55" s="153">
        <f>+-PMT($G$18,$G$14,NPV($G$18,AV28:AV52))</f>
        <v>18761.407429486364</v>
      </c>
      <c r="AW55" s="273"/>
      <c r="AX55" s="155">
        <f>+-PMT($G$18,$G$14,NPV($G$18,AX28:AX52))</f>
        <v>28541.487653381882</v>
      </c>
      <c r="AZ55" s="2"/>
      <c r="BB55" s="154">
        <f>+-PMT($G$18,$G$14,NPV($G$18,BB28:BB52))</f>
        <v>67.882943614232246</v>
      </c>
      <c r="BD55" s="154">
        <f>+-PMT($G$18,$G$14,NPV($G$18,BD28:BD52))</f>
        <v>3.46225354103942</v>
      </c>
      <c r="BF55" s="153">
        <f>+-PMT($G$18,$G$14,NPV($G$18,BF28:BF52))</f>
        <v>1977.0851646823821</v>
      </c>
      <c r="BH55" s="157"/>
    </row>
    <row r="56" spans="2:60">
      <c r="B56" s="2"/>
      <c r="E56" s="169"/>
      <c r="W56" s="18"/>
      <c r="Y56" s="271"/>
      <c r="Z56" s="235"/>
      <c r="AB56" s="2"/>
      <c r="AT56" s="273"/>
      <c r="AX56" s="235"/>
      <c r="AZ56" s="2"/>
      <c r="BH56" s="235"/>
    </row>
    <row r="57" spans="2:60">
      <c r="B57" s="238"/>
      <c r="C57" s="277"/>
      <c r="D57" s="277"/>
      <c r="E57" s="278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/>
      <c r="Q57" s="277"/>
      <c r="R57" s="277"/>
      <c r="S57" s="277"/>
      <c r="T57" s="277"/>
      <c r="U57" s="277"/>
      <c r="V57" s="277"/>
      <c r="W57" s="277"/>
      <c r="X57" s="277"/>
      <c r="Y57" s="277"/>
      <c r="Z57" s="239"/>
      <c r="AB57" s="238"/>
      <c r="AC57" s="277"/>
      <c r="AD57" s="277"/>
      <c r="AE57" s="277"/>
      <c r="AF57" s="277"/>
      <c r="AG57" s="277"/>
      <c r="AH57" s="277"/>
      <c r="AI57" s="277"/>
      <c r="AJ57" s="277"/>
      <c r="AK57" s="277"/>
      <c r="AL57" s="277"/>
      <c r="AM57" s="277"/>
      <c r="AN57" s="277"/>
      <c r="AO57" s="277"/>
      <c r="AP57" s="277"/>
      <c r="AQ57" s="277"/>
      <c r="AR57" s="277"/>
      <c r="AS57" s="277"/>
      <c r="AT57" s="277"/>
      <c r="AU57" s="277"/>
      <c r="AV57" s="277"/>
      <c r="AW57" s="277"/>
      <c r="AX57" s="239"/>
      <c r="AZ57" s="238"/>
      <c r="BA57" s="277"/>
      <c r="BB57" s="277"/>
      <c r="BC57" s="277"/>
      <c r="BD57" s="277"/>
      <c r="BE57" s="277"/>
      <c r="BF57" s="277"/>
      <c r="BG57" s="277"/>
      <c r="BH57" s="239"/>
    </row>
    <row r="58" spans="2:60">
      <c r="E58" s="169"/>
    </row>
    <row r="59" spans="2:60">
      <c r="E59" s="169"/>
      <c r="G59" s="18"/>
      <c r="I59" s="18"/>
      <c r="K59" s="18"/>
      <c r="O59" s="18"/>
      <c r="Q59" s="18"/>
      <c r="S59" s="18"/>
      <c r="U59" s="18"/>
      <c r="W59" s="18"/>
    </row>
    <row r="60" spans="2:60">
      <c r="E60" s="169"/>
    </row>
    <row r="61" spans="2:60">
      <c r="E61" s="169"/>
    </row>
    <row r="62" spans="2:60">
      <c r="E62" s="169"/>
    </row>
    <row r="63" spans="2:60">
      <c r="E63" s="169"/>
      <c r="S63" s="285"/>
    </row>
    <row r="64" spans="2:60">
      <c r="E64" s="169"/>
    </row>
    <row r="65" spans="5:5">
      <c r="E65" s="169"/>
    </row>
    <row r="66" spans="5:5">
      <c r="E66" s="169"/>
    </row>
    <row r="67" spans="5:5">
      <c r="E67" s="169"/>
    </row>
    <row r="68" spans="5:5">
      <c r="E68" s="169"/>
    </row>
    <row r="69" spans="5:5">
      <c r="E69" s="169"/>
    </row>
    <row r="70" spans="5:5">
      <c r="E70" s="169"/>
    </row>
    <row r="71" spans="5:5">
      <c r="E71" s="169"/>
    </row>
    <row r="72" spans="5:5">
      <c r="E72" s="169"/>
    </row>
    <row r="73" spans="5:5">
      <c r="E73" s="169"/>
    </row>
    <row r="74" spans="5:5">
      <c r="E74" s="169"/>
    </row>
    <row r="75" spans="5:5">
      <c r="E75" s="169"/>
    </row>
    <row r="76" spans="5:5">
      <c r="E76" s="169"/>
    </row>
    <row r="77" spans="5:5">
      <c r="E77" s="169"/>
    </row>
    <row r="78" spans="5:5">
      <c r="E78" s="169"/>
    </row>
    <row r="79" spans="5:5">
      <c r="E79" s="169"/>
    </row>
    <row r="80" spans="5:5">
      <c r="E80" s="169"/>
    </row>
    <row r="81" spans="5:5">
      <c r="E81" s="169"/>
    </row>
  </sheetData>
  <pageMargins left="0.25" right="0.25" top="0.25" bottom="0.75" header="0.3" footer="0.3"/>
  <pageSetup paperSize="5" scale="46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ED1E1E55577BA44B9BC91EBFA6250B8" ma:contentTypeVersion="16" ma:contentTypeDescription="" ma:contentTypeScope="" ma:versionID="77af8f7e4868eed62652206b226eaf6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2024-05-30T07:00:00+00:00</OpenedDate>
    <SignificantOrder xmlns="dc463f71-b30c-4ab2-9473-d307f9d35888">false</SignificantOrder>
    <Date1 xmlns="dc463f71-b30c-4ab2-9473-d307f9d35888">2024-05-30T07:00:00+00:00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240405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982B5C27-AFDC-4520-A8E0-D0FF9C7CC791}"/>
</file>

<file path=customXml/itemProps2.xml><?xml version="1.0" encoding="utf-8"?>
<ds:datastoreItem xmlns:ds="http://schemas.openxmlformats.org/officeDocument/2006/customXml" ds:itemID="{4A3E83C9-BA1A-4D07-A001-08528C034F3A}"/>
</file>

<file path=customXml/itemProps3.xml><?xml version="1.0" encoding="utf-8"?>
<ds:datastoreItem xmlns:ds="http://schemas.openxmlformats.org/officeDocument/2006/customXml" ds:itemID="{5C43B8C8-E278-4AEE-B6A2-C104829513E9}"/>
</file>

<file path=customXml/itemProps4.xml><?xml version="1.0" encoding="utf-8"?>
<ds:datastoreItem xmlns:ds="http://schemas.openxmlformats.org/officeDocument/2006/customXml" ds:itemID="{CD2A0925-C16F-4AB8-BD9C-1BB0FAAB65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3</vt:i4>
      </vt:variant>
    </vt:vector>
  </HeadingPairs>
  <TitlesOfParts>
    <vt:vector size="51" baseType="lpstr">
      <vt:lpstr>Workpaper Index</vt:lpstr>
      <vt:lpstr>(1.1)_Summary</vt:lpstr>
      <vt:lpstr>(1.2)_Lvl_Resource_</vt:lpstr>
      <vt:lpstr>(2.1)_Proxy Resources</vt:lpstr>
      <vt:lpstr>(2.2)_Forward_Price_Curve</vt:lpstr>
      <vt:lpstr>Big Fork (2003IRP)</vt:lpstr>
      <vt:lpstr>Blundell 2</vt:lpstr>
      <vt:lpstr>Cambell Hill (PPA)</vt:lpstr>
      <vt:lpstr>Cedar Creek (PPA)</vt:lpstr>
      <vt:lpstr>Cedar Springs I (PPA)</vt:lpstr>
      <vt:lpstr>Cedar Springs II</vt:lpstr>
      <vt:lpstr>Cedar Springs III (PPA)</vt:lpstr>
      <vt:lpstr>Dunlap - Repower</vt:lpstr>
      <vt:lpstr>Ekola Flats Wind</vt:lpstr>
      <vt:lpstr>Foote Creek I - Repower</vt:lpstr>
      <vt:lpstr>Foote Creek II</vt:lpstr>
      <vt:lpstr>Foote Creek III</vt:lpstr>
      <vt:lpstr>Foote Creek IV</vt:lpstr>
      <vt:lpstr>Glenrock I - Repower</vt:lpstr>
      <vt:lpstr>Glenrock III - Repower</vt:lpstr>
      <vt:lpstr>Goodnoe_Hills - Repower</vt:lpstr>
      <vt:lpstr>High Plains - Repower</vt:lpstr>
      <vt:lpstr>JC Boyle (2004 IRP)</vt:lpstr>
      <vt:lpstr>Latigo (PPA)</vt:lpstr>
      <vt:lpstr>Leaning Juniper -Repower</vt:lpstr>
      <vt:lpstr>Lemolo 1 (2003IRP)</vt:lpstr>
      <vt:lpstr>Lemolo 2 (2008 IRP)</vt:lpstr>
      <vt:lpstr>Marengo - Repower</vt:lpstr>
      <vt:lpstr>Marengo 2 - Repower</vt:lpstr>
      <vt:lpstr>McFadden Ridge - Repower</vt:lpstr>
      <vt:lpstr>Mountain Wind I (PPA)</vt:lpstr>
      <vt:lpstr>Mountain Wind II (PPA)</vt:lpstr>
      <vt:lpstr>Pavant II (PPA)</vt:lpstr>
      <vt:lpstr>Pioneer Wind (PPA)</vt:lpstr>
      <vt:lpstr>Prospect 2 (2003 IRP)</vt:lpstr>
      <vt:lpstr>Rock River I (PPA)</vt:lpstr>
      <vt:lpstr>Rock River I - Repower</vt:lpstr>
      <vt:lpstr>Rolling Hills - Repower</vt:lpstr>
      <vt:lpstr>Sage Solar I (PPA)</vt:lpstr>
      <vt:lpstr>Sage Solar II (PPA)</vt:lpstr>
      <vt:lpstr>Sage Solar III (PPA)</vt:lpstr>
      <vt:lpstr>Seven Mile Hill I- Repower</vt:lpstr>
      <vt:lpstr>Seven Mile Hill II- Repower</vt:lpstr>
      <vt:lpstr>Sweetwater (PPA)</vt:lpstr>
      <vt:lpstr>Top of World (PPA)</vt:lpstr>
      <vt:lpstr>TB Flats I Wind</vt:lpstr>
      <vt:lpstr>TB Flats II Wind</vt:lpstr>
      <vt:lpstr>Wolverine Creek PPA</vt:lpstr>
      <vt:lpstr>'(2.1)_Proxy Resources'!Print_Area</vt:lpstr>
      <vt:lpstr>'(2.2)_Forward_Price_Curve'!Print_Area</vt:lpstr>
      <vt:lpstr>'(2.2)_Forward_Price_Curve'!Print_Titles</vt:lpstr>
    </vt:vector>
  </TitlesOfParts>
  <Company>PacifiCorp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Kishore, Pooja</dc:creator>
  <cp:lastModifiedBy>Ikeda, Teri (PacifiCorp)</cp:lastModifiedBy>
  <cp:lastPrinted>2024-05-23T17:57:44Z</cp:lastPrinted>
  <dcterms:created xsi:type="dcterms:W3CDTF">2015-05-22T20:59:26Z</dcterms:created>
  <dcterms:modified xsi:type="dcterms:W3CDTF">2024-05-23T19:20:54Z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0x0101006E56B4D1795A2E4DB2F0B01679ED314A003ED1E1E55577BA44B9BC91EBFA6250B8</vt:lpwstr>
  </property>
  <property fmtid="{D5CDD505-2E9C-101B-9397-08002B2CF9AE}" pid="3" name="_docset_NoMedatataSyncRequired">
    <vt:lpwstr>False</vt:lpwstr>
  </property>
</Properties>
</file>